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S:\Accepted\2026\03 December 9, 2026\26-747 610 W Ash\"/>
    </mc:Choice>
  </mc:AlternateContent>
  <xr:revisionPtr revIDLastSave="0" documentId="13_ncr:1_{4B92F492-78D8-4AD1-8E86-3C4939397A62}" xr6:coauthVersionLast="47" xr6:coauthVersionMax="47" xr10:uidLastSave="{00000000-0000-0000-0000-000000000000}"/>
  <bookViews>
    <workbookView xWindow="15456" yWindow="1548" windowWidth="20820" windowHeight="12120"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4" i="7" l="1"/>
  <c r="I54" i="7" s="1"/>
  <c r="K54" i="7" s="1"/>
  <c r="M54" i="7" s="1"/>
  <c r="O54" i="7" s="1"/>
  <c r="Q54" i="7" s="1"/>
  <c r="S54" i="7" s="1"/>
  <c r="U54" i="7" s="1"/>
  <c r="W54" i="7" s="1"/>
  <c r="Y54" i="7" s="1"/>
  <c r="AA54" i="7" s="1"/>
  <c r="AC54" i="7" s="1"/>
  <c r="AE54" i="7" s="1"/>
  <c r="AG54" i="7" s="1"/>
  <c r="G53" i="7"/>
  <c r="I53" i="7" s="1"/>
  <c r="K53" i="7" s="1"/>
  <c r="M53" i="7" s="1"/>
  <c r="O53" i="7" s="1"/>
  <c r="Q53" i="7" s="1"/>
  <c r="S53" i="7" s="1"/>
  <c r="U53" i="7" s="1"/>
  <c r="W53" i="7" s="1"/>
  <c r="Y53" i="7" s="1"/>
  <c r="AA53" i="7" s="1"/>
  <c r="AC53" i="7" s="1"/>
  <c r="AE53" i="7" s="1"/>
  <c r="AG53" i="7" s="1"/>
  <c r="S91" i="4" l="1"/>
  <c r="C91" i="4"/>
  <c r="C69" i="4"/>
  <c r="S69" i="4"/>
  <c r="W865" i="3"/>
  <c r="W869" i="3"/>
  <c r="W86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l="1" a="1"/>
  <c r="BB6" i="24" s="1"/>
  <c r="BB5" i="24" a="1"/>
  <c r="BB5" i="24" s="1"/>
  <c r="BB4" i="24" a="1"/>
  <c r="BB4"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AZ1056" i="3" s="1"/>
  <c r="H63" i="13"/>
  <c r="BE71" i="3"/>
  <c r="E63" i="13"/>
  <c r="S97" i="4"/>
  <c r="D9" i="11"/>
  <c r="C13" i="11"/>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1" i="21" l="1"/>
  <c r="P31" i="21" s="1" a="1"/>
  <c r="P31" i="21" s="1"/>
  <c r="S31" i="21" s="1"/>
  <c r="O30" i="21"/>
  <c r="P30" i="21" s="1" a="1"/>
  <c r="P30" i="21" s="1"/>
  <c r="S30" i="21" s="1"/>
  <c r="O29" i="21"/>
  <c r="P29" i="21" s="1" a="1"/>
  <c r="P29" i="21" s="1"/>
  <c r="S29"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T105" i="4"/>
  <c r="H97" i="13"/>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G45" i="21"/>
  <c r="G47" i="21" s="1"/>
  <c r="E10" i="21" s="1"/>
  <c r="E11" i="21"/>
  <c r="AP718" i="20"/>
  <c r="AP719" i="20"/>
  <c r="I4" i="7"/>
  <c r="I5" i="7" s="1"/>
  <c r="K9" i="7"/>
  <c r="E11" i="7"/>
  <c r="E37" i="7" s="1"/>
  <c r="E49" i="7" s="1"/>
  <c r="AJ1001" i="3"/>
  <c r="AJ1038" i="3" s="1"/>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Y11" i="15"/>
  <c r="Y23" i="15" s="1"/>
  <c r="Y26" i="15" s="1"/>
  <c r="Y28" i="15" s="1"/>
  <c r="BE74" i="3"/>
  <c r="AP566" i="20"/>
  <c r="U58"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6" i="15" l="1"/>
  <c r="T28" i="15" s="1"/>
  <c r="T29" i="15" s="1"/>
  <c r="Y64" i="15"/>
  <c r="Y68" i="15" s="1"/>
  <c r="Y69" i="15" s="1"/>
  <c r="G1067" i="3"/>
  <c r="AP567" i="20"/>
  <c r="G94" i="21"/>
  <c r="E15" i="21" s="1"/>
  <c r="W58"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A58" i="7"/>
  <c r="U4" i="7"/>
  <c r="S5" i="7"/>
  <c r="M48" i="7"/>
  <c r="M47" i="7"/>
  <c r="M60" i="7"/>
  <c r="O45" i="7"/>
  <c r="O49" i="7"/>
  <c r="K66" i="7"/>
  <c r="K67" i="7"/>
  <c r="K62" i="7"/>
  <c r="Q7" i="7"/>
  <c r="Q11" i="7" s="1"/>
  <c r="Q37" i="7" s="1"/>
  <c r="S6" i="7"/>
  <c r="I70" i="7"/>
  <c r="I72" i="7" s="1"/>
  <c r="W22" i="7"/>
  <c r="W35" i="7" s="1"/>
  <c r="Y15" i="7"/>
  <c r="W9" i="7"/>
  <c r="Y8" i="7"/>
  <c r="E18" i="21" l="1"/>
  <c r="BE19" i="3"/>
  <c r="AC58" i="7"/>
  <c r="AB57" i="15"/>
  <c r="P204" i="3"/>
  <c r="U5" i="7"/>
  <c r="W4" i="7"/>
  <c r="Q49" i="7"/>
  <c r="Q45" i="7"/>
  <c r="M62" i="7"/>
  <c r="M67" i="7"/>
  <c r="M66" i="7"/>
  <c r="O47" i="7"/>
  <c r="O48" i="7"/>
  <c r="O60" i="7"/>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70" i="7" l="1"/>
  <c r="AA72" i="7" s="1"/>
  <c r="AC66" i="7"/>
  <c r="AC67" i="7"/>
  <c r="AE47" i="7"/>
  <c r="AE60" i="7"/>
  <c r="AE48" i="7"/>
  <c r="AG49" i="7"/>
  <c r="AG45" i="7"/>
  <c r="AG48" i="7" l="1"/>
  <c r="AG60" i="7"/>
  <c r="AG47" i="7"/>
  <c r="AE66" i="7"/>
  <c r="AE67" i="7"/>
  <c r="AC70" i="7"/>
  <c r="AC72" i="7" s="1"/>
  <c r="AE70" i="7" l="1"/>
  <c r="AE72" i="7" s="1"/>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<sst xmlns="http://schemas.openxmlformats.org/spreadsheetml/2006/main" count="5311" uniqueCount="2836">
  <si>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</si>
  <si>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</si>
  <si>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</si>
  <si>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</si>
  <si>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</si>
  <si>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</si>
  <si>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</si>
  <si>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</si>
  <si>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</si>
  <si>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</si>
  <si>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</si>
  <si>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</si>
  <si>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</si>
  <si>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</si>
  <si>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</si>
  <si>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</si>
  <si>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</si>
  <si>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</si>
  <si>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</si>
  <si>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</si>
  <si>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</si>
  <si>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</si>
  <si>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</si>
  <si>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</si>
  <si>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</si>
  <si>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</si>
  <si>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</si>
  <si>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</si>
  <si>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</si>
  <si>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</si>
  <si>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</si>
  <si>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</si>
  <si>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</si>
  <si>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</si>
  <si>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</si>
  <si>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</si>
  <si>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</si>
  <si>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</si>
  <si>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</si>
  <si>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</si>
  <si>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</si>
  <si>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</si>
  <si>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</si>
  <si>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</si>
  <si>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</si>
  <si>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</si>
  <si>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</si>
  <si>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</si>
  <si>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</si>
  <si>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</si>
  <si>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</si>
  <si>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</si>
  <si>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</si>
  <si>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</si>
  <si>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</si>
  <si>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</si>
  <si>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</si>
  <si>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</si>
  <si>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</si>
  <si>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</si>
  <si>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</si>
  <si>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</si>
  <si>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</si>
  <si>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</si>
  <si>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</si>
  <si>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</si>
  <si>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</si>
  <si>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</si>
  <si>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</si>
  <si>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</si>
  <si>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</si>
  <si>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</si>
  <si>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</si>
  <si>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</si>
  <si>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</si>
  <si>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</si>
  <si>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</si>
  <si>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</si>
  <si>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</si>
  <si>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</si>
  <si>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</si>
  <si>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</si>
  <si>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</si>
  <si>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</si>
  <si>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</si>
  <si>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</si>
  <si>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</si>
  <si>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</si>
  <si>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</si>
  <si>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</si>
  <si>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</si>
  <si>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</si>
  <si>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</si>
  <si>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</si>
  <si>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</si>
  <si>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</si>
  <si>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</si>
  <si>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</si>
  <si>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</si>
  <si>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</si>
  <si>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</si>
  <si>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</si>
  <si>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</si>
  <si>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</si>
  <si>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</si>
  <si>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</si>
  <si>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</si>
  <si>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</si>
  <si>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</si>
  <si>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</si>
  <si>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</si>
  <si>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</si>
  <si>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</si>
  <si>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</si>
  <si>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</si>
  <si>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</si>
  <si>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</si>
  <si>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</si>
  <si>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</si>
  <si>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</si>
  <si>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</si>
  <si>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</si>
  <si>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</si>
  <si>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</si>
  <si>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</si>
  <si>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</si>
  <si>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</si>
  <si>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</si>
  <si>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</si>
  <si>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</si>
  <si>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</si>
  <si>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</si>
  <si>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</si>
  <si>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</si>
  <si>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</si>
  <si>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</si>
  <si>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</si>
  <si>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</si>
  <si>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</si>
  <si>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</si>
  <si>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</si>
  <si>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</si>
  <si>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</si>
  <si>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</si>
  <si>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</si>
  <si>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</si>
  <si>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</si>
  <si>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</si>
  <si>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</si>
  <si>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</si>
  <si>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</si>
  <si>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</si>
  <si>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</si>
  <si>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</si>
  <si>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</si>
  <si>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</si>
  <si>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</si>
  <si>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</si>
  <si>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</si>
  <si>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</si>
  <si>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</si>
  <si>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</si>
  <si>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</si>
  <si>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</si>
  <si>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</si>
  <si>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</si>
  <si>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</si>
  <si>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</si>
  <si>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</si>
  <si>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</si>
  <si>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</si>
  <si>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</si>
  <si>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</si>
  <si>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</si>
  <si>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</si>
  <si>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</si>
  <si>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</si>
  <si>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</si>
  <si>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</si>
  <si>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</si>
  <si>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</si>
  <si>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</si>
  <si>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</si>
  <si>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</si>
  <si>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</si>
  <si>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</si>
  <si>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</si>
  <si>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</si>
  <si>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</si>
  <si>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</si>
  <si>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</si>
  <si>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</si>
  <si>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</si>
  <si>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</si>
  <si>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</si>
  <si>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</si>
  <si>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</si>
  <si>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</si>
  <si>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</si>
  <si>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</si>
  <si>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</si>
  <si>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</si>
  <si>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</si>
  <si>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</si>
  <si>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</si>
  <si>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</si>
  <si>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</si>
  <si>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</si>
  <si>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</si>
  <si>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</si>
  <si>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</si>
  <si>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</si>
  <si>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</si>
  <si>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</si>
  <si>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</si>
  <si>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</si>
  <si>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</si>
  <si>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</si>
  <si>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</si>
  <si>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</si>
  <si>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</si>
  <si>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</si>
  <si>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</si>
  <si>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</si>
  <si>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</si>
  <si>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</si>
  <si>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</si>
  <si>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</si>
  <si>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</si>
  <si>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</si>
  <si>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</si>
  <si>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</si>
  <si>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</si>
  <si>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</si>
  <si>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</si>
  <si>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</si>
  <si>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</si>
  <si>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</si>
  <si>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</si>
  <si>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</si>
  <si>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</si>
  <si>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</si>
  <si>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</si>
  <si>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</si>
  <si>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</si>
  <si>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</si>
  <si>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</si>
  <si>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</si>
  <si>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</si>
  <si>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</si>
  <si>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</si>
  <si>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</si>
  <si>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</si>
  <si>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</si>
  <si>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</si>
  <si>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</si>
  <si>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</si>
  <si>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</si>
  <si>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</si>
  <si>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</si>
  <si>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</si>
  <si>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</si>
  <si>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</si>
  <si>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</si>
  <si>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</si>
  <si>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</si>
  <si>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</si>
  <si>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</si>
  <si>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</si>
  <si>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</si>
  <si>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</si>
  <si>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</si>
  <si>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</si>
  <si>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</si>
  <si>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</si>
  <si>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</si>
  <si>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</si>
  <si>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</si>
  <si>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</si>
  <si>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</si>
  <si>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</si>
  <si>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</si>
  <si>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</si>
  <si>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</si>
  <si>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</si>
  <si>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</si>
  <si>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</si>
  <si>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</si>
  <si>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</si>
  <si>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</si>
  <si>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</si>
  <si>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</si>
  <si>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</si>
  <si>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</si>
  <si>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</si>
  <si>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</si>
  <si>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</si>
  <si>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</si>
  <si>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</si>
  <si>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</si>
  <si>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</si>
  <si>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</si>
  <si>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</si>
  <si>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</si>
  <si>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</si>
  <si>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</si>
  <si>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</si>
  <si>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</si>
  <si>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</si>
  <si>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</si>
  <si>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</si>
  <si>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</si>
  <si>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</si>
  <si>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</si>
  <si>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</si>
  <si>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</si>
  <si>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</si>
  <si>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</si>
  <si>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</si>
  <si>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</si>
  <si>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</si>
  <si>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</si>
  <si>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</si>
  <si>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</si>
  <si>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</si>
  <si>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</si>
  <si>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</si>
  <si>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</si>
  <si>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</si>
  <si>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</si>
  <si>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</si>
  <si>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</si>
  <si>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</si>
  <si>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</si>
  <si>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</si>
  <si>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</si>
  <si>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</si>
  <si>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</si>
  <si>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</si>
  <si>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</si>
  <si>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</si>
  <si>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</si>
  <si>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</si>
  <si>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</si>
  <si>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</si>
  <si>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</si>
  <si>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</si>
  <si>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</si>
  <si>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</si>
  <si>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</si>
  <si>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</si>
  <si>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</si>
  <si>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</si>
  <si>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</si>
  <si>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</si>
  <si>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</si>
  <si>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</si>
  <si>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</si>
  <si>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</si>
  <si>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</si>
  <si>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</si>
  <si>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</si>
  <si>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</si>
  <si>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</si>
  <si>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</si>
  <si>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</si>
  <si>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</si>
  <si>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</si>
  <si>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</si>
  <si>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</si>
  <si>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</si>
  <si>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</si>
  <si>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</si>
  <si>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</si>
  <si>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</si>
  <si>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</si>
  <si>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</si>
  <si>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</si>
  <si>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</si>
  <si>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</si>
  <si>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</si>
  <si>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</si>
  <si>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</si>
  <si>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</si>
  <si>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</si>
  <si>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</si>
  <si>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</si>
  <si>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</si>
  <si>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</si>
  <si>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</si>
  <si>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</si>
  <si>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</si>
  <si>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</si>
  <si>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</si>
  <si>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</si>
  <si>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</si>
  <si>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</si>
  <si>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</si>
  <si>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</si>
  <si>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</si>
  <si>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</si>
  <si>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</si>
  <si>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</si>
  <si>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</si>
  <si>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</si>
  <si>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</si>
  <si>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</si>
  <si>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</si>
  <si>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</si>
  <si>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</si>
  <si>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</si>
  <si>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</si>
  <si>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</si>
  <si>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</si>
  <si>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</si>
  <si>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</si>
  <si>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</si>
  <si>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</si>
  <si>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</si>
  <si>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</si>
  <si>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</si>
  <si>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</si>
  <si>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</si>
  <si>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</si>
  <si>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</si>
  <si>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</si>
  <si>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</si>
  <si>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</si>
  <si>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</si>
  <si>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</si>
  <si>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</si>
  <si>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</si>
  <si>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</si>
  <si>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</si>
  <si>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</si>
  <si>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</si>
  <si>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</si>
  <si>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</si>
  <si>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</si>
  <si>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</si>
  <si>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</si>
  <si>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</si>
  <si>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</si>
  <si>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</si>
  <si>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</si>
  <si>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</si>
  <si>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</si>
  <si>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</si>
  <si>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</si>
  <si>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</si>
  <si>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</si>
  <si>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</si>
  <si>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</si>
  <si>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</si>
  <si>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</si>
  <si>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</si>
  <si>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</si>
  <si>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</si>
  <si>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</si>
  <si>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</si>
  <si>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</si>
  <si>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</si>
  <si>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</si>
  <si>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</si>
  <si>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</si>
  <si>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</si>
  <si>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</si>
  <si>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</si>
  <si>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</si>
  <si>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</si>
  <si>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</si>
  <si>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</si>
  <si>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</si>
  <si>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</si>
  <si>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</si>
  <si>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</si>
  <si>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</si>
  <si>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</si>
  <si>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</si>
  <si>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</si>
  <si>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</si>
  <si>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</si>
  <si>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</si>
  <si>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</si>
  <si>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</si>
  <si>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</si>
  <si>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</si>
  <si>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</si>
  <si>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</si>
  <si>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</si>
  <si>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</si>
  <si>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</si>
  <si>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</si>
  <si>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</si>
  <si>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</si>
  <si>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</si>
  <si>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</si>
  <si>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</si>
  <si>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</si>
  <si>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</si>
  <si>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</si>
  <si>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</si>
  <si>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</si>
  <si>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</si>
  <si>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</si>
  <si>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</si>
  <si>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</si>
  <si>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</si>
  <si>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</si>
  <si>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</si>
  <si>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</si>
  <si>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</si>
  <si>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</si>
  <si>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</si>
  <si>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</si>
  <si>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</si>
  <si>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</si>
  <si>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</si>
  <si>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</si>
  <si>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</si>
  <si>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</si>
  <si>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</si>
  <si>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</si>
  <si>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</si>
  <si>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</si>
  <si>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</si>
  <si>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</si>
  <si>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</si>
  <si>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</si>
  <si>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</si>
  <si>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</si>
  <si>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</si>
  <si>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</si>
  <si>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</si>
  <si>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</si>
  <si>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</si>
  <si>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</si>
  <si>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</si>
  <si>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</si>
  <si>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</si>
  <si>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</si>
  <si>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</si>
  <si>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</si>
  <si>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</si>
  <si>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</si>
  <si>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</si>
  <si>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</si>
  <si>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</si>
  <si>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</si>
  <si>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</si>
  <si>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</si>
  <si>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</si>
  <si>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</si>
  <si>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</si>
  <si>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</si>
  <si>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</si>
  <si>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</si>
  <si>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</si>
  <si>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</si>
  <si>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</si>
  <si>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</si>
  <si>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</si>
  <si>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</si>
  <si>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</si>
  <si>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</si>
  <si>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</si>
  <si>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</si>
  <si>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</si>
  <si>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</si>
  <si>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</si>
  <si>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</si>
  <si>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</si>
  <si>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</si>
  <si>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</si>
  <si>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</si>
  <si>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</si>
  <si>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</si>
  <si>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</si>
  <si>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</si>
  <si>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</si>
  <si>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</si>
  <si>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</si>
  <si>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</si>
  <si>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</si>
  <si>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</si>
  <si>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</si>
  <si>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</si>
  <si>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</si>
  <si>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</si>
  <si>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</si>
  <si>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</si>
  <si>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</si>
  <si>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</si>
  <si>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</si>
  <si>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</si>
  <si>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</si>
  <si>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</si>
  <si>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</si>
  <si>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</si>
  <si>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</si>
  <si>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</si>
  <si>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</si>
  <si>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</si>
  <si>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</si>
  <si>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</si>
  <si>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</si>
  <si>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</si>
  <si>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</si>
  <si>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</si>
  <si>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</si>
  <si>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</si>
  <si>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</si>
  <si>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</si>
  <si>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</si>
  <si>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</si>
  <si>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</si>
  <si>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</si>
  <si>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</si>
  <si>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</si>
  <si>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</si>
  <si>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</si>
  <si>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</si>
  <si>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</si>
  <si>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</si>
  <si>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</si>
  <si>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</si>
  <si>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</si>
  <si>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</si>
  <si>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</si>
  <si>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</si>
  <si>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</si>
  <si>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</si>
  <si>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</si>
  <si>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</si>
  <si>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</si>
  <si>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</si>
  <si>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</si>
  <si>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</si>
  <si>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</si>
  <si>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</si>
  <si>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</si>
  <si>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</si>
  <si>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</si>
  <si>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</si>
  <si>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</si>
  <si>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</si>
  <si>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</si>
  <si>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</si>
  <si>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</si>
  <si>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</si>
  <si>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</si>
  <si>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</si>
  <si>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</si>
  <si>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</si>
  <si>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</si>
  <si>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</si>
  <si>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</si>
  <si>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</si>
  <si>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</si>
  <si>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</si>
  <si>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</si>
  <si>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</si>
  <si>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</si>
  <si>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</si>
  <si>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</si>
  <si>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</si>
  <si>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</si>
  <si>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</si>
  <si>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</si>
  <si>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</si>
  <si>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</si>
  <si>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</si>
  <si>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</si>
  <si>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</si>
  <si>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</si>
  <si>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</si>
  <si>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</si>
  <si>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</si>
  <si>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</si>
  <si>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</si>
  <si>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</si>
  <si>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</si>
  <si>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</si>
  <si>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</si>
  <si>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</si>
  <si>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</si>
  <si>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</si>
  <si>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</si>
  <si>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</si>
  <si>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</si>
  <si>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</si>
  <si>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</si>
  <si>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</si>
  <si>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</si>
  <si>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</si>
  <si>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</si>
  <si>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</si>
  <si>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</si>
  <si>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</si>
  <si>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</si>
  <si>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</si>
  <si>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</si>
  <si>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</si>
  <si>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</si>
  <si>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</si>
  <si>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</si>
  <si>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</si>
  <si>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</si>
  <si>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</si>
  <si>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</si>
  <si>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</si>
  <si>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</si>
  <si>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</si>
  <si>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</si>
  <si>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</si>
  <si>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</si>
  <si>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</si>
  <si>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</si>
  <si>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</si>
  <si>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</si>
  <si>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</si>
  <si>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</si>
  <si>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</si>
  <si>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</si>
  <si>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</si>
  <si>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</si>
  <si>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</si>
  <si>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</si>
  <si>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</si>
  <si>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</si>
  <si>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</si>
  <si>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</si>
  <si>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</si>
  <si>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</si>
  <si>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</si>
  <si>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</si>
  <si>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</si>
  <si>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</si>
  <si>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</si>
  <si>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</si>
  <si>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</si>
  <si>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</si>
  <si>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</si>
  <si>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</si>
  <si>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</si>
  <si>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</si>
  <si>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</si>
  <si>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</si>
  <si>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</si>
  <si>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</si>
  <si>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</si>
  <si>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</si>
  <si>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</si>
  <si>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</si>
  <si>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</si>
  <si>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</si>
  <si>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</si>
  <si>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</si>
  <si>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</si>
  <si>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</si>
  <si>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</si>
  <si>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</si>
  <si>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</si>
  <si>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</si>
  <si>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</si>
  <si>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</si>
  <si>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</si>
  <si>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</si>
  <si>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</si>
  <si>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</si>
  <si>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</si>
  <si>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</si>
  <si>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</si>
  <si>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</si>
  <si>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</si>
  <si>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</si>
  <si>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</si>
  <si>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</si>
  <si>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</si>
  <si>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</si>
  <si>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</si>
  <si>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</si>
  <si>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</si>
  <si>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</si>
  <si>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</si>
  <si>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</si>
  <si>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</si>
  <si>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</si>
  <si>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</si>
  <si>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</si>
  <si>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</si>
  <si>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</si>
  <si>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</si>
  <si>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</si>
  <si>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</si>
  <si>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</si>
  <si>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</si>
  <si>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</si>
  <si>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</si>
  <si>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</si>
  <si>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</si>
  <si>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</si>
  <si>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</si>
  <si>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</si>
  <si>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</si>
  <si>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</si>
  <si>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</si>
  <si>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</si>
  <si>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</si>
  <si>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</si>
  <si>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</si>
  <si>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</si>
  <si>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</si>
  <si>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</si>
  <si>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</si>
  <si>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</si>
  <si>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</si>
  <si>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</si>
  <si>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</si>
  <si>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</si>
  <si>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</si>
  <si>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</si>
  <si>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</si>
  <si>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</si>
  <si>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</si>
  <si>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</si>
  <si>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</si>
  <si>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</si>
  <si>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</si>
  <si>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</si>
  <si>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</si>
  <si>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</si>
  <si>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</si>
  <si>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</si>
  <si>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</si>
  <si>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</si>
  <si>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</si>
  <si>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</si>
  <si>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</si>
  <si>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</si>
  <si>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</si>
  <si>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</si>
  <si>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</si>
  <si>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</si>
  <si>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</si>
  <si>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</si>
  <si>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</si>
  <si>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</si>
  <si>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</si>
  <si>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</si>
  <si>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</si>
  <si>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</si>
  <si>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</si>
  <si>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</si>
  <si>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</si>
  <si>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</si>
  <si>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</si>
  <si>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</si>
  <si>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</si>
  <si>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</si>
  <si>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</si>
  <si>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</si>
  <si>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</si>
  <si>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</si>
  <si>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</si>
  <si>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</si>
  <si>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</si>
  <si>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</si>
  <si>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</si>
  <si>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</si>
  <si>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</si>
  <si>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</si>
  <si>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</si>
  <si>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</si>
  <si>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</si>
  <si>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</si>
  <si>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</si>
  <si>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</si>
  <si>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</si>
  <si>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</si>
  <si>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</si>
  <si>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</si>
  <si>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</si>
  <si>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</si>
  <si>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</si>
  <si>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</si>
  <si>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</si>
  <si>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</si>
  <si>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</si>
  <si>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</si>
  <si>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</si>
  <si>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</si>
  <si>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</si>
  <si>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</si>
  <si>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</si>
  <si>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</si>
  <si>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</si>
  <si>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</si>
  <si>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</si>
  <si>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</si>
  <si>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</si>
  <si>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</si>
  <si>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</si>
  <si>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</si>
  <si>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</si>
  <si>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</si>
  <si>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</si>
  <si>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</si>
  <si>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</si>
  <si>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</si>
  <si>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</si>
  <si>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</si>
  <si>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</si>
  <si>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</si>
  <si>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</si>
  <si>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</si>
  <si>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</si>
  <si>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</si>
  <si>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</si>
  <si>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</si>
  <si>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</si>
  <si>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</si>
  <si>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</si>
  <si>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</si>
  <si>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</si>
  <si>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</si>
  <si>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</si>
  <si>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</si>
  <si>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</si>
  <si>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</si>
  <si>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</si>
  <si>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</si>
  <si>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</si>
  <si>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</si>
  <si>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</si>
  <si>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</si>
  <si>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</si>
  <si>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</si>
  <si>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</si>
  <si>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</si>
  <si>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</si>
  <si>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</si>
  <si>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</si>
  <si>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</si>
  <si>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</si>
  <si>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</si>
  <si>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</si>
  <si>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</si>
  <si>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</si>
  <si>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</si>
  <si>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</si>
  <si>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</si>
  <si>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</si>
  <si>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</si>
  <si>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</si>
  <si>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</si>
  <si>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</si>
  <si>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</si>
  <si>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</si>
  <si>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</si>
  <si>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</si>
  <si>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</si>
  <si>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</si>
  <si>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</si>
  <si>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</si>
  <si>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</si>
  <si>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</si>
  <si>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</si>
  <si>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</si>
  <si>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</si>
  <si>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</si>
  <si>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</si>
  <si>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</si>
  <si>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</si>
  <si>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</si>
  <si>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</si>
  <si>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</si>
  <si>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</si>
  <si>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</si>
  <si>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</si>
  <si>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</si>
  <si>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</si>
  <si>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</si>
  <si>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</si>
  <si>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</si>
  <si>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</si>
  <si>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</si>
  <si>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</si>
  <si>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</si>
  <si>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</si>
  <si>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</si>
  <si>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</si>
  <si>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</si>
  <si>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</si>
  <si>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</si>
  <si>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</si>
  <si>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</si>
  <si>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</si>
  <si>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</si>
  <si>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</si>
  <si>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</si>
  <si>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</si>
  <si>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</si>
  <si>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</si>
  <si>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</si>
  <si>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</si>
  <si>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</si>
  <si>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</si>
  <si>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</si>
  <si>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</si>
  <si>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</si>
  <si>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</si>
  <si>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</si>
  <si>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</si>
  <si>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</si>
  <si>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</si>
  <si>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</si>
  <si>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</si>
  <si>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</si>
  <si>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</si>
  <si>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</si>
  <si>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</si>
  <si>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</si>
  <si>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</si>
  <si>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</si>
  <si>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</si>
  <si>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</si>
  <si>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</si>
  <si>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</si>
  <si>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</si>
  <si>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</si>
  <si>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</si>
  <si>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</si>
  <si>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</si>
  <si>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</si>
  <si>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</si>
  <si>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</si>
  <si>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</si>
  <si>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</si>
  <si>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</si>
  <si>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</si>
  <si>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</si>
  <si>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</si>
  <si>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</si>
  <si>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</si>
  <si>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</si>
  <si>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</si>
  <si>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</si>
  <si>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</si>
  <si>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</si>
  <si>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</si>
  <si>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</si>
  <si>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</si>
  <si>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</si>
  <si>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</si>
  <si>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</si>
  <si>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</si>
  <si>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</si>
  <si>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</si>
  <si>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</si>
  <si>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</si>
  <si>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</si>
  <si>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</si>
  <si>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</si>
  <si>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</si>
  <si>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</si>
  <si>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</si>
  <si>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</si>
  <si>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</si>
  <si>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</si>
  <si>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</si>
  <si>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</si>
  <si>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</si>
  <si>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</si>
  <si>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</si>
  <si>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</si>
  <si>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</si>
  <si>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</si>
  <si>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</si>
  <si>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</si>
  <si>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</si>
  <si>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</si>
  <si>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</si>
  <si>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</si>
  <si>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</si>
  <si>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</si>
  <si>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</si>
  <si>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</si>
  <si>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</si>
  <si>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</si>
  <si>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</si>
  <si>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</si>
  <si>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</si>
  <si>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</si>
  <si>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</si>
  <si>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</si>
  <si>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</si>
  <si>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</si>
  <si>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</si>
  <si>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</si>
  <si>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</si>
  <si>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</si>
  <si>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</si>
  <si>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</si>
  <si>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</si>
  <si>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</si>
  <si>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</si>
  <si>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</si>
  <si>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</si>
  <si>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</si>
  <si>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</si>
  <si>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</si>
  <si>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</si>
  <si>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</si>
  <si>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</si>
  <si>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</si>
  <si>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</si>
  <si>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</si>
  <si>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</si>
  <si>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</si>
  <si>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</si>
  <si>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</si>
  <si>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</si>
  <si>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</si>
  <si>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</si>
  <si>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</si>
  <si>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</si>
  <si>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</si>
  <si>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</si>
  <si>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</si>
  <si>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</si>
  <si>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</si>
  <si>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</si>
  <si>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</si>
  <si>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</si>
  <si>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</si>
  <si>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</si>
  <si>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</si>
  <si>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</si>
  <si>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</si>
  <si>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</si>
  <si>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</si>
  <si>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</si>
  <si>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</si>
  <si>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</si>
  <si>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</si>
  <si>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</si>
  <si>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</si>
  <si>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</si>
  <si>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</si>
  <si>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</si>
  <si>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</si>
  <si>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</si>
  <si>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</si>
  <si>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</si>
  <si>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</si>
  <si>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</si>
  <si>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</si>
  <si>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</si>
  <si>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</si>
  <si>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</si>
  <si>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</si>
  <si>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</si>
  <si>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</si>
  <si>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</si>
  <si>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</si>
  <si>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</si>
  <si>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</si>
  <si>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</si>
  <si>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</si>
  <si>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</si>
  <si>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</si>
  <si>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</si>
  <si>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</si>
  <si>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</si>
  <si>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</si>
  <si>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</si>
  <si>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</si>
  <si>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</si>
  <si>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</si>
  <si>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</si>
  <si>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</si>
  <si>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</si>
  <si>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</si>
  <si>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</si>
  <si>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</si>
  <si>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</si>
  <si>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</si>
  <si>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</si>
  <si>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</si>
  <si>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</si>
  <si>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</si>
  <si>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</si>
  <si>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</si>
  <si>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</si>
  <si>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</si>
  <si>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</si>
  <si>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</si>
  <si>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</si>
  <si>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</si>
  <si>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</si>
  <si>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</si>
  <si>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</si>
  <si>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</si>
  <si>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</si>
  <si>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</si>
  <si>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</si>
  <si>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</si>
  <si>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</si>
  <si>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</si>
  <si>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</si>
  <si>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</si>
  <si>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</si>
  <si>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</si>
  <si>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</si>
  <si>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</si>
  <si>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</si>
  <si>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</si>
  <si>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</si>
  <si>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</si>
  <si>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</si>
  <si>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</si>
  <si>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</si>
  <si>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</si>
  <si>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</si>
  <si>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</si>
  <si>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</si>
  <si>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</si>
  <si>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</si>
  <si>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</si>
  <si>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</si>
  <si>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</si>
  <si>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</si>
  <si>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</si>
  <si>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</si>
  <si>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</si>
  <si>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</si>
  <si>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</si>
  <si>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</si>
  <si>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</si>
  <si>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</si>
  <si>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</si>
  <si>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</si>
  <si>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</si>
  <si>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</si>
  <si>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</si>
  <si>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</si>
  <si>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</si>
  <si>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</si>
  <si>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</si>
  <si>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</si>
  <si>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</si>
  <si>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</si>
  <si>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</si>
  <si>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</si>
  <si>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</si>
  <si>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</si>
  <si>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</si>
  <si>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</si>
  <si>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</si>
  <si>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</si>
  <si>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</si>
  <si>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</si>
  <si>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</si>
  <si>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</si>
  <si>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</si>
  <si>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</si>
  <si>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</si>
  <si>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</si>
  <si>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</si>
  <si>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</si>
  <si>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</si>
  <si>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</si>
  <si>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</si>
  <si>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</si>
  <si>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</si>
  <si>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</si>
  <si>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</si>
  <si>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</si>
  <si>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</si>
  <si>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</si>
  <si>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</si>
  <si>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</si>
  <si>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</si>
  <si>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</si>
  <si>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</si>
  <si>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</si>
  <si>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</si>
  <si>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</si>
  <si>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</si>
  <si>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</si>
  <si>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</si>
  <si>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</si>
  <si>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</si>
  <si>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</si>
  <si>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</si>
  <si>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</si>
  <si>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</si>
  <si>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</si>
  <si>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</si>
  <si>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</si>
  <si>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</si>
  <si>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</si>
  <si>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</si>
  <si>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</si>
  <si>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</si>
  <si>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</si>
  <si>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</si>
  <si>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</si>
  <si>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</si>
  <si>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</si>
  <si>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</si>
  <si>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</si>
  <si>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</si>
  <si>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</si>
  <si>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</si>
  <si>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</si>
  <si>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</si>
  <si>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</si>
  <si>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</si>
  <si>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</si>
  <si>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</si>
  <si>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</si>
  <si>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</si>
  <si>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</si>
  <si>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</si>
  <si>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</si>
  <si>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</si>
  <si>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</si>
  <si>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</si>
  <si>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</si>
  <si>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</si>
  <si>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</si>
  <si>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</si>
  <si>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</si>
  <si>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</si>
  <si>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</si>
  <si>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</si>
  <si>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</si>
  <si>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</si>
  <si>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</si>
  <si>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</si>
  <si>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</si>
  <si>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</si>
  <si>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</si>
  <si>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</si>
  <si>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</si>
  <si>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</si>
  <si>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</si>
  <si>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</si>
  <si>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</si>
  <si>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</si>
  <si>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</si>
  <si>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</si>
  <si>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</si>
  <si>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</si>
  <si>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</si>
  <si>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</si>
  <si>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</si>
  <si>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</si>
  <si>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</si>
  <si>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</si>
  <si>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</si>
  <si>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</si>
  <si>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</si>
  <si>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</si>
  <si>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</si>
  <si>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</si>
  <si>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</si>
  <si>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</si>
  <si>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</si>
  <si>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</si>
  <si>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</si>
  <si>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</si>
  <si>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</si>
  <si>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</si>
  <si>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</si>
  <si>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</si>
  <si>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</si>
  <si>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</si>
  <si>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</si>
  <si>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</si>
  <si>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</si>
  <si>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</si>
  <si>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</si>
  <si>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</si>
  <si>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</si>
  <si>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</si>
  <si>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</si>
  <si>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</si>
  <si>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</si>
  <si>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</si>
  <si>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</si>
  <si>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</si>
  <si>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</si>
  <si>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</si>
  <si>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</si>
  <si>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</si>
  <si>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</si>
  <si>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</si>
  <si>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</si>
  <si>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</si>
  <si>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</si>
  <si>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</si>
  <si>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</si>
  <si>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</si>
  <si>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</si>
  <si>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</si>
  <si>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</si>
  <si>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</si>
  <si>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</si>
  <si>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</si>
  <si>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</si>
  <si>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</si>
  <si>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</si>
  <si>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</si>
  <si>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</si>
  <si>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</si>
  <si>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</si>
  <si>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</si>
  <si>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</si>
  <si>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</si>
  <si>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</si>
  <si>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</si>
  <si>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</si>
  <si>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</si>
  <si>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</si>
  <si>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</si>
  <si>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</si>
  <si>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</si>
  <si>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</si>
  <si>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</si>
  <si>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</si>
  <si>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</si>
  <si>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</si>
  <si>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</si>
  <si>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</si>
  <si>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</si>
  <si>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</si>
  <si>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</si>
  <si>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</si>
  <si>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</si>
  <si>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</si>
  <si>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</si>
  <si>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</si>
  <si>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</si>
  <si>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</si>
  <si>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</si>
  <si>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</si>
  <si>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</si>
  <si>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</si>
  <si>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</si>
  <si>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</si>
  <si>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</si>
  <si>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</si>
  <si>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</si>
  <si>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</si>
  <si>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</si>
  <si>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</si>
  <si>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</si>
  <si>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</si>
  <si>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</si>
  <si>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</si>
  <si>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</si>
  <si>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</si>
  <si>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</si>
  <si>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</si>
  <si>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</si>
  <si>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</si>
  <si>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</si>
  <si>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</si>
  <si>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</si>
  <si>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</si>
  <si>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</si>
  <si>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</si>
  <si>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</si>
  <si>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</si>
  <si>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</si>
  <si>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</si>
  <si>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</si>
  <si>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</si>
  <si>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</si>
  <si>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</si>
  <si>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</si>
  <si>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</si>
  <si>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</si>
  <si>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</si>
  <si>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</si>
  <si>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</si>
  <si>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</si>
  <si>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</si>
  <si>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</si>
  <si>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</si>
  <si>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</si>
  <si>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</si>
  <si>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</si>
  <si>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</si>
  <si>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</si>
  <si>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</si>
  <si>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</si>
  <si>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</si>
  <si>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</si>
  <si>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</si>
  <si>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</si>
  <si>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</si>
  <si>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</si>
  <si>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</si>
  <si>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</si>
  <si>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</si>
  <si>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</si>
  <si>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</si>
  <si>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</si>
  <si>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</si>
  <si>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</si>
  <si>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</si>
  <si>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</si>
  <si>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</si>
  <si>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</si>
  <si>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</si>
  <si>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</si>
  <si>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</si>
  <si>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</si>
  <si>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</si>
  <si>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</si>
  <si>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</si>
  <si>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</si>
  <si>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</si>
  <si>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</si>
  <si>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</si>
  <si>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</si>
  <si>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</si>
  <si>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</si>
  <si>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</si>
  <si>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</si>
  <si>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</si>
  <si>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</si>
  <si>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</si>
  <si>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</si>
  <si>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</si>
  <si>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</si>
  <si>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</si>
  <si>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</si>
  <si>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</si>
  <si>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</si>
  <si>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</si>
  <si>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</si>
  <si>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</si>
  <si>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</si>
  <si>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</si>
  <si>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</si>
  <si>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</si>
  <si>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</si>
  <si>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</si>
  <si>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</si>
  <si>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</si>
  <si>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</si>
  <si>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</si>
  <si>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</si>
  <si>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</si>
  <si>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</si>
  <si>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</si>
  <si>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</si>
  <si>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</si>
  <si>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</si>
  <si>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</si>
  <si>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</si>
  <si>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</si>
  <si>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</si>
  <si>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</si>
  <si>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</si>
  <si>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</si>
  <si>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</si>
  <si>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</si>
  <si>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</si>
  <si>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</si>
  <si>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</si>
  <si>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</si>
  <si>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</si>
  <si>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</si>
  <si>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</si>
  <si>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</si>
  <si>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</si>
  <si>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</si>
  <si>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</si>
  <si>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</si>
  <si>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</si>
  <si>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</si>
  <si>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</si>
  <si>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</si>
  <si>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</si>
  <si>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</si>
  <si>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</si>
  <si>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</si>
  <si>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</si>
  <si>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</si>
  <si>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</si>
  <si>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</si>
  <si>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</si>
  <si>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</si>
  <si>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</si>
  <si>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</si>
  <si>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</si>
  <si>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</si>
  <si>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</si>
  <si>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</si>
  <si>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</si>
  <si>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</si>
  <si>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</si>
  <si>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</si>
  <si>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</si>
  <si>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</si>
  <si>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</si>
  <si>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</si>
  <si>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</si>
  <si>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</si>
  <si>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</si>
  <si>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</si>
  <si>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</si>
  <si>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</si>
  <si>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</si>
  <si>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</si>
  <si>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</si>
  <si>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</si>
  <si>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</si>
  <si>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</si>
  <si>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</si>
  <si>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</si>
  <si>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</si>
  <si>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</si>
  <si>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</si>
  <si>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</si>
  <si>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</si>
  <si>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</si>
  <si>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</si>
  <si>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</si>
  <si>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</si>
  <si>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</si>
  <si>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</si>
  <si>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</si>
  <si>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</si>
  <si>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</si>
  <si>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</si>
  <si>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</si>
  <si>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</si>
  <si>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</si>
  <si>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</si>
  <si>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</si>
  <si>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</si>
  <si>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</si>
  <si>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</si>
  <si>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</si>
  <si>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</si>
  <si>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</si>
  <si>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</si>
  <si>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</si>
  <si>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</si>
  <si>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</si>
  <si>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</si>
  <si>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</si>
  <si>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</si>
  <si>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</si>
  <si>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</si>
  <si>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</si>
  <si>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</si>
  <si>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</si>
  <si>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</si>
  <si>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</si>
  <si>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</si>
  <si>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</si>
  <si>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</si>
  <si>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</si>
  <si>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</si>
  <si>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</si>
  <si>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</si>
  <si>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</si>
  <si>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</si>
  <si>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</si>
  <si>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</si>
  <si>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</si>
  <si>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</si>
  <si>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</si>
  <si>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</si>
  <si>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</si>
  <si>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</si>
  <si>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</si>
  <si>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</si>
  <si>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</si>
  <si>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</si>
  <si>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</si>
  <si>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</si>
  <si>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</si>
  <si>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</si>
  <si>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</si>
  <si>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</si>
  <si>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</si>
  <si>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</si>
  <si>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</si>
  <si>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</si>
  <si>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</si>
  <si>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</si>
  <si>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</si>
  <si>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</si>
  <si>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</si>
  <si>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</si>
  <si>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</si>
  <si>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</si>
  <si>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</si>
  <si>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</si>
  <si>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</si>
  <si>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</si>
  <si>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</si>
  <si>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</si>
  <si>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</si>
  <si>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</si>
  <si>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</si>
  <si>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</si>
  <si>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</si>
  <si>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</si>
  <si>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</si>
  <si>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</si>
  <si>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</si>
  <si>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</si>
  <si>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</si>
  <si>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</si>
  <si>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</si>
  <si>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</si>
  <si>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</si>
  <si>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</si>
  <si>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</si>
  <si>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</si>
  <si>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</si>
  <si>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</si>
  <si>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</si>
  <si>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</si>
  <si>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</si>
  <si>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</si>
  <si>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</si>
  <si>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</si>
  <si>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</si>
  <si>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</si>
  <si>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</si>
  <si>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</si>
  <si>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</si>
  <si>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</si>
  <si>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</si>
  <si>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</si>
  <si>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</si>
  <si>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</si>
  <si>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</si>
  <si>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</si>
  <si>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</si>
  <si>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</si>
  <si>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</si>
  <si>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</si>
  <si>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</si>
  <si>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</si>
  <si>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</si>
  <si>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</si>
  <si>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</si>
  <si>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</si>
  <si>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</si>
  <si>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</si>
  <si>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</si>
  <si>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</si>
  <si>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</si>
  <si>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</si>
  <si>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</si>
  <si>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</si>
  <si>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</si>
  <si>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</si>
  <si>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</si>
  <si>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</si>
  <si>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</si>
  <si>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</si>
  <si>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</si>
  <si>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</si>
  <si>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</si>
  <si>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</si>
  <si>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</si>
  <si>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</si>
  <si>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</si>
  <si>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</si>
  <si>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</si>
  <si>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</si>
  <si>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</si>
  <si>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</si>
  <si>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</si>
  <si>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</si>
  <si>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</si>
  <si>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</si>
  <si>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</si>
  <si>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</si>
  <si>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</si>
  <si>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</si>
  <si>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</si>
  <si>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</si>
  <si>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</si>
  <si>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</si>
  <si>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</si>
  <si>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</si>
  <si>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</si>
  <si>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</si>
  <si>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</si>
  <si>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</si>
  <si>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</si>
  <si>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</si>
  <si>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</si>
  <si>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</si>
  <si>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</si>
  <si>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</si>
  <si>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</si>
  <si>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</si>
  <si>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</si>
  <si>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</si>
  <si>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</si>
  <si>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</si>
  <si>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</si>
  <si>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</si>
  <si>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</si>
  <si>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</si>
  <si>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</si>
  <si>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</si>
  <si>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</si>
  <si>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</si>
  <si>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</si>
  <si>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</si>
  <si>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</si>
  <si>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</si>
  <si>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</si>
  <si>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</si>
  <si>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</si>
  <si>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</si>
  <si>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</si>
  <si>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</si>
  <si>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</si>
  <si>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</si>
  <si>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</si>
  <si>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</si>
  <si>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</si>
  <si>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</si>
  <si>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</si>
  <si>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</si>
  <si>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</si>
  <si>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</si>
  <si>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</si>
  <si>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</si>
  <si>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</si>
  <si>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</si>
  <si>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</si>
  <si>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</si>
  <si>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</si>
  <si>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</si>
  <si>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</si>
  <si>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</si>
  <si>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</si>
  <si>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</si>
  <si>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</si>
  <si>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</si>
  <si>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</si>
  <si>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</si>
  <si>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</si>
  <si>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</si>
  <si>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</si>
  <si>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</si>
  <si>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</si>
  <si>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</si>
  <si>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</si>
  <si>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</si>
  <si>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</si>
  <si>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</si>
  <si>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</si>
  <si>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</si>
  <si>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</si>
  <si>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</si>
  <si>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</si>
  <si>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</si>
  <si>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</si>
  <si>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</si>
  <si>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</si>
  <si>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</si>
  <si>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</si>
  <si>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</si>
  <si>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</si>
  <si>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</si>
  <si>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</si>
  <si>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</si>
  <si>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</si>
  <si>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</si>
  <si>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</si>
  <si>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</si>
  <si>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</si>
  <si>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</si>
  <si>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</si>
  <si>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</si>
  <si>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</si>
  <si>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</si>
  <si>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</si>
  <si>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</si>
  <si>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</si>
  <si>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</si>
  <si>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</si>
  <si>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</si>
  <si>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</si>
  <si>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</si>
  <si>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</si>
  <si>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</si>
  <si>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</si>
  <si>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</si>
  <si>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</si>
  <si>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</si>
  <si>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</si>
  <si>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</si>
  <si>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</si>
  <si>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</si>
  <si>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</si>
  <si>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</si>
  <si>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</si>
  <si>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</si>
  <si>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</si>
  <si>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</si>
  <si>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</si>
  <si>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</si>
  <si>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</si>
  <si>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</si>
  <si>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</si>
  <si>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</si>
  <si>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</si>
  <si>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</si>
  <si>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</si>
  <si>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</si>
  <si>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</si>
  <si>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</si>
  <si>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</si>
  <si>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</si>
  <si>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</si>
  <si>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</si>
  <si>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</si>
  <si>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</si>
  <si>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</si>
  <si>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</si>
  <si>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</si>
  <si>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</si>
  <si>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</si>
  <si>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</si>
  <si>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</si>
  <si>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</si>
  <si>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</si>
  <si>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</si>
  <si>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</si>
  <si>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</si>
  <si>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</si>
  <si>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</si>
  <si>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</si>
  <si>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</si>
  <si>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</si>
  <si>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</si>
  <si>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</si>
  <si>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</si>
  <si>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</si>
  <si>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</si>
  <si>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</si>
  <si>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</si>
  <si>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</si>
  <si>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</si>
  <si>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</si>
  <si>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</si>
  <si>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</si>
  <si>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</si>
  <si>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</si>
  <si>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</si>
  <si>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</si>
  <si>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</si>
  <si>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</si>
  <si>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</si>
  <si>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</si>
  <si>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</si>
  <si>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</si>
  <si>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</si>
  <si>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</si>
  <si>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</si>
  <si>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</si>
  <si>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</si>
  <si>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</si>
  <si>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</si>
  <si>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</si>
  <si>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</si>
  <si>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</si>
  <si>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</si>
  <si>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</si>
  <si>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</si>
  <si>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</si>
  <si>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</si>
  <si>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</si>
  <si>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</si>
  <si>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</si>
  <si>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</si>
  <si>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</si>
  <si>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</si>
  <si>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</si>
  <si>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</si>
  <si>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</si>
  <si>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</si>
  <si>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</si>
  <si>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</si>
  <si>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</si>
  <si>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</si>
  <si>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</si>
  <si>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</si>
  <si>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</si>
  <si>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</si>
  <si>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</si>
  <si>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</si>
  <si>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</si>
  <si>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</si>
  <si>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</si>
  <si>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</si>
  <si>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</si>
  <si>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</si>
  <si>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</si>
  <si>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</si>
  <si>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</si>
  <si>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</si>
  <si>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</si>
  <si>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</si>
  <si>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</si>
  <si>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</si>
  <si>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</si>
  <si>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</si>
  <si>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</si>
  <si>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</si>
  <si>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</si>
  <si>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</si>
  <si>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</si>
  <si>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</si>
  <si>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</si>
  <si>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</si>
  <si>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</si>
  <si>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</si>
  <si>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</si>
  <si>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</si>
  <si>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</si>
  <si>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</si>
  <si>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</si>
  <si>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</si>
  <si>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</si>
  <si>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</si>
  <si>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</si>
  <si>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</si>
  <si>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</si>
  <si>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</si>
  <si>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</si>
  <si>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</si>
  <si>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</si>
  <si>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</si>
  <si>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</si>
  <si>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</si>
  <si>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</si>
  <si>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</si>
  <si>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</si>
  <si>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</si>
  <si>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</si>
  <si>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</si>
  <si>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</si>
  <si>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</si>
  <si>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</si>
  <si>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</si>
  <si>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</si>
  <si>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</si>
  <si>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</si>
  <si>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</si>
  <si>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</si>
  <si>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</si>
  <si>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</si>
  <si>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</si>
  <si>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</si>
  <si>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</si>
  <si>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</si>
  <si>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</si>
  <si>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</si>
  <si>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</si>
  <si>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</si>
  <si>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</si>
  <si>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</si>
  <si>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</si>
  <si>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</si>
  <si>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</si>
  <si>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</si>
  <si>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</si>
  <si>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</si>
  <si>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</si>
  <si>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</si>
  <si>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</si>
  <si>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</si>
  <si>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</si>
  <si>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</si>
  <si>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</si>
  <si>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</si>
  <si>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</si>
  <si>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</si>
  <si>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</si>
  <si>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</si>
  <si>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</si>
  <si>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</si>
  <si>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</si>
  <si>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</si>
  <si>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</si>
  <si>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</si>
  <si>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</si>
  <si>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</si>
  <si>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</si>
  <si>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</si>
  <si>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</si>
  <si>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</si>
  <si>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</si>
  <si>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</si>
  <si>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</si>
  <si>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</si>
  <si>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</si>
  <si>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</si>
  <si>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</si>
  <si>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</si>
  <si>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</si>
  <si>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</si>
  <si>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</si>
  <si>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</si>
  <si>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</si>
  <si>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</si>
  <si>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</si>
  <si>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</si>
  <si>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</si>
  <si>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</si>
  <si>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</si>
  <si>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</si>
  <si>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</si>
  <si>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</si>
  <si>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</si>
  <si>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</si>
  <si>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</si>
  <si>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</si>
  <si>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</si>
  <si>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</si>
  <si>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</si>
  <si>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</si>
  <si>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</si>
  <si>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</si>
  <si>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</si>
  <si>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</si>
  <si>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</si>
  <si>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</si>
  <si>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</si>
  <si>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</si>
  <si>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</si>
  <si>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</si>
  <si>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</si>
  <si>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</si>
  <si>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</si>
  <si>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</si>
  <si>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</si>
  <si>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</si>
  <si>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</si>
  <si>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</si>
  <si>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</si>
  <si>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</si>
  <si>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</si>
  <si>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</si>
  <si>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</si>
  <si>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</si>
  <si>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</si>
  <si>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</si>
  <si>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</si>
  <si>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</si>
  <si>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</si>
  <si>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</si>
  <si>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</si>
  <si>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</si>
  <si>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</si>
  <si>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</si>
  <si>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</si>
  <si>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</si>
  <si>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</si>
  <si>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</si>
  <si>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</si>
  <si>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</si>
  <si>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</si>
  <si>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</si>
  <si>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</si>
  <si>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</si>
  <si>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</si>
  <si>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</si>
  <si>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</si>
  <si>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</si>
  <si>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</si>
  <si>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</si>
  <si>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</si>
  <si>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</si>
  <si>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</si>
  <si>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</si>
  <si>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</si>
  <si>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</si>
  <si>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</si>
  <si>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</si>
  <si>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</si>
  <si>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</si>
  <si>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</si>
  <si>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</si>
  <si>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</si>
  <si>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</si>
  <si>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</si>
  <si>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</si>
  <si>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</si>
  <si>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</si>
  <si>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</si>
  <si>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</si>
  <si>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</si>
  <si>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</si>
  <si>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</si>
  <si>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</si>
  <si>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</si>
  <si>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</si>
  <si>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</si>
  <si>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</si>
  <si>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</si>
  <si>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</si>
  <si>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</si>
  <si>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</si>
  <si>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</si>
  <si>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</si>
  <si>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</si>
  <si>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</si>
  <si>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</si>
  <si>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</si>
  <si>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</si>
  <si>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</si>
  <si>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</si>
  <si>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</si>
  <si>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</si>
  <si>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</si>
  <si>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</si>
  <si>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</si>
  <si>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</si>
  <si>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</si>
  <si>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</si>
  <si>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</si>
  <si>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</si>
  <si>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</si>
  <si>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</si>
  <si>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</si>
  <si>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</si>
  <si>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</si>
  <si>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</si>
  <si>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</si>
  <si>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</si>
  <si>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</si>
  <si>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</si>
  <si>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</si>
  <si>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</si>
  <si>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</si>
  <si>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</si>
  <si>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</si>
  <si>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</si>
  <si>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</si>
  <si>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</si>
  <si>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</si>
  <si>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</si>
  <si>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</si>
  <si>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</si>
  <si>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</si>
  <si>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</si>
  <si>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</si>
  <si>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</si>
  <si>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</si>
  <si>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</si>
  <si>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</si>
  <si>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</si>
  <si>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</si>
  <si>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</si>
  <si>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</si>
  <si>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</si>
  <si>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</si>
  <si>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</si>
  <si>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</si>
  <si>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</si>
  <si>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</si>
  <si>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</si>
  <si>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</si>
  <si>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</si>
  <si>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</si>
  <si>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</si>
  <si>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</si>
  <si>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</si>
  <si>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</si>
  <si>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</si>
  <si>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</si>
  <si>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</si>
  <si>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</si>
  <si>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</si>
  <si>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</si>
  <si>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</si>
  <si>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</si>
  <si>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</si>
  <si>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</si>
  <si>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</si>
  <si>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</si>
  <si>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</si>
  <si>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</si>
  <si>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</si>
  <si>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</si>
  <si>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</si>
  <si>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</si>
  <si>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</si>
  <si>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</si>
  <si>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</si>
  <si>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</si>
  <si>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</si>
  <si>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</si>
  <si>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</si>
  <si>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</si>
  <si>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</si>
  <si>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</si>
  <si>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</si>
  <si>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</si>
  <si>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</si>
  <si>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</si>
  <si>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</si>
  <si>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</si>
  <si>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</si>
  <si>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</si>
  <si>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</si>
  <si>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</si>
  <si>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</si>
  <si>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</si>
  <si>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</si>
  <si>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</si>
  <si>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</si>
  <si>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</si>
  <si>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</si>
  <si>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</si>
  <si>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</si>
  <si>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</si>
  <si>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</si>
  <si>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</si>
  <si>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</si>
  <si>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</si>
  <si>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</si>
  <si>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</si>
  <si>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</si>
  <si>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</si>
  <si>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</si>
  <si>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</si>
  <si>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</si>
  <si>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</si>
  <si>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</si>
  <si>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</si>
  <si>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</si>
  <si>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</si>
  <si>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</si>
  <si>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</si>
  <si>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</si>
  <si>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</si>
  <si>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</si>
  <si>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</si>
  <si>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</si>
  <si>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</si>
  <si>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</si>
  <si>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</si>
  <si>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</si>
  <si>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</si>
  <si>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</si>
  <si>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</si>
  <si>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</si>
  <si>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</si>
  <si>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</si>
  <si>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</si>
  <si>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</si>
  <si>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</si>
  <si>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</si>
  <si>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</si>
  <si>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</si>
  <si>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</si>
  <si>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</si>
  <si>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</si>
  <si>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</si>
  <si>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</si>
  <si>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</si>
  <si>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</si>
  <si>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</si>
  <si>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</si>
  <si>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</si>
  <si>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</si>
  <si>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</si>
  <si>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</si>
  <si>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</si>
  <si>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</si>
  <si>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</si>
  <si>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</si>
  <si>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</si>
  <si>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</si>
  <si>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</si>
  <si>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</si>
  <si>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</si>
  <si>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</si>
  <si>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</si>
  <si>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</si>
  <si>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</si>
  <si>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</si>
  <si>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</si>
  <si>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</si>
  <si>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</si>
  <si>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</si>
  <si>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</si>
  <si>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</si>
  <si>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</si>
  <si>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</si>
  <si>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</si>
  <si>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</si>
  <si>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</si>
  <si>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</si>
  <si>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</si>
  <si>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</si>
  <si>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</si>
  <si>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</si>
  <si>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</si>
  <si>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</si>
  <si>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</si>
  <si>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</si>
  <si>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</si>
  <si>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</si>
  <si>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</si>
  <si>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</si>
  <si>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</si>
  <si>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</si>
  <si>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</si>
  <si>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</si>
  <si>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</si>
  <si>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</si>
  <si>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</si>
  <si>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</si>
  <si>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</si>
  <si>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</si>
  <si>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</si>
  <si>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</si>
  <si>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</si>
  <si>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</si>
  <si>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</si>
  <si>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</si>
  <si>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</si>
  <si>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</si>
  <si>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</si>
  <si>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</si>
  <si>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</si>
  <si>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</si>
  <si>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</si>
  <si>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</si>
  <si>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</si>
  <si>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</si>
  <si>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</si>
  <si>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</si>
  <si>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</si>
  <si>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</si>
  <si>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</si>
  <si>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</si>
  <si>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</si>
  <si>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</si>
  <si>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</si>
  <si>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</si>
  <si>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</si>
  <si>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</si>
  <si>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</si>
  <si>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</si>
  <si>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</si>
  <si>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</si>
  <si>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</si>
  <si>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</si>
  <si>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</si>
  <si>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</si>
  <si>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</si>
  <si>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</si>
  <si>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</si>
  <si>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</si>
  <si>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</si>
  <si>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</si>
  <si>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</si>
  <si>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</si>
  <si>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</si>
  <si>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</si>
  <si>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</si>
  <si>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</si>
  <si>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</si>
  <si>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</si>
  <si>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</si>
  <si>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</si>
  <si>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</si>
  <si>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</si>
  <si>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</si>
  <si>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</si>
  <si>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</si>
  <si>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</si>
  <si>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</si>
  <si>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</si>
  <si>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</si>
  <si>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</si>
  <si>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</si>
  <si>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</si>
  <si>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</si>
  <si>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</si>
  <si>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</si>
  <si>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</si>
  <si>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</si>
  <si>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</si>
  <si>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</si>
  <si>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</si>
  <si>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</si>
  <si>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</si>
  <si>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</si>
  <si>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</si>
  <si>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</si>
  <si>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</si>
  <si>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</si>
  <si>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</si>
  <si>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</si>
  <si>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</si>
  <si>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</si>
  <si>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</si>
  <si>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</si>
  <si>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</si>
  <si>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</si>
  <si>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</si>
  <si>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</si>
  <si>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</si>
  <si>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</si>
  <si>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</si>
  <si>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</si>
  <si>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</si>
  <si>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</si>
  <si>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</si>
  <si>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</si>
  <si>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</si>
  <si>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</si>
  <si>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</si>
  <si>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</si>
  <si>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</si>
  <si>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</si>
  <si>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</si>
  <si>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</si>
  <si>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</si>
  <si>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</si>
  <si>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</si>
  <si>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</si>
  <si>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</si>
  <si>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</si>
  <si>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</si>
  <si>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</si>
  <si>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</si>
  <si>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</si>
  <si>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</si>
  <si>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</si>
  <si>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</si>
  <si>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</si>
  <si>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</si>
  <si>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</si>
  <si>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</si>
  <si>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</si>
  <si>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</si>
  <si>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</si>
  <si>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</si>
  <si>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</si>
  <si>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</si>
  <si>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</si>
  <si>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</si>
  <si>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</si>
  <si>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</si>
  <si>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</si>
  <si>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</si>
  <si>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</si>
  <si>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</si>
  <si>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</si>
  <si>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</si>
  <si>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</si>
  <si>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</si>
  <si>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</si>
  <si>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</si>
  <si>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</si>
  <si>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</si>
  <si>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</si>
  <si>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</si>
  <si>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</si>
  <si>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</si>
  <si>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</si>
  <si>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</si>
  <si>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</si>
  <si>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</si>
  <si>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</si>
  <si>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</si>
  <si>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</si>
  <si>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</si>
  <si>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</si>
  <si>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</si>
  <si>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</si>
  <si>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</si>
  <si>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</si>
  <si>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</si>
  <si>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</si>
  <si>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</si>
  <si>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</si>
  <si>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</si>
  <si>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</si>
  <si>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</si>
  <si>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</si>
  <si>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</si>
  <si>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</si>
  <si>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</si>
  <si>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</si>
  <si>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</si>
  <si>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</si>
  <si>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</si>
  <si>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</si>
  <si>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</si>
  <si>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</si>
  <si>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</si>
  <si>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</si>
  <si>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</si>
  <si>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</si>
  <si>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</si>
  <si>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</si>
  <si>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</si>
  <si>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</si>
  <si>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</si>
  <si>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</si>
  <si>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</si>
  <si>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</si>
  <si>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</si>
  <si>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</si>
  <si>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</si>
  <si>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</si>
  <si>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</si>
  <si>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</si>
  <si>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</si>
  <si>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</si>
  <si>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</si>
  <si>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</si>
  <si>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</si>
  <si>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</si>
  <si>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</si>
  <si>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</si>
  <si>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</si>
  <si>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</si>
  <si>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</si>
  <si>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</si>
  <si>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</si>
  <si>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</si>
  <si>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</si>
  <si>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</si>
  <si>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</si>
  <si>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</si>
  <si>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</si>
  <si>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</si>
  <si>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</si>
  <si>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</si>
  <si>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</si>
  <si>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</si>
  <si>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</si>
  <si>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</si>
  <si>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</si>
  <si>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</si>
  <si>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</si>
  <si>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</si>
  <si>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</si>
  <si>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</si>
  <si>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</si>
  <si>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</si>
  <si>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</si>
  <si>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</si>
  <si>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</si>
  <si>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</si>
  <si>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</si>
  <si>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</si>
  <si>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</si>
  <si>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</si>
  <si>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</si>
  <si>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</si>
  <si>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</si>
  <si>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</si>
  <si>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</si>
  <si>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</si>
  <si>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</si>
  <si>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</si>
  <si>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610 W Ash </t>
  </si>
  <si>
    <t>San Diego Housing Commission / City of San Diego</t>
  </si>
  <si>
    <t>Colin Miller</t>
  </si>
  <si>
    <t>1122 Broadway, Suite 300</t>
  </si>
  <si>
    <t>(619) 578-7659</t>
  </si>
  <si>
    <t>(619) 578-7356</t>
  </si>
  <si>
    <t>colinm@sdhc.org</t>
  </si>
  <si>
    <t>610 West by Vintage Partners, LLC</t>
  </si>
  <si>
    <t>Administrative GP</t>
  </si>
  <si>
    <t>369 San Miguel Drive, Suite 135</t>
  </si>
  <si>
    <t>Newport Beach</t>
  </si>
  <si>
    <t>CA</t>
  </si>
  <si>
    <t>Michael K. Gancar</t>
  </si>
  <si>
    <t>Sierra VHH Holdings, LLC / Pinnacles Advisors, LLC</t>
  </si>
  <si>
    <t>(949) 721-6775</t>
  </si>
  <si>
    <t>mgancar@vintagehousing.com</t>
  </si>
  <si>
    <t>Managing GP</t>
  </si>
  <si>
    <t>1401 Dove Street, Suite 620</t>
  </si>
  <si>
    <t>Socorro Vasquez</t>
  </si>
  <si>
    <t>(949) 553-9447</t>
  </si>
  <si>
    <t>coco@hearthstonehousing.org</t>
  </si>
  <si>
    <t xml:space="preserve">Hearthstone Housing Foundation </t>
  </si>
  <si>
    <t>Sabelhaus &amp; Strain PC</t>
  </si>
  <si>
    <t>1724 10th Street, Suite 110</t>
  </si>
  <si>
    <t>Stephen A. Strain</t>
  </si>
  <si>
    <t>(916) 444-0286</t>
  </si>
  <si>
    <t>sstrain@sabelhauslaw.ocm</t>
  </si>
  <si>
    <t>Attorney / Consultant</t>
  </si>
  <si>
    <t>620 Newport Center Drive, 15th Floor</t>
  </si>
  <si>
    <t>Newport Beach, CA 92660</t>
  </si>
  <si>
    <t>Matt Gray</t>
  </si>
  <si>
    <t>(310) 621-4581</t>
  </si>
  <si>
    <t>matthew.gray@greystar.com</t>
  </si>
  <si>
    <t>Other: Cost Certification</t>
  </si>
  <si>
    <t>Other: Borrower Counsel &amp; Contingency, Hearthstone fees and attorney, Recycled bonds reservation costs</t>
  </si>
  <si>
    <t xml:space="preserve">Workers Comp, Payroll Taxes, Benefits </t>
  </si>
  <si>
    <t>San Diego Metropolitan Transit System (MTS)</t>
  </si>
  <si>
    <t>1550 California St</t>
  </si>
  <si>
    <t>San Diego, CA 92101</t>
  </si>
  <si>
    <t>619-233-3004</t>
  </si>
  <si>
    <t>https://www.sdmts.com/</t>
  </si>
  <si>
    <t xml:space="preserve">0.10 miles </t>
  </si>
  <si>
    <t>Waterfront Park Playground</t>
  </si>
  <si>
    <t>1400-1496 Pacific Hwy</t>
  </si>
  <si>
    <t>619-232-7275</t>
  </si>
  <si>
    <t>https://www.sdparks.org/content/sdparks/en/park-pages/Waterfront.html</t>
  </si>
  <si>
    <t xml:space="preserve">0.19 miles </t>
  </si>
  <si>
    <t>Ralph’s</t>
  </si>
  <si>
    <t>101 G Street</t>
  </si>
  <si>
    <t>https://www.ralphs.com/stores/grocery/ca/san-diego/downtown-san-diego/703/00123</t>
  </si>
  <si>
    <t>619-595-1581</t>
  </si>
  <si>
    <t>San Diego City College</t>
  </si>
  <si>
    <t>1313 Park Blvd</t>
  </si>
  <si>
    <t>San Diego, CA 92101.</t>
  </si>
  <si>
    <t>https://sdcity.edu/</t>
  </si>
  <si>
    <t>619-388-3400</t>
  </si>
  <si>
    <t xml:space="preserve">0.80 miles </t>
  </si>
  <si>
    <t xml:space="preserve">0.65 miles </t>
  </si>
  <si>
    <t>Downtown Family Health Center at Connections</t>
  </si>
  <si>
    <t>1250 Sixth Ave #100,</t>
  </si>
  <si>
    <t>619-515-2430</t>
  </si>
  <si>
    <t>https://www.fhcsd.org/downtown-family-health-center-at-connections/</t>
  </si>
  <si>
    <t xml:space="preserve">0.53 miles </t>
  </si>
  <si>
    <t>CVS Pharmacy</t>
  </si>
  <si>
    <t>510 C Street</t>
  </si>
  <si>
    <t>619-615-0263</t>
  </si>
  <si>
    <t>0.56 miles</t>
  </si>
  <si>
    <t>https://www.cvs.com/store-locator/san-diego-ca-pharmacies/510-c-street-san-diego-ca-92101/storeid=4768?WT.mc_id=LS_GOOGLE_RX_4768</t>
  </si>
  <si>
    <t>Taxable Construction Loan</t>
  </si>
  <si>
    <t>Deferred Development Fee</t>
  </si>
  <si>
    <t>Fixed</t>
  </si>
  <si>
    <t>Vintage Housing Development, Inc</t>
  </si>
  <si>
    <t>3569 San Miguel Drive, Suite 135</t>
  </si>
  <si>
    <t xml:space="preserve">Michael Gancar </t>
  </si>
  <si>
    <t xml:space="preserve">StK :a, Inc. </t>
  </si>
  <si>
    <t xml:space="preserve">20 Corporate Park, Suite 190 </t>
  </si>
  <si>
    <t>Irvine, CA 92606</t>
  </si>
  <si>
    <t>Soong Thomas Kim</t>
  </si>
  <si>
    <t xml:space="preserve">Sabelhaus &amp; Strain PC </t>
  </si>
  <si>
    <t>Sacramento, CA 95811</t>
  </si>
  <si>
    <t>Stephen Strain</t>
  </si>
  <si>
    <t>(949) 444-6869</t>
  </si>
  <si>
    <t>skim@stkarch.com</t>
  </si>
  <si>
    <t>Bernard E. Rea</t>
  </si>
  <si>
    <t>PO Box 492</t>
  </si>
  <si>
    <t>Aubrey, TX 76227</t>
  </si>
  <si>
    <t>Bernie Rea</t>
  </si>
  <si>
    <t xml:space="preserve">Steohen Strain </t>
  </si>
  <si>
    <t>916-444-0286</t>
  </si>
  <si>
    <t>209-933-9113</t>
  </si>
  <si>
    <t>sstrain@sabelhauslaw.com</t>
  </si>
  <si>
    <t>Novogradac Consulting LLP</t>
  </si>
  <si>
    <t>3780 Kilroy Airport Way, Suite 330</t>
  </si>
  <si>
    <t>Long Beach, CA 90806</t>
  </si>
  <si>
    <t>Lindsey Hannon</t>
  </si>
  <si>
    <t>512-349-3212</t>
  </si>
  <si>
    <t>2111 Palomar Road, Suite 320</t>
  </si>
  <si>
    <t>Carlsbad, CA 92011</t>
  </si>
  <si>
    <t>Benjamin Barker</t>
  </si>
  <si>
    <t>760-930-1266</t>
  </si>
  <si>
    <t>bbarker@cmfa-ca.com</t>
  </si>
  <si>
    <t>533-324-14-00</t>
  </si>
  <si>
    <t>40%/60% Average Income</t>
  </si>
  <si>
    <t>Limited Liability Company</t>
  </si>
  <si>
    <t>lindsey.hannon@novoco.com</t>
  </si>
  <si>
    <t>R4 Capital LLC</t>
  </si>
  <si>
    <t>895 Dove Street, Suite 475</t>
  </si>
  <si>
    <t>Cory Bannister</t>
  </si>
  <si>
    <t>949-438-1055</t>
  </si>
  <si>
    <t>cbannister@r4cap.com</t>
  </si>
  <si>
    <t>breacpa@aol.com</t>
  </si>
  <si>
    <t>Other (Specify below)</t>
  </si>
  <si>
    <t xml:space="preserve">Adaptive reuse of existing 19-story office building with floors 1-6 dedicated to first-floor commercial uses and parking garage and floors  7-19 dedicated to residential multifamily. </t>
  </si>
  <si>
    <t xml:space="preserve">Multiple Use / Employment/Residential Mixed-Use </t>
  </si>
  <si>
    <t>CCPD-ER (Center City Planned District - Employment / Residential Mixed-Use)</t>
  </si>
  <si>
    <t>Tax Exempt Construction Loan</t>
  </si>
  <si>
    <t>Tax-Exempt Recycled Construction Loan</t>
  </si>
  <si>
    <t xml:space="preserve">LIHTC Equity </t>
  </si>
  <si>
    <t>Citibank, N.A.</t>
  </si>
  <si>
    <t>Vintage Housing Development, Inc.</t>
  </si>
  <si>
    <t>R4 Capital, LLC</t>
  </si>
  <si>
    <t>325 E Hillcrest Drive, Suite 260</t>
  </si>
  <si>
    <t xml:space="preserve">Thousand Oaks, CA </t>
  </si>
  <si>
    <t>Mike Hemmens</t>
  </si>
  <si>
    <t>(805) 557-0933</t>
  </si>
  <si>
    <t>Newport Beach, CA</t>
  </si>
  <si>
    <t xml:space="preserve">Newport Beach, CA </t>
  </si>
  <si>
    <t>895 Dove Street, Suite 450</t>
  </si>
  <si>
    <t>(949) 438-1056</t>
  </si>
  <si>
    <t>Tax Exempt Permanent Loan</t>
  </si>
  <si>
    <t>325 E Hillcrest Drive, Suite 160</t>
  </si>
  <si>
    <t>Owner-paid utilities</t>
  </si>
  <si>
    <t>Supplies</t>
  </si>
  <si>
    <t>Telephone, Office Supplies</t>
  </si>
  <si>
    <t>Hearthstone Housing Foundation</t>
  </si>
  <si>
    <t>9th</t>
  </si>
  <si>
    <t>September</t>
  </si>
  <si>
    <t>Executive Director</t>
  </si>
  <si>
    <t>A10 PAF 2015-1 REO-610 West Ash, LLC</t>
  </si>
  <si>
    <t>Jamie Berenger, Chief Credit Officer</t>
  </si>
  <si>
    <t>c/o A10 Capital, 800 W. Main Street, Suite 1100, Boise, ID 83702</t>
  </si>
  <si>
    <t>Parking, Cable/Rev Share</t>
  </si>
  <si>
    <t>Inspections</t>
  </si>
  <si>
    <t>Below residual receipts line for cash flow</t>
  </si>
  <si>
    <t>Provided</t>
  </si>
  <si>
    <t>Not Applicable</t>
  </si>
  <si>
    <t>Greystar California, Inc.</t>
  </si>
  <si>
    <t>N/A - Unlimited</t>
  </si>
  <si>
    <t>0.2:1 (50% AMI)</t>
  </si>
  <si>
    <t>Hearthstone CA Properties VI,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</si>
</sst>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43401">
    <xf numFmtId="0" fontId="0" fillId="0" borderId="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8" fillId="23" borderId="0" applyNumberFormat="0" applyBorder="0" applyAlignment="0" applyProtection="0"/>
    <xf numFmtId="0" fontId="88" fillId="23" borderId="0" applyNumberFormat="0" applyBorder="0" applyAlignment="0" applyProtection="0"/>
    <xf numFmtId="0" fontId="88" fillId="24" borderId="0" applyNumberFormat="0" applyBorder="0" applyAlignment="0" applyProtection="0"/>
    <xf numFmtId="0" fontId="88" fillId="25"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88" fillId="26" borderId="0" applyNumberFormat="0" applyBorder="0" applyAlignment="0" applyProtection="0"/>
    <xf numFmtId="0" fontId="88" fillId="27" borderId="0" applyNumberFormat="0" applyBorder="0" applyAlignment="0" applyProtection="0"/>
    <xf numFmtId="0" fontId="88" fillId="28" borderId="0" applyNumberFormat="0" applyBorder="0" applyAlignment="0" applyProtection="0"/>
    <xf numFmtId="0" fontId="88" fillId="28"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88" fillId="30" borderId="0" applyNumberFormat="0" applyBorder="0" applyAlignment="0" applyProtection="0"/>
    <xf numFmtId="0" fontId="88" fillId="31" borderId="0" applyNumberFormat="0" applyBorder="0" applyAlignment="0" applyProtection="0"/>
    <xf numFmtId="0" fontId="88" fillId="31" borderId="0" applyNumberFormat="0" applyBorder="0" applyAlignment="0" applyProtection="0"/>
    <xf numFmtId="0" fontId="88" fillId="32" borderId="0" applyNumberFormat="0" applyBorder="0" applyAlignment="0" applyProtection="0"/>
    <xf numFmtId="0" fontId="88" fillId="32" borderId="0" applyNumberFormat="0" applyBorder="0" applyAlignment="0" applyProtection="0"/>
    <xf numFmtId="0" fontId="88" fillId="33" borderId="0" applyNumberFormat="0" applyBorder="0" applyAlignment="0" applyProtection="0"/>
    <xf numFmtId="0" fontId="88" fillId="34" borderId="0" applyNumberFormat="0" applyBorder="0" applyAlignment="0" applyProtection="0"/>
    <xf numFmtId="0" fontId="89" fillId="35" borderId="0" applyNumberFormat="0" applyBorder="0" applyAlignment="0" applyProtection="0"/>
    <xf numFmtId="0" fontId="89" fillId="35" borderId="0" applyNumberFormat="0" applyBorder="0" applyAlignment="0" applyProtection="0"/>
    <xf numFmtId="0" fontId="90" fillId="36" borderId="18" applyNumberFormat="0" applyAlignment="0" applyProtection="0"/>
    <xf numFmtId="0" fontId="90" fillId="36" borderId="18" applyNumberFormat="0" applyAlignment="0" applyProtection="0"/>
    <xf numFmtId="0" fontId="91" fillId="37" borderId="19" applyNumberFormat="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7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64" fillId="0" borderId="0" applyFont="0" applyFill="0" applyBorder="0" applyAlignment="0" applyProtection="0"/>
    <xf numFmtId="43" fontId="29" fillId="0" borderId="0" applyFont="0" applyFill="0" applyBorder="0" applyAlignment="0" applyProtection="0"/>
    <xf numFmtId="43" fontId="64" fillId="0" borderId="0" applyFont="0" applyFill="0" applyBorder="0" applyAlignment="0" applyProtection="0"/>
    <xf numFmtId="44" fontId="80"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64" fillId="0" borderId="0" applyFont="0" applyFill="0" applyBorder="0" applyAlignment="0" applyProtection="0"/>
    <xf numFmtId="44" fontId="80" fillId="0" borderId="0" applyFont="0" applyFill="0" applyBorder="0" applyAlignment="0" applyProtection="0"/>
    <xf numFmtId="44" fontId="29" fillId="0" borderId="0" applyFont="0" applyFill="0" applyBorder="0" applyAlignment="0" applyProtection="0"/>
    <xf numFmtId="44" fontId="82" fillId="0" borderId="0" applyFont="0" applyFill="0" applyBorder="0" applyAlignment="0" applyProtection="0"/>
    <xf numFmtId="44" fontId="29" fillId="0" borderId="0" applyFont="0" applyFill="0" applyBorder="0" applyAlignment="0" applyProtection="0"/>
    <xf numFmtId="44" fontId="64" fillId="0" borderId="0" applyFont="0" applyFill="0" applyBorder="0" applyAlignment="0" applyProtection="0">
      <alignment vertical="top"/>
    </xf>
    <xf numFmtId="44" fontId="64" fillId="0" borderId="0" applyFont="0" applyFill="0" applyBorder="0" applyAlignment="0" applyProtection="0">
      <alignment vertical="top"/>
    </xf>
    <xf numFmtId="44" fontId="29" fillId="0" borderId="0" applyFont="0" applyFill="0" applyBorder="0" applyAlignment="0" applyProtection="0"/>
    <xf numFmtId="44" fontId="64" fillId="0" borderId="0" applyFont="0" applyFill="0" applyBorder="0" applyAlignment="0" applyProtection="0">
      <alignment vertical="top"/>
    </xf>
    <xf numFmtId="44" fontId="64" fillId="0" borderId="0" applyFont="0" applyFill="0" applyBorder="0" applyAlignment="0" applyProtection="0"/>
    <xf numFmtId="44" fontId="79"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64" fillId="0" borderId="0" applyFont="0" applyFill="0" applyBorder="0" applyAlignment="0" applyProtection="0"/>
    <xf numFmtId="44" fontId="7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64" fillId="0" borderId="0" applyFont="0" applyFill="0" applyBorder="0" applyAlignment="0" applyProtection="0"/>
    <xf numFmtId="44" fontId="29" fillId="0" borderId="0" applyFont="0" applyFill="0" applyBorder="0" applyAlignment="0" applyProtection="0"/>
    <xf numFmtId="44" fontId="74" fillId="0" borderId="0" applyFont="0" applyFill="0" applyBorder="0" applyAlignment="0" applyProtection="0"/>
    <xf numFmtId="44" fontId="29" fillId="0" borderId="0" applyFont="0" applyFill="0" applyBorder="0" applyAlignment="0" applyProtection="0"/>
    <xf numFmtId="44" fontId="79"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29"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79"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29"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29" fillId="0" borderId="0" applyFont="0" applyFill="0" applyBorder="0" applyAlignment="0" applyProtection="0"/>
    <xf numFmtId="44" fontId="64" fillId="0" borderId="0" applyFont="0" applyFill="0" applyBorder="0" applyAlignment="0" applyProtection="0"/>
    <xf numFmtId="44" fontId="29" fillId="0" borderId="0" applyFont="0" applyFill="0" applyBorder="0" applyAlignment="0" applyProtection="0"/>
    <xf numFmtId="44" fontId="75"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78" fillId="0" borderId="0" applyFont="0" applyFill="0" applyBorder="0" applyAlignment="0" applyProtection="0"/>
    <xf numFmtId="44" fontId="29" fillId="0" borderId="0" applyFont="0" applyFill="0" applyBorder="0" applyAlignment="0" applyProtection="0"/>
    <xf numFmtId="0" fontId="92" fillId="0" borderId="0" applyNumberFormat="0" applyFill="0" applyBorder="0" applyAlignment="0" applyProtection="0"/>
    <xf numFmtId="0" fontId="93" fillId="38" borderId="0" applyNumberFormat="0" applyBorder="0" applyAlignment="0" applyProtection="0"/>
    <xf numFmtId="0" fontId="94" fillId="0" borderId="20" applyNumberFormat="0" applyFill="0" applyAlignment="0" applyProtection="0"/>
    <xf numFmtId="0" fontId="94" fillId="0" borderId="20" applyNumberFormat="0" applyFill="0" applyAlignment="0" applyProtection="0"/>
    <xf numFmtId="0" fontId="95" fillId="0" borderId="21" applyNumberFormat="0" applyFill="0" applyAlignment="0" applyProtection="0"/>
    <xf numFmtId="0" fontId="95" fillId="0" borderId="21" applyNumberFormat="0" applyFill="0" applyAlignment="0" applyProtection="0"/>
    <xf numFmtId="0" fontId="96" fillId="0" borderId="22" applyNumberFormat="0" applyFill="0" applyAlignment="0" applyProtection="0"/>
    <xf numFmtId="0" fontId="96" fillId="0" borderId="22"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84" fillId="0" borderId="0" applyNumberFormat="0" applyFill="0" applyBorder="0" applyAlignment="0" applyProtection="0">
      <alignment vertical="top"/>
      <protection locked="0"/>
    </xf>
    <xf numFmtId="0" fontId="97" fillId="39" borderId="18" applyNumberFormat="0" applyAlignment="0" applyProtection="0"/>
    <xf numFmtId="0" fontId="22" fillId="0" borderId="0" applyNumberFormat="0" applyBorder="0"/>
    <xf numFmtId="0" fontId="23" fillId="0" borderId="0" applyBorder="0" applyAlignment="0"/>
    <xf numFmtId="0" fontId="24" fillId="0" borderId="0" applyFill="0" applyBorder="0" applyAlignment="0"/>
    <xf numFmtId="0" fontId="98" fillId="0" borderId="23" applyNumberFormat="0" applyFill="0" applyAlignment="0" applyProtection="0"/>
    <xf numFmtId="0" fontId="99" fillId="40" borderId="0" applyNumberFormat="0" applyBorder="0" applyAlignment="0" applyProtection="0"/>
    <xf numFmtId="0" fontId="100" fillId="0" borderId="0"/>
    <xf numFmtId="0" fontId="64" fillId="0" borderId="0"/>
    <xf numFmtId="0" fontId="100" fillId="0" borderId="0"/>
    <xf numFmtId="0" fontId="64" fillId="0" borderId="0"/>
    <xf numFmtId="0" fontId="64" fillId="0" borderId="0"/>
    <xf numFmtId="0" fontId="29"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01" fillId="0" borderId="0"/>
    <xf numFmtId="0" fontId="64" fillId="0" borderId="0"/>
    <xf numFmtId="169" fontId="65" fillId="0" borderId="0"/>
    <xf numFmtId="0" fontId="87" fillId="0" borderId="0"/>
    <xf numFmtId="0" fontId="29" fillId="0" borderId="0"/>
    <xf numFmtId="0" fontId="29" fillId="0" borderId="0"/>
    <xf numFmtId="0" fontId="70" fillId="0" borderId="0"/>
    <xf numFmtId="0" fontId="64" fillId="0" borderId="0"/>
    <xf numFmtId="0" fontId="70" fillId="0" borderId="0"/>
    <xf numFmtId="0" fontId="64" fillId="0" borderId="0"/>
    <xf numFmtId="0" fontId="76" fillId="0" borderId="0"/>
    <xf numFmtId="0" fontId="64" fillId="0" borderId="0"/>
    <xf numFmtId="0" fontId="87" fillId="0" borderId="0"/>
    <xf numFmtId="0" fontId="64" fillId="0" borderId="0">
      <alignment vertical="top"/>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6" fillId="0" borderId="0"/>
    <xf numFmtId="0" fontId="87" fillId="0" borderId="0"/>
    <xf numFmtId="0" fontId="87" fillId="0" borderId="0"/>
    <xf numFmtId="0" fontId="87" fillId="0" borderId="0"/>
    <xf numFmtId="0" fontId="87" fillId="0" borderId="0"/>
    <xf numFmtId="0" fontId="64" fillId="0" borderId="0">
      <alignment vertical="top"/>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64" fillId="0" borderId="0"/>
    <xf numFmtId="0" fontId="87" fillId="0" borderId="0"/>
    <xf numFmtId="0" fontId="87" fillId="0" borderId="0"/>
    <xf numFmtId="0" fontId="87" fillId="0" borderId="0"/>
    <xf numFmtId="0" fontId="87" fillId="0" borderId="0"/>
    <xf numFmtId="0" fontId="76" fillId="0" borderId="0"/>
    <xf numFmtId="0" fontId="64" fillId="0" borderId="0">
      <alignment vertical="top"/>
    </xf>
    <xf numFmtId="0" fontId="87" fillId="0" borderId="0"/>
    <xf numFmtId="0" fontId="87" fillId="0" borderId="0"/>
    <xf numFmtId="0" fontId="87" fillId="0" borderId="0"/>
    <xf numFmtId="0" fontId="87" fillId="0" borderId="0"/>
    <xf numFmtId="0" fontId="76" fillId="0" borderId="0"/>
    <xf numFmtId="0" fontId="29" fillId="0" borderId="0"/>
    <xf numFmtId="0" fontId="87" fillId="0" borderId="0"/>
    <xf numFmtId="0" fontId="29" fillId="0" borderId="0"/>
    <xf numFmtId="0" fontId="87" fillId="0" borderId="0"/>
    <xf numFmtId="0" fontId="87" fillId="0" borderId="0"/>
    <xf numFmtId="0" fontId="87" fillId="0" borderId="0"/>
    <xf numFmtId="0" fontId="87" fillId="0" borderId="0"/>
    <xf numFmtId="0" fontId="70" fillId="0" borderId="0"/>
    <xf numFmtId="0" fontId="64" fillId="0" borderId="0">
      <alignment vertical="top"/>
    </xf>
    <xf numFmtId="0" fontId="70" fillId="0" borderId="0"/>
    <xf numFmtId="0" fontId="64" fillId="0" borderId="0">
      <alignment vertical="top"/>
    </xf>
    <xf numFmtId="0" fontId="64" fillId="0" borderId="0">
      <alignment vertical="top"/>
    </xf>
    <xf numFmtId="0" fontId="87" fillId="0" borderId="0"/>
    <xf numFmtId="0" fontId="70" fillId="0" borderId="0"/>
    <xf numFmtId="0" fontId="87" fillId="0" borderId="0"/>
    <xf numFmtId="0" fontId="64" fillId="0" borderId="0">
      <alignment vertical="top"/>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0"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9" fillId="0" borderId="0"/>
    <xf numFmtId="0" fontId="64" fillId="0" borderId="0">
      <alignment vertical="top"/>
    </xf>
    <xf numFmtId="0" fontId="87" fillId="0" borderId="0"/>
    <xf numFmtId="0" fontId="87" fillId="0" borderId="0"/>
    <xf numFmtId="0" fontId="87" fillId="0" borderId="0"/>
    <xf numFmtId="0" fontId="87" fillId="0" borderId="0"/>
    <xf numFmtId="0" fontId="29"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0"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9"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64" fillId="0" borderId="0"/>
    <xf numFmtId="0" fontId="64" fillId="0" borderId="0">
      <alignment vertical="top"/>
    </xf>
    <xf numFmtId="0" fontId="64" fillId="0" borderId="0">
      <alignment vertical="top"/>
    </xf>
    <xf numFmtId="0" fontId="64" fillId="0" borderId="0"/>
    <xf numFmtId="0" fontId="64" fillId="0" borderId="0">
      <alignment vertical="top"/>
    </xf>
    <xf numFmtId="0" fontId="64" fillId="0" borderId="0"/>
    <xf numFmtId="0" fontId="64"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9"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9" fillId="0" borderId="0"/>
    <xf numFmtId="0" fontId="87" fillId="0" borderId="0"/>
    <xf numFmtId="0" fontId="87" fillId="0" borderId="0"/>
    <xf numFmtId="0" fontId="87" fillId="0" borderId="0"/>
    <xf numFmtId="0" fontId="20" fillId="0" borderId="0" applyProtection="0">
      <protection locked="0"/>
    </xf>
    <xf numFmtId="0" fontId="29" fillId="0" borderId="0" applyProtection="0">
      <protection locked="0"/>
    </xf>
    <xf numFmtId="0" fontId="29" fillId="0" borderId="0" applyProtection="0">
      <protection locked="0"/>
    </xf>
    <xf numFmtId="0" fontId="65" fillId="0" borderId="0"/>
    <xf numFmtId="0" fontId="20" fillId="0" borderId="0"/>
    <xf numFmtId="0" fontId="79"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79"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87" fillId="41" borderId="24" applyNumberFormat="0" applyFont="0" applyAlignment="0" applyProtection="0"/>
    <xf numFmtId="0" fontId="102" fillId="36" borderId="25" applyNumberFormat="0" applyAlignment="0" applyProtection="0"/>
    <xf numFmtId="0" fontId="102" fillId="36" borderId="25" applyNumberFormat="0" applyAlignment="0" applyProtection="0"/>
    <xf numFmtId="0" fontId="25" fillId="0" borderId="0" applyNumberFormat="0" applyFill="0" applyBorder="0">
      <alignment horizontal="left"/>
    </xf>
    <xf numFmtId="0" fontId="103" fillId="0" borderId="0" applyNumberFormat="0" applyFill="0" applyBorder="0" applyAlignment="0" applyProtection="0"/>
    <xf numFmtId="0" fontId="104" fillId="0" borderId="26" applyNumberFormat="0" applyFill="0" applyAlignment="0" applyProtection="0"/>
    <xf numFmtId="0" fontId="104" fillId="0" borderId="26" applyNumberFormat="0" applyFill="0" applyAlignment="0" applyProtection="0"/>
    <xf numFmtId="0" fontId="105" fillId="0" borderId="0" applyNumberFormat="0" applyFill="0" applyBorder="0" applyAlignment="0" applyProtection="0"/>
    <xf numFmtId="0" fontId="20" fillId="0" borderId="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0" fontId="19" fillId="41" borderId="24" applyNumberFormat="0" applyFont="0" applyAlignment="0" applyProtection="0"/>
    <xf numFmtId="9" fontId="20" fillId="0" borderId="0" applyFont="0" applyFill="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0"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4" fontId="112"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79" fillId="41" borderId="24" applyNumberFormat="0" applyFont="0" applyAlignment="0" applyProtection="0"/>
    <xf numFmtId="0" fontId="113" fillId="0" borderId="0" applyNumberForma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03" fillId="0" borderId="0" applyNumberFormat="0" applyFill="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44" fontId="20" fillId="0" borderId="0" applyFont="0" applyFill="0" applyBorder="0" applyAlignment="0" applyProtection="0"/>
    <xf numFmtId="9" fontId="122" fillId="0" borderId="0" applyFont="0" applyFill="0" applyBorder="0" applyAlignment="0" applyProtection="0"/>
    <xf numFmtId="0" fontId="122" fillId="0" borderId="0"/>
    <xf numFmtId="0" fontId="14" fillId="0" borderId="0"/>
    <xf numFmtId="0" fontId="20" fillId="0" borderId="0"/>
    <xf numFmtId="43" fontId="14" fillId="0" borderId="0" applyFont="0" applyFill="0" applyBorder="0" applyAlignment="0" applyProtection="0"/>
    <xf numFmtId="9" fontId="14"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43" fontId="149" fillId="0" borderId="0" applyFont="0" applyFill="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2" fillId="41" borderId="24" applyNumberFormat="0" applyFont="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44" fontId="151"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0" fontId="6" fillId="0" borderId="0"/>
    <xf numFmtId="0" fontId="20" fillId="0" borderId="0" applyBorder="0"/>
    <xf numFmtId="44" fontId="6" fillId="0" borderId="0" applyFont="0" applyFill="0" applyBorder="0" applyAlignment="0" applyProtection="0"/>
    <xf numFmtId="9" fontId="6"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189"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64" fillId="0" borderId="0">
      <alignment vertical="top"/>
    </xf>
    <xf numFmtId="0" fontId="64" fillId="0" borderId="0">
      <alignment vertical="top"/>
    </xf>
    <xf numFmtId="0" fontId="3" fillId="0" borderId="0"/>
    <xf numFmtId="0" fontId="3" fillId="0" borderId="0"/>
    <xf numFmtId="0" fontId="64" fillId="0" borderId="0">
      <alignment vertical="top"/>
    </xf>
    <xf numFmtId="0" fontId="190" fillId="0" borderId="0">
      <alignment vertical="top"/>
    </xf>
    <xf numFmtId="0" fontId="64" fillId="0" borderId="0">
      <alignment vertical="top"/>
    </xf>
    <xf numFmtId="0" fontId="64" fillId="0" borderId="0">
      <alignment vertical="top"/>
    </xf>
    <xf numFmtId="0" fontId="19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43" fontId="79" fillId="0" borderId="0" applyFont="0" applyFill="0" applyBorder="0" applyAlignment="0" applyProtection="0"/>
    <xf numFmtId="0" fontId="3" fillId="16" borderId="0" applyNumberFormat="0" applyBorder="0" applyAlignment="0" applyProtection="0"/>
    <xf numFmtId="0" fontId="3" fillId="22" borderId="0" applyNumberFormat="0" applyBorder="0" applyAlignment="0" applyProtection="0"/>
    <xf numFmtId="43" fontId="7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7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11" borderId="0" applyNumberFormat="0" applyBorder="0" applyAlignment="0" applyProtection="0"/>
    <xf numFmtId="0" fontId="3" fillId="17" borderId="0" applyNumberFormat="0" applyBorder="0" applyAlignment="0" applyProtection="0"/>
    <xf numFmtId="0" fontId="3" fillId="12"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6" borderId="0" applyNumberFormat="0" applyBorder="0" applyAlignment="0" applyProtection="0"/>
    <xf numFmtId="0" fontId="3"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41" borderId="24" applyNumberFormat="0" applyFont="0" applyAlignment="0" applyProtection="0"/>
    <xf numFmtId="44" fontId="3" fillId="0" borderId="0" applyFont="0" applyFill="0" applyBorder="0" applyAlignment="0" applyProtection="0"/>
    <xf numFmtId="0" fontId="3" fillId="41" borderId="24" applyNumberFormat="0" applyFont="0" applyAlignment="0" applyProtection="0"/>
    <xf numFmtId="0" fontId="3" fillId="13"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1" borderId="24" applyNumberFormat="0" applyFont="0" applyAlignment="0" applyProtection="0"/>
    <xf numFmtId="0" fontId="3" fillId="41" borderId="24" applyNumberFormat="0" applyFont="0" applyAlignment="0" applyProtection="0"/>
    <xf numFmtId="0" fontId="3" fillId="0" borderId="0"/>
    <xf numFmtId="0" fontId="3" fillId="0" borderId="0"/>
    <xf numFmtId="0" fontId="64" fillId="0" borderId="0">
      <alignment vertical="top"/>
    </xf>
    <xf numFmtId="0" fontId="64" fillId="0" borderId="0">
      <alignment vertical="top"/>
    </xf>
    <xf numFmtId="43"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44" fontId="79" fillId="0" borderId="0" applyFont="0" applyFill="0" applyBorder="0" applyAlignment="0" applyProtection="0"/>
    <xf numFmtId="0" fontId="101" fillId="0" borderId="0"/>
    <xf numFmtId="0" fontId="79" fillId="41" borderId="24" applyNumberFormat="0" applyFont="0" applyAlignment="0" applyProtection="0"/>
    <xf numFmtId="0" fontId="79" fillId="41" borderId="24" applyNumberFormat="0" applyFont="0" applyAlignment="0" applyProtection="0"/>
    <xf numFmtId="43" fontId="20" fillId="0" borderId="0" applyFont="0" applyFill="0" applyBorder="0" applyAlignment="0" applyProtection="0"/>
    <xf numFmtId="0" fontId="20"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41" borderId="24" applyNumberFormat="0" applyFont="0" applyAlignment="0" applyProtection="0"/>
    <xf numFmtId="0" fontId="3" fillId="41" borderId="24" applyNumberFormat="0" applyFont="0" applyAlignment="0" applyProtection="0"/>
    <xf numFmtId="169" fontId="191" fillId="0" borderId="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41" borderId="24" applyNumberFormat="0" applyFont="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2709">
    <xf numFmtId="0" fontId="0" fillId="0" borderId="0" xfId="0"/>
    <xf numFmtId="0" fontId="0" fillId="0" borderId="0" xfId="0" applyAlignment="1">
      <alignment horizontal="center"/>
    </xf>
    <xf numFmtId="0" fontId="27" fillId="0" borderId="0" xfId="0" applyFont="1"/>
    <xf numFmtId="0" fontId="20" fillId="0" borderId="0" xfId="0" applyFont="1"/>
    <xf numFmtId="0" fontId="29" fillId="0" borderId="0" xfId="0" applyFont="1"/>
    <xf numFmtId="0" fontId="0" fillId="0" borderId="4" xfId="0" applyBorder="1"/>
    <xf numFmtId="0" fontId="29" fillId="0" borderId="0" xfId="0" applyFont="1" applyAlignment="1">
      <alignment horizontal="center"/>
    </xf>
    <xf numFmtId="0" fontId="20"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7" fillId="0" borderId="4" xfId="0" applyFont="1" applyBorder="1"/>
    <xf numFmtId="164" fontId="0" fillId="0" borderId="0" xfId="0" applyNumberFormat="1" applyAlignment="1">
      <alignment horizontal="right"/>
    </xf>
    <xf numFmtId="0" fontId="27" fillId="0" borderId="0" xfId="0" applyFont="1" applyAlignment="1">
      <alignment horizontal="center"/>
    </xf>
    <xf numFmtId="0" fontId="20" fillId="0" borderId="0" xfId="543"/>
    <xf numFmtId="0" fontId="29" fillId="0" borderId="0" xfId="0" applyFont="1" applyAlignment="1">
      <alignment horizontal="left" vertical="top" wrapText="1"/>
    </xf>
    <xf numFmtId="0" fontId="35" fillId="0" borderId="0" xfId="0" applyFont="1"/>
    <xf numFmtId="0" fontId="28" fillId="0" borderId="0" xfId="0" applyFont="1" applyAlignment="1">
      <alignment vertical="top"/>
    </xf>
    <xf numFmtId="0" fontId="28" fillId="0" borderId="0" xfId="0" applyFont="1" applyAlignment="1">
      <alignment vertical="top" wrapText="1"/>
    </xf>
    <xf numFmtId="0" fontId="29" fillId="0" borderId="0" xfId="0" applyFont="1" applyAlignment="1">
      <alignment horizontal="left" indent="4"/>
    </xf>
    <xf numFmtId="0" fontId="28" fillId="0" borderId="0" xfId="0" applyFont="1" applyAlignment="1">
      <alignment horizontal="left" vertical="top"/>
    </xf>
    <xf numFmtId="0" fontId="28" fillId="0" borderId="0" xfId="0" applyFont="1" applyAlignment="1">
      <alignment horizontal="left"/>
    </xf>
    <xf numFmtId="0" fontId="28" fillId="0" borderId="0" xfId="0" applyFont="1"/>
    <xf numFmtId="0" fontId="40" fillId="0" borderId="0" xfId="543" applyFont="1"/>
    <xf numFmtId="1" fontId="28" fillId="0" borderId="0" xfId="0" applyNumberFormat="1" applyFont="1" applyAlignment="1">
      <alignment horizontal="left"/>
    </xf>
    <xf numFmtId="0" fontId="30" fillId="0" borderId="0" xfId="0" applyFont="1"/>
    <xf numFmtId="1" fontId="28" fillId="0" borderId="0" xfId="0" applyNumberFormat="1" applyFont="1" applyAlignment="1">
      <alignment horizontal="right"/>
    </xf>
    <xf numFmtId="0" fontId="0" fillId="0" borderId="0" xfId="0" applyAlignment="1">
      <alignment horizontal="right"/>
    </xf>
    <xf numFmtId="0" fontId="39" fillId="0" borderId="0" xfId="0" applyFont="1"/>
    <xf numFmtId="0" fontId="32" fillId="0" borderId="0" xfId="0" applyFont="1"/>
    <xf numFmtId="172" fontId="20" fillId="0" borderId="0" xfId="543" applyNumberFormat="1"/>
    <xf numFmtId="9" fontId="20" fillId="0" borderId="0" xfId="543" applyNumberFormat="1" applyAlignment="1">
      <alignment horizontal="left"/>
    </xf>
    <xf numFmtId="168" fontId="20" fillId="0" borderId="0" xfId="543" applyNumberFormat="1"/>
    <xf numFmtId="0" fontId="29" fillId="0" borderId="0" xfId="0" applyFont="1" applyAlignment="1">
      <alignment horizontal="right"/>
    </xf>
    <xf numFmtId="0" fontId="43" fillId="0" borderId="0" xfId="0" applyFont="1"/>
    <xf numFmtId="0" fontId="29" fillId="0" borderId="0" xfId="0" applyFont="1" applyAlignment="1">
      <alignment horizontal="left"/>
    </xf>
    <xf numFmtId="0" fontId="31" fillId="0" borderId="0" xfId="0" applyFont="1"/>
    <xf numFmtId="0" fontId="33" fillId="0" borderId="0" xfId="0" applyFont="1"/>
    <xf numFmtId="0" fontId="27"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7" fillId="0" borderId="1" xfId="0" applyFont="1" applyBorder="1" applyAlignment="1">
      <alignment horizontal="center" wrapText="1"/>
    </xf>
    <xf numFmtId="0" fontId="27"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7" fillId="0" borderId="4" xfId="0" applyFont="1" applyBorder="1" applyAlignment="1">
      <alignment horizontal="center"/>
    </xf>
    <xf numFmtId="0" fontId="36" fillId="0" borderId="3" xfId="0" applyFont="1" applyBorder="1" applyAlignment="1">
      <alignment horizontal="left"/>
    </xf>
    <xf numFmtId="0" fontId="36" fillId="0" borderId="9" xfId="0" applyFont="1" applyBorder="1" applyAlignment="1">
      <alignment horizontal="left"/>
    </xf>
    <xf numFmtId="0" fontId="27" fillId="0" borderId="4" xfId="0" applyFont="1" applyBorder="1" applyAlignment="1">
      <alignment horizontal="right"/>
    </xf>
    <xf numFmtId="0" fontId="27" fillId="0" borderId="5" xfId="0" applyFont="1" applyBorder="1" applyAlignment="1">
      <alignment horizontal="right"/>
    </xf>
    <xf numFmtId="0" fontId="36" fillId="0" borderId="0" xfId="0" applyFont="1" applyAlignment="1">
      <alignment horizontal="left"/>
    </xf>
    <xf numFmtId="0" fontId="27" fillId="0" borderId="0" xfId="0" applyFont="1" applyAlignment="1">
      <alignment horizontal="right"/>
    </xf>
    <xf numFmtId="0" fontId="27"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9" fillId="0" borderId="11" xfId="0" applyFont="1" applyBorder="1" applyAlignment="1">
      <alignment horizontal="left"/>
    </xf>
    <xf numFmtId="0" fontId="27" fillId="0" borderId="9" xfId="0" applyFont="1" applyBorder="1"/>
    <xf numFmtId="164" fontId="0" fillId="0" borderId="0" xfId="0" applyNumberFormat="1" applyAlignment="1">
      <alignment horizontal="center"/>
    </xf>
    <xf numFmtId="0" fontId="0" fillId="0" borderId="12" xfId="0" applyBorder="1"/>
    <xf numFmtId="0" fontId="29" fillId="0" borderId="3" xfId="0" applyFont="1" applyBorder="1"/>
    <xf numFmtId="0" fontId="29" fillId="0" borderId="0" xfId="543" applyFont="1"/>
    <xf numFmtId="0" fontId="45" fillId="0" borderId="0" xfId="543" applyFont="1"/>
    <xf numFmtId="49" fontId="20" fillId="0" borderId="0" xfId="543" applyNumberFormat="1"/>
    <xf numFmtId="0" fontId="43" fillId="0" borderId="0" xfId="543" applyFont="1"/>
    <xf numFmtId="168" fontId="40" fillId="0" borderId="6" xfId="543" applyNumberFormat="1" applyFont="1" applyBorder="1" applyAlignment="1">
      <alignment horizontal="left"/>
    </xf>
    <xf numFmtId="168" fontId="40" fillId="0" borderId="6" xfId="543" applyNumberFormat="1" applyFont="1" applyBorder="1" applyAlignment="1">
      <alignment horizontal="center"/>
    </xf>
    <xf numFmtId="0" fontId="20" fillId="0" borderId="8" xfId="543" applyBorder="1"/>
    <xf numFmtId="0" fontId="40" fillId="0" borderId="0" xfId="543" applyFont="1" applyAlignment="1">
      <alignment horizontal="center"/>
    </xf>
    <xf numFmtId="0" fontId="39" fillId="0" borderId="9" xfId="543" applyFont="1" applyBorder="1" applyAlignment="1">
      <alignment horizontal="left" vertical="top" wrapText="1"/>
    </xf>
    <xf numFmtId="0" fontId="39" fillId="0" borderId="6" xfId="543" applyFont="1" applyBorder="1" applyAlignment="1">
      <alignment horizontal="center" vertical="top" wrapText="1"/>
    </xf>
    <xf numFmtId="0" fontId="20" fillId="0" borderId="9" xfId="543" applyBorder="1"/>
    <xf numFmtId="0" fontId="20" fillId="0" borderId="10" xfId="543" applyBorder="1"/>
    <xf numFmtId="0" fontId="20" fillId="0" borderId="1" xfId="543" applyBorder="1"/>
    <xf numFmtId="0" fontId="40" fillId="0" borderId="2" xfId="543" applyFont="1" applyBorder="1" applyAlignment="1">
      <alignment horizontal="center"/>
    </xf>
    <xf numFmtId="0" fontId="42" fillId="0" borderId="8" xfId="543" applyFont="1" applyBorder="1" applyAlignment="1">
      <alignment horizontal="left" vertical="top" wrapText="1"/>
    </xf>
    <xf numFmtId="0" fontId="39" fillId="0" borderId="0" xfId="543" applyFont="1" applyAlignment="1">
      <alignment horizontal="center" vertical="top" wrapText="1"/>
    </xf>
    <xf numFmtId="0" fontId="20" fillId="0" borderId="12" xfId="543" applyBorder="1"/>
    <xf numFmtId="0" fontId="42" fillId="0" borderId="0" xfId="543" applyFont="1" applyAlignment="1">
      <alignment horizontal="center" vertical="top" wrapText="1"/>
    </xf>
    <xf numFmtId="0" fontId="42" fillId="0" borderId="9" xfId="543" applyFont="1" applyBorder="1" applyAlignment="1">
      <alignment horizontal="left" vertical="top" wrapText="1"/>
    </xf>
    <xf numFmtId="0" fontId="20" fillId="0" borderId="2" xfId="543" applyBorder="1"/>
    <xf numFmtId="0" fontId="20" fillId="0" borderId="7" xfId="543" applyBorder="1"/>
    <xf numFmtId="0" fontId="39" fillId="0" borderId="0" xfId="543" applyFont="1"/>
    <xf numFmtId="0" fontId="20" fillId="0" borderId="0" xfId="543" applyAlignment="1">
      <alignment horizontal="center"/>
    </xf>
    <xf numFmtId="0" fontId="28" fillId="0" borderId="6" xfId="543" applyFont="1" applyBorder="1" applyAlignment="1">
      <alignment vertical="top" wrapText="1"/>
    </xf>
    <xf numFmtId="0" fontId="29" fillId="0" borderId="0" xfId="0" applyFont="1" applyAlignment="1">
      <alignment horizontal="left" vertical="top"/>
    </xf>
    <xf numFmtId="0" fontId="0" fillId="2" borderId="2" xfId="0" applyFill="1" applyBorder="1"/>
    <xf numFmtId="0" fontId="0" fillId="2" borderId="7" xfId="0" applyFill="1" applyBorder="1"/>
    <xf numFmtId="0" fontId="27" fillId="0" borderId="6" xfId="0" applyFont="1" applyBorder="1" applyAlignment="1">
      <alignment horizontal="right"/>
    </xf>
    <xf numFmtId="0" fontId="26" fillId="0" borderId="0" xfId="0" applyFont="1" applyAlignment="1">
      <alignment horizontal="center" vertical="center"/>
    </xf>
    <xf numFmtId="0" fontId="27" fillId="0" borderId="0" xfId="0" applyFont="1" applyAlignment="1">
      <alignment vertical="top"/>
    </xf>
    <xf numFmtId="166" fontId="0" fillId="0" borderId="0" xfId="0" applyNumberFormat="1" applyAlignment="1">
      <alignment horizontal="right"/>
    </xf>
    <xf numFmtId="0" fontId="50" fillId="0" borderId="0" xfId="0" applyFont="1"/>
    <xf numFmtId="0" fontId="37" fillId="0" borderId="0" xfId="0" applyFont="1"/>
    <xf numFmtId="0" fontId="21" fillId="0" borderId="0" xfId="244" applyBorder="1" applyProtection="1"/>
    <xf numFmtId="0" fontId="21" fillId="0" borderId="0" xfId="244" applyFill="1" applyBorder="1" applyAlignment="1">
      <alignment horizontal="center" vertical="center"/>
    </xf>
    <xf numFmtId="0" fontId="20" fillId="0" borderId="3" xfId="543" applyBorder="1"/>
    <xf numFmtId="0" fontId="42" fillId="0" borderId="4" xfId="543" applyFont="1" applyBorder="1" applyAlignment="1">
      <alignment horizontal="right" vertical="top" wrapText="1"/>
    </xf>
    <xf numFmtId="0" fontId="29" fillId="0" borderId="6" xfId="0" applyFont="1" applyBorder="1"/>
    <xf numFmtId="0" fontId="29" fillId="0" borderId="2" xfId="0" applyFont="1" applyBorder="1"/>
    <xf numFmtId="0" fontId="29" fillId="0" borderId="7" xfId="0" applyFont="1" applyBorder="1"/>
    <xf numFmtId="0" fontId="29" fillId="0" borderId="12" xfId="0" applyFont="1" applyBorder="1"/>
    <xf numFmtId="0" fontId="29" fillId="0" borderId="9" xfId="0" applyFont="1" applyBorder="1"/>
    <xf numFmtId="0" fontId="29" fillId="0" borderId="10" xfId="0" applyFont="1" applyBorder="1"/>
    <xf numFmtId="0" fontId="34" fillId="0" borderId="6" xfId="0" applyFont="1" applyBorder="1" applyAlignment="1">
      <alignment vertical="top" wrapText="1"/>
    </xf>
    <xf numFmtId="0" fontId="34" fillId="0" borderId="5" xfId="0" applyFont="1" applyBorder="1" applyAlignment="1">
      <alignment vertical="top" wrapText="1"/>
    </xf>
    <xf numFmtId="0" fontId="34" fillId="0" borderId="4" xfId="0" applyFont="1" applyBorder="1" applyAlignment="1">
      <alignment vertical="top" wrapText="1"/>
    </xf>
    <xf numFmtId="0" fontId="34" fillId="2" borderId="6" xfId="0" applyFont="1" applyFill="1" applyBorder="1" applyAlignment="1">
      <alignment vertical="top" wrapText="1"/>
    </xf>
    <xf numFmtId="0" fontId="0" fillId="0" borderId="8" xfId="0" applyBorder="1"/>
    <xf numFmtId="0" fontId="27" fillId="0" borderId="2" xfId="0" applyFont="1" applyBorder="1"/>
    <xf numFmtId="0" fontId="29" fillId="0" borderId="0" xfId="0" applyFont="1" applyAlignment="1">
      <alignment vertical="top"/>
    </xf>
    <xf numFmtId="0" fontId="29" fillId="0" borderId="0" xfId="0" applyFont="1" applyAlignment="1">
      <alignment vertical="top" wrapText="1"/>
    </xf>
    <xf numFmtId="0" fontId="20" fillId="0" borderId="0" xfId="0" applyFont="1" applyAlignment="1">
      <alignment horizontal="left"/>
    </xf>
    <xf numFmtId="0" fontId="20" fillId="0" borderId="0" xfId="0" applyFont="1" applyAlignment="1">
      <alignment vertical="top"/>
    </xf>
    <xf numFmtId="0" fontId="49" fillId="0" borderId="0" xfId="0" applyFont="1"/>
    <xf numFmtId="0" fontId="20" fillId="0" borderId="3" xfId="0" applyFont="1" applyBorder="1"/>
    <xf numFmtId="0" fontId="20"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4" fillId="3" borderId="4" xfId="0" applyFont="1" applyFill="1" applyBorder="1" applyAlignment="1">
      <alignment vertical="top" wrapText="1"/>
    </xf>
    <xf numFmtId="0" fontId="34" fillId="3" borderId="5" xfId="0" applyFont="1" applyFill="1" applyBorder="1" applyAlignment="1">
      <alignment vertical="top" wrapText="1"/>
    </xf>
    <xf numFmtId="0" fontId="52" fillId="0" borderId="0" xfId="0" applyFont="1"/>
    <xf numFmtId="0" fontId="29" fillId="0" borderId="4" xfId="0" applyFont="1" applyBorder="1"/>
    <xf numFmtId="0" fontId="27" fillId="0" borderId="2" xfId="0" applyFont="1" applyBorder="1" applyAlignment="1">
      <alignment horizontal="center"/>
    </xf>
    <xf numFmtId="0" fontId="27" fillId="0" borderId="0" xfId="0" applyFont="1" applyAlignment="1">
      <alignment horizontal="center" vertical="center" wrapText="1"/>
    </xf>
    <xf numFmtId="0" fontId="27" fillId="0" borderId="7" xfId="543" applyFont="1" applyBorder="1" applyAlignment="1">
      <alignment horizontal="right"/>
    </xf>
    <xf numFmtId="0" fontId="28" fillId="0" borderId="9" xfId="543" applyFont="1" applyBorder="1"/>
    <xf numFmtId="0" fontId="29" fillId="0" borderId="6" xfId="543" applyFont="1" applyBorder="1"/>
    <xf numFmtId="0" fontId="28" fillId="0" borderId="6" xfId="543" applyFont="1" applyBorder="1" applyAlignment="1">
      <alignment horizontal="right"/>
    </xf>
    <xf numFmtId="0" fontId="27" fillId="0" borderId="0" xfId="0" applyFont="1" applyAlignment="1">
      <alignment horizontal="center" vertical="center"/>
    </xf>
    <xf numFmtId="0" fontId="29" fillId="0" borderId="0" xfId="0" applyFont="1" applyAlignment="1">
      <alignment horizontal="left" vertical="center"/>
    </xf>
    <xf numFmtId="0" fontId="57" fillId="0" borderId="3" xfId="0" applyFont="1" applyBorder="1" applyAlignment="1">
      <alignment horizontal="left" vertical="top"/>
    </xf>
    <xf numFmtId="0" fontId="57" fillId="0" borderId="13" xfId="0" applyFont="1" applyBorder="1" applyAlignment="1">
      <alignment horizontal="center" wrapText="1"/>
    </xf>
    <xf numFmtId="0" fontId="57" fillId="0" borderId="13" xfId="0" applyFont="1" applyBorder="1" applyAlignment="1">
      <alignment horizontal="center" vertical="top" wrapText="1"/>
    </xf>
    <xf numFmtId="0" fontId="57" fillId="2" borderId="13" xfId="0" applyFont="1" applyFill="1" applyBorder="1" applyAlignment="1">
      <alignment horizontal="center" wrapText="1"/>
    </xf>
    <xf numFmtId="0" fontId="58" fillId="2" borderId="11" xfId="0" applyFont="1" applyFill="1" applyBorder="1" applyAlignment="1">
      <alignment horizontal="left" vertical="top" wrapText="1"/>
    </xf>
    <xf numFmtId="0" fontId="59" fillId="4" borderId="11" xfId="0" applyFont="1" applyFill="1" applyBorder="1" applyAlignment="1">
      <alignment vertical="top" wrapText="1"/>
    </xf>
    <xf numFmtId="0" fontId="59" fillId="2" borderId="11" xfId="0" applyFont="1" applyFill="1" applyBorder="1" applyAlignment="1">
      <alignment vertical="top" wrapText="1"/>
    </xf>
    <xf numFmtId="0" fontId="59" fillId="0" borderId="11" xfId="0" applyFont="1" applyBorder="1" applyAlignment="1">
      <alignment vertical="top" wrapText="1"/>
    </xf>
    <xf numFmtId="0" fontId="59" fillId="0" borderId="11" xfId="0" applyFont="1" applyBorder="1" applyAlignment="1">
      <alignment horizontal="right" vertical="top" wrapText="1"/>
    </xf>
    <xf numFmtId="168" fontId="59" fillId="0" borderId="11" xfId="0" applyNumberFormat="1" applyFont="1" applyBorder="1" applyAlignment="1">
      <alignment vertical="top" wrapText="1"/>
    </xf>
    <xf numFmtId="168" fontId="59" fillId="5" borderId="11" xfId="0" applyNumberFormat="1" applyFont="1" applyFill="1" applyBorder="1" applyAlignment="1" applyProtection="1">
      <alignment vertical="top" wrapText="1"/>
      <protection locked="0"/>
    </xf>
    <xf numFmtId="168" fontId="59" fillId="6" borderId="11" xfId="0" applyNumberFormat="1" applyFont="1" applyFill="1" applyBorder="1" applyAlignment="1">
      <alignment horizontal="center"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9" fillId="4" borderId="11" xfId="0" applyNumberFormat="1"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23" fillId="0" borderId="11" xfId="0" applyFont="1" applyBorder="1" applyAlignment="1">
      <alignment horizontal="right" vertical="top" wrapText="1"/>
    </xf>
    <xf numFmtId="0" fontId="59" fillId="0" borderId="11" xfId="0" applyFont="1" applyBorder="1" applyAlignment="1" applyProtection="1">
      <alignment horizontal="right" vertical="top" wrapText="1"/>
      <protection locked="0"/>
    </xf>
    <xf numFmtId="0" fontId="57" fillId="0" borderId="0" xfId="0" applyFont="1" applyAlignment="1">
      <alignment horizontal="left" vertical="top"/>
    </xf>
    <xf numFmtId="0" fontId="59" fillId="0" borderId="0" xfId="0" applyFont="1" applyAlignment="1">
      <alignment horizontal="left" vertical="top"/>
    </xf>
    <xf numFmtId="0" fontId="59" fillId="0" borderId="0" xfId="0" applyFont="1" applyAlignment="1">
      <alignment vertical="top" wrapText="1"/>
    </xf>
    <xf numFmtId="0" fontId="59" fillId="0" borderId="0" xfId="0" applyFont="1" applyAlignment="1">
      <alignment vertical="top"/>
    </xf>
    <xf numFmtId="0" fontId="57" fillId="0" borderId="0" xfId="0" applyFont="1" applyAlignment="1">
      <alignment horizontal="right" vertical="top"/>
    </xf>
    <xf numFmtId="0" fontId="59" fillId="2" borderId="0" xfId="0" applyFont="1" applyFill="1" applyAlignment="1">
      <alignment vertical="top" wrapText="1"/>
    </xf>
    <xf numFmtId="0" fontId="57" fillId="0" borderId="0" xfId="0" applyFont="1" applyAlignment="1">
      <alignment vertical="top"/>
    </xf>
    <xf numFmtId="166" fontId="29" fillId="0" borderId="0" xfId="0" applyNumberFormat="1" applyFont="1" applyAlignment="1">
      <alignment horizontal="left"/>
    </xf>
    <xf numFmtId="0" fontId="60" fillId="0" borderId="0" xfId="0" applyFont="1"/>
    <xf numFmtId="0" fontId="20" fillId="0" borderId="0" xfId="244" applyFont="1" applyFill="1" applyBorder="1" applyAlignment="1" applyProtection="1">
      <alignment horizontal="left"/>
    </xf>
    <xf numFmtId="0" fontId="51" fillId="0" borderId="0" xfId="0" applyFont="1"/>
    <xf numFmtId="0" fontId="51" fillId="0" borderId="0" xfId="244" applyFont="1" applyFill="1" applyBorder="1" applyAlignment="1" applyProtection="1">
      <alignment horizontal="left"/>
    </xf>
    <xf numFmtId="0" fontId="26" fillId="3" borderId="11" xfId="0" applyFont="1" applyFill="1" applyBorder="1" applyAlignment="1">
      <alignment vertical="top"/>
    </xf>
    <xf numFmtId="0" fontId="0" fillId="7" borderId="0" xfId="0" applyFill="1"/>
    <xf numFmtId="0" fontId="40" fillId="0" borderId="0" xfId="0" applyFont="1"/>
    <xf numFmtId="0" fontId="62" fillId="0" borderId="0" xfId="0" applyFont="1"/>
    <xf numFmtId="0" fontId="38" fillId="0" borderId="0" xfId="0" applyFont="1" applyAlignment="1">
      <alignment horizontal="center"/>
    </xf>
    <xf numFmtId="0" fontId="38" fillId="0" borderId="0" xfId="0" applyFont="1" applyAlignment="1">
      <alignment horizontal="left"/>
    </xf>
    <xf numFmtId="49" fontId="27" fillId="0" borderId="0" xfId="0" applyNumberFormat="1" applyFont="1" applyAlignment="1">
      <alignment horizontal="center"/>
    </xf>
    <xf numFmtId="0" fontId="54" fillId="0" borderId="0" xfId="0" applyFont="1" applyAlignment="1">
      <alignment horizontal="center"/>
    </xf>
    <xf numFmtId="168" fontId="29" fillId="0" borderId="0" xfId="0" applyNumberFormat="1" applyFont="1" applyAlignment="1">
      <alignment horizontal="center"/>
    </xf>
    <xf numFmtId="168" fontId="39" fillId="0" borderId="0" xfId="0" applyNumberFormat="1" applyFont="1" applyAlignment="1">
      <alignment horizontal="left" vertical="top" wrapText="1"/>
    </xf>
    <xf numFmtId="0" fontId="56" fillId="0" borderId="3" xfId="0" applyFont="1" applyBorder="1"/>
    <xf numFmtId="168" fontId="0" fillId="0" borderId="0" xfId="0" applyNumberFormat="1" applyAlignment="1">
      <alignment horizontal="center"/>
    </xf>
    <xf numFmtId="0" fontId="40" fillId="0" borderId="0" xfId="0" applyFont="1" applyAlignment="1">
      <alignment vertical="top" wrapText="1"/>
    </xf>
    <xf numFmtId="0" fontId="57" fillId="0" borderId="4" xfId="0" applyFont="1" applyBorder="1" applyAlignment="1">
      <alignment horizontal="right"/>
    </xf>
    <xf numFmtId="0" fontId="64" fillId="0" borderId="0" xfId="0" applyFont="1"/>
    <xf numFmtId="3" fontId="29" fillId="0" borderId="0" xfId="0" applyNumberFormat="1" applyFont="1" applyAlignment="1">
      <alignment horizontal="center"/>
    </xf>
    <xf numFmtId="168" fontId="20" fillId="0" borderId="0" xfId="0" applyNumberFormat="1" applyFont="1" applyAlignment="1">
      <alignment horizontal="left" vertical="top"/>
    </xf>
    <xf numFmtId="168" fontId="29" fillId="0" borderId="0" xfId="0" applyNumberFormat="1" applyFont="1" applyAlignment="1">
      <alignment horizontal="left" vertical="top"/>
    </xf>
    <xf numFmtId="0" fontId="59" fillId="0" borderId="11" xfId="0" applyFont="1" applyBorder="1" applyAlignment="1">
      <alignment horizontal="right" vertical="top"/>
    </xf>
    <xf numFmtId="0" fontId="59" fillId="0" borderId="0" xfId="0" applyFont="1" applyAlignment="1">
      <alignment horizontal="right" vertical="top" wrapText="1"/>
    </xf>
    <xf numFmtId="0" fontId="59" fillId="2" borderId="12" xfId="0" applyFont="1" applyFill="1" applyBorder="1" applyAlignment="1">
      <alignment vertical="top" wrapText="1"/>
    </xf>
    <xf numFmtId="0" fontId="59" fillId="0" borderId="14" xfId="0" applyFont="1" applyBorder="1" applyAlignment="1">
      <alignment vertical="top" wrapText="1"/>
    </xf>
    <xf numFmtId="168" fontId="59" fillId="5" borderId="11" xfId="0" applyNumberFormat="1" applyFont="1" applyFill="1" applyBorder="1" applyAlignment="1" applyProtection="1">
      <alignment vertical="top"/>
      <protection locked="0"/>
    </xf>
    <xf numFmtId="0" fontId="59" fillId="2" borderId="11" xfId="0" applyFont="1" applyFill="1" applyBorder="1" applyAlignment="1" applyProtection="1">
      <alignment vertical="top"/>
      <protection locked="0"/>
    </xf>
    <xf numFmtId="0" fontId="59" fillId="0" borderId="11" xfId="0" applyFont="1" applyBorder="1" applyAlignment="1" applyProtection="1">
      <alignment vertical="top"/>
      <protection locked="0"/>
    </xf>
    <xf numFmtId="168" fontId="59" fillId="0" borderId="11" xfId="0" applyNumberFormat="1" applyFont="1" applyBorder="1" applyAlignment="1">
      <alignment vertical="top"/>
    </xf>
    <xf numFmtId="168" fontId="59" fillId="6" borderId="11" xfId="0" applyNumberFormat="1" applyFont="1" applyFill="1" applyBorder="1" applyAlignment="1">
      <alignment horizontal="center" vertical="top"/>
    </xf>
    <xf numFmtId="0" fontId="27" fillId="0" borderId="0" xfId="542" applyFont="1" applyProtection="1">
      <protection locked="0"/>
    </xf>
    <xf numFmtId="0" fontId="20" fillId="0" borderId="0" xfId="539" applyProtection="1"/>
    <xf numFmtId="0" fontId="40" fillId="8" borderId="0" xfId="539" applyFont="1" applyFill="1" applyAlignment="1" applyProtection="1">
      <alignment horizontal="centerContinuous"/>
    </xf>
    <xf numFmtId="0" fontId="27" fillId="0" borderId="0" xfId="543" applyFont="1"/>
    <xf numFmtId="0" fontId="29" fillId="0" borderId="0" xfId="543" applyFont="1" applyAlignment="1">
      <alignment horizontal="left"/>
    </xf>
    <xf numFmtId="0" fontId="29" fillId="0" borderId="15" xfId="0" applyFont="1" applyBorder="1"/>
    <xf numFmtId="2" fontId="43" fillId="0" borderId="11" xfId="0" applyNumberFormat="1" applyFont="1" applyBorder="1"/>
    <xf numFmtId="0" fontId="20" fillId="0" borderId="0" xfId="0" applyFont="1" applyProtection="1">
      <protection locked="0"/>
    </xf>
    <xf numFmtId="0" fontId="67" fillId="0" borderId="0" xfId="0" applyFont="1" applyAlignment="1">
      <alignment horizontal="center"/>
    </xf>
    <xf numFmtId="0" fontId="29" fillId="0" borderId="0" xfId="271"/>
    <xf numFmtId="0" fontId="27" fillId="0" borderId="0" xfId="271" applyFont="1"/>
    <xf numFmtId="0" fontId="29" fillId="0" borderId="0" xfId="271" applyAlignment="1">
      <alignment horizontal="left"/>
    </xf>
    <xf numFmtId="168" fontId="27" fillId="0" borderId="2" xfId="543" applyNumberFormat="1" applyFont="1" applyBorder="1" applyAlignment="1">
      <alignment horizontal="center" vertical="center"/>
    </xf>
    <xf numFmtId="0" fontId="42" fillId="0" borderId="0" xfId="543" applyFont="1" applyAlignment="1">
      <alignment horizontal="right" vertical="top" wrapText="1"/>
    </xf>
    <xf numFmtId="0" fontId="40" fillId="0" borderId="2" xfId="543" applyFont="1" applyBorder="1" applyAlignment="1">
      <alignment horizontal="right" vertical="top" wrapText="1"/>
    </xf>
    <xf numFmtId="0" fontId="25" fillId="0" borderId="0" xfId="0" applyFont="1"/>
    <xf numFmtId="0" fontId="69" fillId="0" borderId="0" xfId="0" applyFont="1"/>
    <xf numFmtId="0" fontId="67" fillId="0" borderId="0" xfId="0" applyFont="1"/>
    <xf numFmtId="0" fontId="40"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7" fillId="0" borderId="0" xfId="0" applyNumberFormat="1" applyFont="1" applyAlignment="1">
      <alignment horizontal="center"/>
    </xf>
    <xf numFmtId="3" fontId="29" fillId="0" borderId="0" xfId="0" applyNumberFormat="1" applyFont="1"/>
    <xf numFmtId="0" fontId="68" fillId="0" borderId="0" xfId="0" applyFont="1"/>
    <xf numFmtId="168" fontId="25" fillId="0" borderId="0" xfId="0" applyNumberFormat="1" applyFont="1"/>
    <xf numFmtId="10" fontId="25" fillId="0" borderId="0" xfId="0" applyNumberFormat="1" applyFont="1" applyAlignment="1">
      <alignment horizontal="center"/>
    </xf>
    <xf numFmtId="3" fontId="71" fillId="0" borderId="0" xfId="0" applyNumberFormat="1" applyFont="1"/>
    <xf numFmtId="3" fontId="25" fillId="0" borderId="0" xfId="0" applyNumberFormat="1" applyFont="1"/>
    <xf numFmtId="168" fontId="68" fillId="0" borderId="0" xfId="0" applyNumberFormat="1" applyFont="1"/>
    <xf numFmtId="168" fontId="68" fillId="0" borderId="0" xfId="0" applyNumberFormat="1" applyFont="1" applyAlignment="1">
      <alignment horizontal="center"/>
    </xf>
    <xf numFmtId="0" fontId="25" fillId="5" borderId="0" xfId="0" applyFont="1" applyFill="1" applyAlignment="1">
      <alignment horizontal="left"/>
    </xf>
    <xf numFmtId="0" fontId="25" fillId="5" borderId="0" xfId="0" applyFont="1" applyFill="1"/>
    <xf numFmtId="10" fontId="25" fillId="0" borderId="0" xfId="0" applyNumberFormat="1" applyFont="1"/>
    <xf numFmtId="172" fontId="25" fillId="0" borderId="0" xfId="0" applyNumberFormat="1" applyFont="1"/>
    <xf numFmtId="172" fontId="25" fillId="0" borderId="0" xfId="0" applyNumberFormat="1" applyFont="1" applyAlignment="1">
      <alignment horizontal="center"/>
    </xf>
    <xf numFmtId="0" fontId="25" fillId="0" borderId="6" xfId="0" applyFont="1" applyBorder="1"/>
    <xf numFmtId="10" fontId="25" fillId="0" borderId="6" xfId="0" applyNumberFormat="1" applyFont="1" applyBorder="1" applyAlignment="1">
      <alignment horizontal="center"/>
    </xf>
    <xf numFmtId="3" fontId="25" fillId="0" borderId="6" xfId="0" applyNumberFormat="1" applyFont="1" applyBorder="1"/>
    <xf numFmtId="10" fontId="29" fillId="0" borderId="0" xfId="0" applyNumberFormat="1" applyFont="1" applyAlignment="1">
      <alignment horizontal="center"/>
    </xf>
    <xf numFmtId="3" fontId="29" fillId="0" borderId="0" xfId="0" applyNumberFormat="1" applyFont="1" applyAlignment="1">
      <alignment vertical="top"/>
    </xf>
    <xf numFmtId="10" fontId="27" fillId="0" borderId="0" xfId="0" applyNumberFormat="1" applyFont="1" applyAlignment="1">
      <alignment horizontal="center"/>
    </xf>
    <xf numFmtId="0" fontId="67" fillId="0" borderId="6" xfId="0" applyFont="1" applyBorder="1" applyAlignment="1">
      <alignment horizontal="center"/>
    </xf>
    <xf numFmtId="172" fontId="29" fillId="0" borderId="0" xfId="0" applyNumberFormat="1" applyFont="1" applyAlignment="1">
      <alignment horizontal="center"/>
    </xf>
    <xf numFmtId="10" fontId="72" fillId="0" borderId="0" xfId="0" applyNumberFormat="1" applyFont="1" applyAlignment="1">
      <alignment horizontal="center"/>
    </xf>
    <xf numFmtId="0" fontId="29" fillId="9" borderId="6" xfId="0" applyFont="1" applyFill="1" applyBorder="1"/>
    <xf numFmtId="0" fontId="29" fillId="0" borderId="4" xfId="271" applyBorder="1"/>
    <xf numFmtId="0" fontId="29" fillId="0" borderId="6" xfId="271" applyBorder="1"/>
    <xf numFmtId="0" fontId="29" fillId="0" borderId="1" xfId="0" applyFont="1" applyBorder="1"/>
    <xf numFmtId="168" fontId="29" fillId="0" borderId="3" xfId="0" applyNumberFormat="1" applyFont="1" applyBorder="1" applyAlignment="1">
      <alignment vertical="top"/>
    </xf>
    <xf numFmtId="168" fontId="29" fillId="0" borderId="4" xfId="0" applyNumberFormat="1" applyFont="1" applyBorder="1" applyAlignment="1">
      <alignment vertical="top"/>
    </xf>
    <xf numFmtId="168" fontId="29" fillId="0" borderId="5" xfId="0" applyNumberFormat="1" applyFont="1" applyBorder="1" applyAlignment="1">
      <alignment vertical="top"/>
    </xf>
    <xf numFmtId="168" fontId="29" fillId="0" borderId="8" xfId="0" applyNumberFormat="1" applyFont="1" applyBorder="1" applyAlignment="1">
      <alignment vertical="top"/>
    </xf>
    <xf numFmtId="168" fontId="29" fillId="0" borderId="0" xfId="0" applyNumberFormat="1" applyFont="1" applyAlignment="1">
      <alignment vertical="top"/>
    </xf>
    <xf numFmtId="0" fontId="29" fillId="0" borderId="0" xfId="0" applyFont="1" applyAlignment="1">
      <alignment horizontal="right" vertical="top"/>
    </xf>
    <xf numFmtId="0" fontId="29"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9" fillId="5" borderId="4" xfId="0" applyFont="1" applyFill="1" applyBorder="1" applyAlignment="1" applyProtection="1">
      <alignment horizontal="left" vertical="top"/>
      <protection locked="0"/>
    </xf>
    <xf numFmtId="0" fontId="29" fillId="5" borderId="5" xfId="0" applyFont="1" applyFill="1" applyBorder="1" applyAlignment="1" applyProtection="1">
      <alignment horizontal="left" vertical="top"/>
      <protection locked="0"/>
    </xf>
    <xf numFmtId="4" fontId="54" fillId="0" borderId="0" xfId="0" applyNumberFormat="1" applyFont="1" applyAlignment="1">
      <alignment horizontal="center"/>
    </xf>
    <xf numFmtId="0" fontId="39" fillId="0" borderId="1" xfId="543" applyFont="1" applyBorder="1" applyAlignment="1">
      <alignment horizontal="left" vertical="top" wrapText="1"/>
    </xf>
    <xf numFmtId="0" fontId="39" fillId="0" borderId="12" xfId="543" applyFont="1" applyBorder="1" applyAlignment="1">
      <alignment horizontal="center" vertical="top" wrapText="1"/>
    </xf>
    <xf numFmtId="0" fontId="39" fillId="0" borderId="8" xfId="543" applyFont="1" applyBorder="1" applyAlignment="1">
      <alignment horizontal="left" vertical="top" wrapText="1"/>
    </xf>
    <xf numFmtId="0" fontId="34" fillId="3" borderId="4" xfId="271" applyFont="1" applyFill="1" applyBorder="1" applyAlignment="1">
      <alignment vertical="top" wrapText="1"/>
    </xf>
    <xf numFmtId="0" fontId="26" fillId="3" borderId="11" xfId="271" applyFont="1" applyFill="1" applyBorder="1" applyAlignment="1">
      <alignment vertical="top"/>
    </xf>
    <xf numFmtId="0" fontId="27" fillId="0" borderId="9" xfId="271" applyFont="1" applyBorder="1" applyAlignment="1">
      <alignment horizontal="center" wrapText="1"/>
    </xf>
    <xf numFmtId="0" fontId="34" fillId="3" borderId="4" xfId="271" applyFont="1" applyFill="1" applyBorder="1" applyAlignment="1" applyProtection="1">
      <alignment vertical="top" wrapText="1"/>
      <protection locked="0"/>
    </xf>
    <xf numFmtId="0" fontId="34" fillId="3" borderId="5" xfId="271" applyFont="1" applyFill="1" applyBorder="1" applyAlignment="1" applyProtection="1">
      <alignment vertical="top" wrapText="1"/>
      <protection locked="0"/>
    </xf>
    <xf numFmtId="0" fontId="27" fillId="0" borderId="13" xfId="271" applyFont="1" applyBorder="1" applyAlignment="1">
      <alignment horizontal="center" wrapText="1"/>
    </xf>
    <xf numFmtId="0" fontId="52" fillId="2" borderId="11" xfId="271" applyFont="1" applyFill="1" applyBorder="1" applyAlignment="1">
      <alignment horizontal="left" vertical="top" wrapText="1"/>
    </xf>
    <xf numFmtId="0" fontId="29" fillId="0" borderId="11" xfId="271" applyBorder="1" applyAlignment="1" applyProtection="1">
      <alignment vertical="top" wrapText="1"/>
      <protection locked="0"/>
    </xf>
    <xf numFmtId="168" fontId="29" fillId="5" borderId="11" xfId="271" applyNumberFormat="1" applyFill="1" applyBorder="1" applyAlignment="1" applyProtection="1">
      <alignment vertical="top" wrapText="1"/>
      <protection locked="0"/>
    </xf>
    <xf numFmtId="0" fontId="29" fillId="5" borderId="3" xfId="271" applyFill="1" applyBorder="1" applyAlignment="1" applyProtection="1">
      <alignment vertical="top" wrapText="1"/>
      <protection locked="0"/>
    </xf>
    <xf numFmtId="0" fontId="29" fillId="5" borderId="11" xfId="271" applyFill="1" applyBorder="1" applyAlignment="1" applyProtection="1">
      <alignment vertical="top" wrapText="1"/>
      <protection locked="0"/>
    </xf>
    <xf numFmtId="0" fontId="29" fillId="0" borderId="11" xfId="271" applyBorder="1" applyAlignment="1">
      <alignment horizontal="right" vertical="top" wrapText="1"/>
    </xf>
    <xf numFmtId="168" fontId="29" fillId="0" borderId="11" xfId="271" applyNumberFormat="1" applyBorder="1" applyAlignment="1">
      <alignment vertical="top" wrapText="1"/>
    </xf>
    <xf numFmtId="0" fontId="27" fillId="0" borderId="11" xfId="271" applyFont="1" applyBorder="1" applyAlignment="1">
      <alignment horizontal="right" vertical="top" wrapText="1"/>
    </xf>
    <xf numFmtId="0" fontId="29" fillId="5" borderId="11" xfId="271" applyFill="1" applyBorder="1" applyAlignment="1" applyProtection="1">
      <alignment horizontal="right" vertical="top" wrapText="1"/>
      <protection locked="0"/>
    </xf>
    <xf numFmtId="168" fontId="27" fillId="0" borderId="11" xfId="271" applyNumberFormat="1" applyFont="1" applyBorder="1" applyAlignment="1">
      <alignment vertical="top" wrapText="1"/>
    </xf>
    <xf numFmtId="0" fontId="37" fillId="0" borderId="11" xfId="271" applyFont="1" applyBorder="1" applyAlignment="1">
      <alignment horizontal="right" vertical="top" wrapText="1"/>
    </xf>
    <xf numFmtId="0" fontId="34" fillId="0" borderId="0" xfId="271" applyFont="1" applyAlignment="1" applyProtection="1">
      <alignment vertical="top" wrapText="1"/>
      <protection locked="0"/>
    </xf>
    <xf numFmtId="0" fontId="29" fillId="0" borderId="5" xfId="271" applyBorder="1" applyAlignment="1" applyProtection="1">
      <alignment vertical="top" wrapText="1"/>
      <protection locked="0"/>
    </xf>
    <xf numFmtId="0" fontId="27" fillId="0" borderId="3" xfId="271" applyFont="1" applyBorder="1" applyAlignment="1">
      <alignment horizontal="left" vertical="top"/>
    </xf>
    <xf numFmtId="0" fontId="29" fillId="0" borderId="4" xfId="271" applyBorder="1" applyAlignment="1" applyProtection="1">
      <alignment horizontal="left" vertical="top"/>
      <protection locked="0"/>
    </xf>
    <xf numFmtId="0" fontId="29" fillId="0" borderId="4" xfId="271" applyBorder="1" applyAlignment="1" applyProtection="1">
      <alignment vertical="top" wrapText="1"/>
      <protection locked="0"/>
    </xf>
    <xf numFmtId="0" fontId="34" fillId="0" borderId="0" xfId="271" applyFont="1" applyAlignment="1">
      <alignment vertical="top" wrapText="1"/>
    </xf>
    <xf numFmtId="0" fontId="29" fillId="0" borderId="4" xfId="271" applyBorder="1" applyAlignment="1">
      <alignment vertical="top" wrapText="1"/>
    </xf>
    <xf numFmtId="0" fontId="52" fillId="2" borderId="11" xfId="271" applyFont="1" applyFill="1" applyBorder="1" applyAlignment="1" applyProtection="1">
      <alignment horizontal="left" vertical="top" wrapText="1"/>
      <protection locked="0"/>
    </xf>
    <xf numFmtId="0" fontId="56" fillId="0" borderId="11" xfId="0" applyFont="1" applyBorder="1" applyAlignment="1">
      <alignment horizontal="right" vertical="top" wrapText="1"/>
    </xf>
    <xf numFmtId="0" fontId="29" fillId="8" borderId="0" xfId="542" quotePrefix="1" applyFont="1" applyFill="1" applyAlignment="1">
      <alignment horizontal="left"/>
    </xf>
    <xf numFmtId="0" fontId="29" fillId="8" borderId="0" xfId="542" applyFont="1" applyFill="1"/>
    <xf numFmtId="0" fontId="37" fillId="8" borderId="0" xfId="542" applyFont="1" applyFill="1"/>
    <xf numFmtId="0" fontId="56" fillId="0" borderId="11" xfId="271" applyFont="1" applyBorder="1" applyAlignment="1">
      <alignment horizontal="right" vertical="top"/>
    </xf>
    <xf numFmtId="0" fontId="56" fillId="0" borderId="11" xfId="271" applyFont="1" applyBorder="1" applyAlignment="1">
      <alignment horizontal="right" vertical="top" wrapText="1"/>
    </xf>
    <xf numFmtId="0" fontId="29" fillId="0" borderId="0" xfId="271" applyAlignment="1">
      <alignment horizontal="left" vertical="top"/>
    </xf>
    <xf numFmtId="0" fontId="27" fillId="0" borderId="0" xfId="271" applyFont="1" applyAlignment="1">
      <alignment horizontal="right"/>
    </xf>
    <xf numFmtId="0" fontId="28" fillId="0" borderId="0" xfId="271" applyFont="1" applyAlignment="1">
      <alignment horizontal="center"/>
    </xf>
    <xf numFmtId="5" fontId="29" fillId="0" borderId="0" xfId="542" applyNumberFormat="1" applyFont="1"/>
    <xf numFmtId="1" fontId="29" fillId="0" borderId="15" xfId="271" applyNumberFormat="1" applyBorder="1"/>
    <xf numFmtId="1" fontId="29" fillId="0" borderId="14" xfId="271" applyNumberFormat="1" applyBorder="1"/>
    <xf numFmtId="0" fontId="28" fillId="0" borderId="6" xfId="271" applyFont="1" applyBorder="1" applyAlignment="1">
      <alignment horizontal="left"/>
    </xf>
    <xf numFmtId="0" fontId="28" fillId="0" borderId="6" xfId="271" applyFont="1" applyBorder="1" applyAlignment="1">
      <alignment horizontal="right"/>
    </xf>
    <xf numFmtId="165" fontId="29" fillId="0" borderId="0" xfId="271" applyNumberFormat="1"/>
    <xf numFmtId="170" fontId="29" fillId="0" borderId="14" xfId="271" applyNumberFormat="1" applyBorder="1"/>
    <xf numFmtId="1" fontId="27" fillId="0" borderId="11" xfId="271" applyNumberFormat="1" applyFont="1" applyBorder="1"/>
    <xf numFmtId="165" fontId="27" fillId="0" borderId="11" xfId="271" applyNumberFormat="1" applyFont="1" applyBorder="1"/>
    <xf numFmtId="3" fontId="59" fillId="0" borderId="11" xfId="0" applyNumberFormat="1" applyFont="1" applyBorder="1" applyAlignment="1">
      <alignment vertical="top" wrapText="1"/>
    </xf>
    <xf numFmtId="166" fontId="29" fillId="0" borderId="0" xfId="0" applyNumberFormat="1" applyFont="1"/>
    <xf numFmtId="0" fontId="0" fillId="0" borderId="0" xfId="0" applyProtection="1">
      <protection locked="0"/>
    </xf>
    <xf numFmtId="0" fontId="25" fillId="0" borderId="0" xfId="0" applyFont="1" applyProtection="1">
      <protection locked="0"/>
    </xf>
    <xf numFmtId="0" fontId="25" fillId="0" borderId="0" xfId="271" applyFont="1" applyProtection="1">
      <protection locked="0"/>
    </xf>
    <xf numFmtId="168" fontId="25" fillId="0" borderId="0" xfId="271" applyNumberFormat="1" applyFont="1" applyProtection="1">
      <protection locked="0"/>
    </xf>
    <xf numFmtId="0" fontId="33" fillId="0" borderId="1" xfId="0" applyFont="1" applyBorder="1"/>
    <xf numFmtId="0" fontId="20" fillId="0" borderId="2" xfId="0" applyFont="1" applyBorder="1" applyAlignment="1">
      <alignment horizontal="left"/>
    </xf>
    <xf numFmtId="0" fontId="20" fillId="0" borderId="2" xfId="0" applyFont="1" applyBorder="1"/>
    <xf numFmtId="0" fontId="33" fillId="0" borderId="8" xfId="0" applyFont="1" applyBorder="1"/>
    <xf numFmtId="0" fontId="33" fillId="0" borderId="9" xfId="0" applyFont="1" applyBorder="1"/>
    <xf numFmtId="0" fontId="27" fillId="0" borderId="0" xfId="0" applyFont="1" applyAlignment="1">
      <alignment horizontal="left" vertical="top"/>
    </xf>
    <xf numFmtId="172" fontId="29" fillId="5" borderId="0" xfId="0" applyNumberFormat="1" applyFont="1" applyFill="1" applyAlignment="1">
      <alignment horizontal="center"/>
    </xf>
    <xf numFmtId="0" fontId="77" fillId="0" borderId="0" xfId="0" applyFont="1" applyAlignment="1">
      <alignment horizontal="left" vertical="center"/>
    </xf>
    <xf numFmtId="0" fontId="39" fillId="0" borderId="2" xfId="543" applyFont="1" applyBorder="1" applyAlignment="1">
      <alignment horizontal="center" vertical="top" wrapText="1"/>
    </xf>
    <xf numFmtId="49" fontId="50" fillId="0" borderId="0" xfId="0" applyNumberFormat="1" applyFont="1" applyAlignment="1">
      <alignment horizontal="center"/>
    </xf>
    <xf numFmtId="0" fontId="56" fillId="0" borderId="0" xfId="0" applyFont="1"/>
    <xf numFmtId="5" fontId="81" fillId="0" borderId="11" xfId="541" applyNumberFormat="1" applyFont="1" applyBorder="1" applyAlignment="1" applyProtection="1">
      <alignment horizontal="center"/>
    </xf>
    <xf numFmtId="5" fontId="81" fillId="42" borderId="11" xfId="541" applyNumberFormat="1" applyFont="1" applyFill="1" applyBorder="1" applyAlignment="1" applyProtection="1">
      <alignment horizontal="center"/>
    </xf>
    <xf numFmtId="5" fontId="81" fillId="2" borderId="11" xfId="541" applyNumberFormat="1" applyFont="1" applyFill="1" applyBorder="1" applyAlignment="1" applyProtection="1">
      <alignment horizontal="center"/>
    </xf>
    <xf numFmtId="0" fontId="56" fillId="0" borderId="0" xfId="0" applyFont="1" applyAlignment="1">
      <alignment vertical="top" wrapText="1"/>
    </xf>
    <xf numFmtId="0" fontId="56" fillId="0" borderId="0" xfId="0" applyFont="1" applyAlignment="1">
      <alignment vertical="top"/>
    </xf>
    <xf numFmtId="0" fontId="56" fillId="2" borderId="0" xfId="0" applyFont="1" applyFill="1" applyAlignment="1">
      <alignment vertical="top" wrapText="1"/>
    </xf>
    <xf numFmtId="0" fontId="83" fillId="0" borderId="13" xfId="0" applyFont="1" applyBorder="1" applyAlignment="1">
      <alignment vertical="top" wrapText="1"/>
    </xf>
    <xf numFmtId="0" fontId="34" fillId="0" borderId="0" xfId="0" applyFont="1" applyAlignment="1">
      <alignment vertical="top" wrapText="1"/>
    </xf>
    <xf numFmtId="0" fontId="83" fillId="2" borderId="13" xfId="0" applyFont="1" applyFill="1" applyBorder="1" applyAlignment="1">
      <alignment vertical="top" wrapText="1"/>
    </xf>
    <xf numFmtId="0" fontId="83" fillId="0" borderId="0" xfId="0" applyFont="1" applyAlignment="1">
      <alignment vertical="top" wrapText="1"/>
    </xf>
    <xf numFmtId="0" fontId="83" fillId="2" borderId="0" xfId="0" applyFont="1" applyFill="1" applyAlignment="1">
      <alignment vertical="top" wrapText="1"/>
    </xf>
    <xf numFmtId="0" fontId="56" fillId="0" borderId="0" xfId="0" applyFont="1" applyAlignment="1">
      <alignment horizontal="right" vertical="top" wrapText="1"/>
    </xf>
    <xf numFmtId="168" fontId="56" fillId="5" borderId="6" xfId="0" applyNumberFormat="1" applyFont="1" applyFill="1" applyBorder="1" applyAlignment="1" applyProtection="1">
      <alignment horizontal="right" vertical="top" wrapText="1"/>
      <protection locked="0"/>
    </xf>
    <xf numFmtId="168" fontId="56" fillId="0" borderId="6" xfId="0" applyNumberFormat="1" applyFont="1" applyBorder="1" applyAlignment="1">
      <alignment horizontal="right" vertical="top" wrapText="1"/>
    </xf>
    <xf numFmtId="0" fontId="27" fillId="0" borderId="0" xfId="0" applyFont="1" applyAlignment="1">
      <alignment horizontal="left" vertical="top" wrapText="1"/>
    </xf>
    <xf numFmtId="0" fontId="29" fillId="0" borderId="0" xfId="0" applyFont="1" applyAlignment="1">
      <alignment horizontal="right" vertical="top" wrapText="1"/>
    </xf>
    <xf numFmtId="10" fontId="29" fillId="5" borderId="6" xfId="0" applyNumberFormat="1" applyFont="1" applyFill="1" applyBorder="1" applyAlignment="1" applyProtection="1">
      <alignment horizontal="center" vertical="top" wrapText="1"/>
      <protection locked="0"/>
    </xf>
    <xf numFmtId="0" fontId="67" fillId="0" borderId="0" xfId="0" applyFont="1" applyAlignment="1">
      <alignment horizontal="left" vertical="center"/>
    </xf>
    <xf numFmtId="0" fontId="27" fillId="0" borderId="2" xfId="543" applyFont="1" applyBorder="1" applyAlignment="1">
      <alignment horizontal="center"/>
    </xf>
    <xf numFmtId="0" fontId="0" fillId="0" borderId="0" xfId="543" applyFont="1"/>
    <xf numFmtId="0" fontId="21" fillId="0" borderId="0" xfId="244" quotePrefix="1" applyAlignment="1" applyProtection="1">
      <alignment horizontal="left"/>
    </xf>
    <xf numFmtId="168" fontId="56" fillId="0" borderId="11" xfId="0" applyNumberFormat="1" applyFont="1" applyBorder="1" applyAlignment="1">
      <alignment vertical="top" wrapText="1"/>
    </xf>
    <xf numFmtId="168" fontId="56" fillId="4" borderId="11" xfId="0" applyNumberFormat="1" applyFont="1" applyFill="1" applyBorder="1" applyAlignment="1">
      <alignment vertical="top" wrapText="1"/>
    </xf>
    <xf numFmtId="0" fontId="107" fillId="0" borderId="0" xfId="0" applyFont="1" applyAlignment="1">
      <alignment horizontal="left" vertical="top"/>
    </xf>
    <xf numFmtId="0" fontId="108" fillId="0" borderId="0" xfId="0" applyFont="1" applyAlignment="1">
      <alignment horizontal="left" vertical="top"/>
    </xf>
    <xf numFmtId="0" fontId="27" fillId="8" borderId="11" xfId="542" applyFont="1" applyFill="1" applyBorder="1" applyAlignment="1">
      <alignment horizontal="left"/>
    </xf>
    <xf numFmtId="0" fontId="27" fillId="8" borderId="11" xfId="542" applyFont="1" applyFill="1" applyBorder="1" applyAlignment="1">
      <alignment horizontal="center"/>
    </xf>
    <xf numFmtId="0" fontId="66" fillId="8" borderId="11" xfId="542" applyFont="1" applyFill="1" applyBorder="1" applyAlignment="1">
      <alignment horizontal="left"/>
    </xf>
    <xf numFmtId="0" fontId="66" fillId="0" borderId="11" xfId="542" applyFont="1" applyBorder="1" applyAlignment="1">
      <alignment horizontal="left"/>
    </xf>
    <xf numFmtId="0" fontId="27" fillId="0" borderId="0" xfId="271" applyFont="1" applyAlignment="1" applyProtection="1">
      <alignment horizontal="center" wrapText="1"/>
      <protection locked="0"/>
    </xf>
    <xf numFmtId="0" fontId="29" fillId="0" borderId="0" xfId="271" applyAlignment="1" applyProtection="1">
      <alignment vertical="top" wrapText="1"/>
      <protection locked="0"/>
    </xf>
    <xf numFmtId="0" fontId="27" fillId="0" borderId="0" xfId="271" applyFont="1" applyAlignment="1" applyProtection="1">
      <alignment vertical="top" wrapText="1"/>
      <protection locked="0"/>
    </xf>
    <xf numFmtId="0" fontId="20" fillId="0" borderId="0" xfId="0" applyFont="1" applyAlignment="1">
      <alignment horizontal="center"/>
    </xf>
    <xf numFmtId="0" fontId="34" fillId="0" borderId="8" xfId="569" applyFont="1" applyBorder="1" applyAlignment="1">
      <alignment vertical="top" wrapText="1"/>
    </xf>
    <xf numFmtId="0" fontId="34" fillId="0" borderId="0" xfId="569" applyFont="1" applyAlignment="1">
      <alignment vertical="top" wrapText="1"/>
    </xf>
    <xf numFmtId="0" fontId="58" fillId="2" borderId="11" xfId="569" applyFont="1" applyFill="1" applyBorder="1" applyAlignment="1">
      <alignment horizontal="left" vertical="top" wrapText="1"/>
    </xf>
    <xf numFmtId="6" fontId="56" fillId="4" borderId="11" xfId="569" applyNumberFormat="1" applyFont="1" applyFill="1" applyBorder="1" applyAlignment="1">
      <alignment vertical="top" wrapText="1"/>
    </xf>
    <xf numFmtId="0" fontId="56" fillId="0" borderId="8" xfId="569" applyFont="1" applyBorder="1" applyAlignment="1">
      <alignment vertical="top" wrapText="1"/>
    </xf>
    <xf numFmtId="0" fontId="56" fillId="0" borderId="0" xfId="569" applyFont="1" applyAlignment="1">
      <alignment vertical="top" wrapText="1"/>
    </xf>
    <xf numFmtId="6" fontId="56" fillId="0" borderId="11" xfId="569" applyNumberFormat="1" applyFont="1" applyBorder="1" applyAlignment="1">
      <alignment vertical="top" wrapText="1"/>
    </xf>
    <xf numFmtId="6" fontId="56" fillId="5" borderId="11" xfId="569" applyNumberFormat="1" applyFont="1" applyFill="1" applyBorder="1" applyAlignment="1" applyProtection="1">
      <alignment vertical="top" wrapText="1"/>
      <protection locked="0"/>
    </xf>
    <xf numFmtId="6" fontId="56" fillId="6" borderId="11" xfId="569" applyNumberFormat="1" applyFont="1" applyFill="1" applyBorder="1" applyAlignment="1">
      <alignment horizontal="center" vertical="top" wrapText="1"/>
    </xf>
    <xf numFmtId="0" fontId="56" fillId="0" borderId="11" xfId="569" applyFont="1" applyBorder="1" applyAlignment="1">
      <alignment horizontal="right" vertical="top" wrapText="1"/>
    </xf>
    <xf numFmtId="0" fontId="57" fillId="0" borderId="11" xfId="569" applyFont="1" applyBorder="1" applyAlignment="1">
      <alignment horizontal="right" vertical="top" wrapText="1"/>
    </xf>
    <xf numFmtId="0" fontId="56" fillId="0" borderId="11" xfId="569" applyFont="1" applyBorder="1" applyAlignment="1">
      <alignment horizontal="right" vertical="top"/>
    </xf>
    <xf numFmtId="6" fontId="57" fillId="0" borderId="11" xfId="569" applyNumberFormat="1" applyFont="1" applyBorder="1" applyAlignment="1">
      <alignment vertical="top" wrapText="1"/>
    </xf>
    <xf numFmtId="0" fontId="57" fillId="0" borderId="8" xfId="569" applyFont="1" applyBorder="1" applyAlignment="1">
      <alignment vertical="top" wrapText="1"/>
    </xf>
    <xf numFmtId="0" fontId="57" fillId="0" borderId="0" xfId="569" applyFont="1" applyAlignment="1">
      <alignment vertical="top" wrapText="1"/>
    </xf>
    <xf numFmtId="0" fontId="23" fillId="0" borderId="11" xfId="569" applyFont="1" applyBorder="1" applyAlignment="1">
      <alignment horizontal="right" vertical="top" wrapText="1"/>
    </xf>
    <xf numFmtId="0" fontId="57" fillId="0" borderId="0" xfId="569" applyFont="1" applyAlignment="1">
      <alignment horizontal="left" vertical="top"/>
    </xf>
    <xf numFmtId="6" fontId="56" fillId="0" borderId="0" xfId="569" applyNumberFormat="1" applyFont="1" applyAlignment="1">
      <alignment horizontal="left" vertical="top"/>
    </xf>
    <xf numFmtId="0" fontId="108" fillId="0" borderId="0" xfId="569" applyFont="1" applyAlignment="1">
      <alignment horizontal="left" vertical="top"/>
    </xf>
    <xf numFmtId="6" fontId="56" fillId="0" borderId="0" xfId="569" applyNumberFormat="1" applyFont="1" applyAlignment="1">
      <alignment vertical="top" wrapText="1"/>
    </xf>
    <xf numFmtId="0" fontId="56" fillId="0" borderId="0" xfId="569" applyFont="1" applyAlignment="1">
      <alignment horizontal="left" vertical="top"/>
    </xf>
    <xf numFmtId="0" fontId="56" fillId="0" borderId="12" xfId="569" applyFont="1" applyBorder="1" applyAlignment="1">
      <alignment vertical="top" wrapText="1"/>
    </xf>
    <xf numFmtId="0" fontId="27" fillId="0" borderId="0" xfId="569" applyFont="1" applyAlignment="1">
      <alignment horizontal="left" vertical="top"/>
    </xf>
    <xf numFmtId="0" fontId="111" fillId="0" borderId="0" xfId="569" applyFont="1" applyAlignment="1">
      <alignment horizontal="left" vertical="top"/>
    </xf>
    <xf numFmtId="0" fontId="67" fillId="0" borderId="0" xfId="569" applyFont="1" applyAlignment="1">
      <alignment horizontal="left" vertical="center"/>
    </xf>
    <xf numFmtId="0" fontId="35" fillId="0" borderId="0" xfId="569" applyFont="1" applyAlignment="1">
      <alignment vertical="top" wrapText="1"/>
    </xf>
    <xf numFmtId="0" fontId="35" fillId="0" borderId="12" xfId="569" applyFont="1" applyBorder="1" applyAlignment="1">
      <alignment vertical="top" wrapText="1"/>
    </xf>
    <xf numFmtId="0" fontId="35" fillId="0" borderId="8" xfId="569" applyFont="1" applyBorder="1" applyAlignment="1">
      <alignment vertical="top" wrapText="1"/>
    </xf>
    <xf numFmtId="0" fontId="56" fillId="0" borderId="0" xfId="569" applyFont="1" applyAlignment="1">
      <alignment vertical="top"/>
    </xf>
    <xf numFmtId="168" fontId="56" fillId="0" borderId="0" xfId="569" applyNumberFormat="1" applyFont="1" applyAlignment="1" applyProtection="1">
      <alignment horizontal="right" vertical="top" wrapText="1"/>
      <protection locked="0"/>
    </xf>
    <xf numFmtId="0" fontId="20" fillId="0" borderId="0" xfId="569" applyAlignment="1">
      <alignment vertical="top" wrapText="1"/>
    </xf>
    <xf numFmtId="0" fontId="20" fillId="0" borderId="0" xfId="569" applyAlignment="1">
      <alignment vertical="top"/>
    </xf>
    <xf numFmtId="0" fontId="56" fillId="0" borderId="0" xfId="569" applyFont="1" applyAlignment="1">
      <alignment horizontal="right" vertical="top" wrapText="1"/>
    </xf>
    <xf numFmtId="0" fontId="27" fillId="0" borderId="0" xfId="569" applyFont="1" applyAlignment="1">
      <alignment horizontal="left" vertical="top" wrapText="1"/>
    </xf>
    <xf numFmtId="168" fontId="56" fillId="0" borderId="0" xfId="569" applyNumberFormat="1" applyFont="1" applyAlignment="1">
      <alignment horizontal="right" vertical="top" wrapText="1"/>
    </xf>
    <xf numFmtId="0" fontId="20" fillId="0" borderId="0" xfId="569" applyAlignment="1" applyProtection="1">
      <alignment horizontal="left" vertical="top" wrapText="1"/>
      <protection locked="0"/>
    </xf>
    <xf numFmtId="0" fontId="20" fillId="0" borderId="0" xfId="569" applyAlignment="1">
      <alignment horizontal="right" vertical="top" wrapText="1"/>
    </xf>
    <xf numFmtId="0" fontId="20" fillId="0" borderId="0" xfId="569" applyAlignment="1">
      <alignment horizontal="left" vertical="top"/>
    </xf>
    <xf numFmtId="0" fontId="83" fillId="0" borderId="0" xfId="569" applyFont="1" applyAlignment="1">
      <alignment vertical="top" wrapText="1"/>
    </xf>
    <xf numFmtId="0" fontId="83" fillId="0" borderId="12" xfId="569" applyFont="1" applyBorder="1" applyAlignment="1">
      <alignment vertical="top" wrapText="1"/>
    </xf>
    <xf numFmtId="0" fontId="83" fillId="0" borderId="8" xfId="569" applyFont="1" applyBorder="1" applyAlignment="1">
      <alignment vertical="top" wrapText="1"/>
    </xf>
    <xf numFmtId="0" fontId="34" fillId="0" borderId="0" xfId="569" applyFont="1" applyAlignment="1">
      <alignment horizontal="right" vertical="top" wrapText="1"/>
    </xf>
    <xf numFmtId="0" fontId="83" fillId="0" borderId="0" xfId="569" applyFont="1" applyAlignment="1">
      <alignment horizontal="right" vertical="top" wrapText="1"/>
    </xf>
    <xf numFmtId="0" fontId="57" fillId="0" borderId="3" xfId="569" applyFont="1" applyBorder="1" applyAlignment="1">
      <alignment horizontal="left"/>
    </xf>
    <xf numFmtId="0" fontId="57" fillId="0" borderId="13" xfId="569" applyFont="1" applyBorder="1" applyAlignment="1">
      <alignment horizontal="center" wrapText="1"/>
    </xf>
    <xf numFmtId="0" fontId="57" fillId="0" borderId="8" xfId="569" applyFont="1" applyBorder="1" applyAlignment="1">
      <alignment horizontal="center" wrapText="1"/>
    </xf>
    <xf numFmtId="0" fontId="57" fillId="0" borderId="0" xfId="569" applyFont="1" applyAlignment="1">
      <alignment horizontal="center" wrapText="1"/>
    </xf>
    <xf numFmtId="0" fontId="20" fillId="0" borderId="0" xfId="569"/>
    <xf numFmtId="0" fontId="26" fillId="0" borderId="0" xfId="569" applyFont="1" applyAlignment="1">
      <alignment horizontal="center" vertical="center"/>
    </xf>
    <xf numFmtId="0" fontId="27" fillId="0" borderId="0" xfId="569" applyFont="1"/>
    <xf numFmtId="0" fontId="20" fillId="0" borderId="1" xfId="569" applyBorder="1"/>
    <xf numFmtId="0" fontId="20" fillId="0" borderId="2" xfId="569" applyBorder="1"/>
    <xf numFmtId="0" fontId="20" fillId="0" borderId="8" xfId="569" applyBorder="1"/>
    <xf numFmtId="0" fontId="20" fillId="0" borderId="9" xfId="569" applyBorder="1"/>
    <xf numFmtId="0" fontId="20" fillId="0" borderId="6" xfId="569" applyBorder="1"/>
    <xf numFmtId="0" fontId="28" fillId="0" borderId="0" xfId="569" applyFont="1"/>
    <xf numFmtId="0" fontId="20" fillId="0" borderId="7" xfId="569" applyBorder="1"/>
    <xf numFmtId="0" fontId="20" fillId="0" borderId="12" xfId="569" applyBorder="1"/>
    <xf numFmtId="0" fontId="20" fillId="0" borderId="10" xfId="569" applyBorder="1"/>
    <xf numFmtId="0" fontId="28" fillId="0" borderId="0" xfId="569" applyFont="1" applyAlignment="1">
      <alignment vertical="top" wrapText="1"/>
    </xf>
    <xf numFmtId="0" fontId="20" fillId="0" borderId="0" xfId="569" applyAlignment="1">
      <alignment horizontal="right"/>
    </xf>
    <xf numFmtId="0" fontId="20" fillId="0" borderId="0" xfId="569" applyAlignment="1">
      <alignment wrapText="1"/>
    </xf>
    <xf numFmtId="0" fontId="20" fillId="0" borderId="0" xfId="569" applyAlignment="1">
      <alignment vertical="center"/>
    </xf>
    <xf numFmtId="0" fontId="44" fillId="0" borderId="0" xfId="569" applyFont="1" applyAlignment="1">
      <alignment vertical="center" wrapText="1"/>
    </xf>
    <xf numFmtId="0" fontId="38" fillId="0" borderId="0" xfId="569" applyFont="1" applyAlignment="1">
      <alignment vertical="top" wrapText="1"/>
    </xf>
    <xf numFmtId="0" fontId="27" fillId="0" borderId="0" xfId="569" applyFont="1" applyAlignment="1">
      <alignment vertical="top" wrapText="1"/>
    </xf>
    <xf numFmtId="0" fontId="28" fillId="0" borderId="0" xfId="569" applyFont="1" applyAlignment="1">
      <alignment horizontal="left" vertical="top" wrapText="1"/>
    </xf>
    <xf numFmtId="164" fontId="20" fillId="0" borderId="0" xfId="569" applyNumberFormat="1" applyAlignment="1">
      <alignment horizontal="right"/>
    </xf>
    <xf numFmtId="168" fontId="20" fillId="0" borderId="0" xfId="569" applyNumberFormat="1" applyAlignment="1">
      <alignment horizontal="right"/>
    </xf>
    <xf numFmtId="0" fontId="109" fillId="0" borderId="0" xfId="569" applyFont="1" applyAlignment="1">
      <alignment horizontal="left" vertical="top" wrapText="1"/>
    </xf>
    <xf numFmtId="168" fontId="20" fillId="0" borderId="0" xfId="569" applyNumberFormat="1" applyAlignment="1">
      <alignment wrapText="1"/>
    </xf>
    <xf numFmtId="0" fontId="25" fillId="0" borderId="11" xfId="253" applyFont="1" applyBorder="1" applyAlignment="1">
      <alignment horizontal="center" wrapText="1"/>
    </xf>
    <xf numFmtId="0" fontId="25" fillId="0" borderId="0" xfId="253" applyFont="1" applyAlignment="1">
      <alignment horizontal="center" wrapText="1"/>
    </xf>
    <xf numFmtId="3" fontId="25" fillId="0" borderId="11" xfId="271" applyNumberFormat="1" applyFont="1" applyBorder="1"/>
    <xf numFmtId="3" fontId="25" fillId="0" borderId="0" xfId="271" applyNumberFormat="1" applyFont="1"/>
    <xf numFmtId="0" fontId="68" fillId="0" borderId="0" xfId="271" applyFont="1" applyAlignment="1">
      <alignment horizontal="left"/>
    </xf>
    <xf numFmtId="0" fontId="68" fillId="0" borderId="0" xfId="271" applyFont="1" applyAlignment="1">
      <alignment horizontal="right"/>
    </xf>
    <xf numFmtId="168" fontId="25" fillId="0" borderId="11" xfId="271" applyNumberFormat="1" applyFont="1" applyBorder="1"/>
    <xf numFmtId="168" fontId="25" fillId="0" borderId="0" xfId="271" applyNumberFormat="1" applyFont="1"/>
    <xf numFmtId="0" fontId="56" fillId="0" borderId="0" xfId="569" applyFont="1" applyAlignment="1">
      <alignment horizontal="left"/>
    </xf>
    <xf numFmtId="0" fontId="20" fillId="0" borderId="3" xfId="569" applyBorder="1"/>
    <xf numFmtId="0" fontId="110" fillId="0" borderId="0" xfId="1834"/>
    <xf numFmtId="0" fontId="0" fillId="0" borderId="0" xfId="0" applyAlignment="1">
      <alignment horizontal="left" vertical="top"/>
    </xf>
    <xf numFmtId="0" fontId="109" fillId="0" borderId="0" xfId="0" applyFont="1" applyAlignment="1">
      <alignment vertical="top" wrapText="1"/>
    </xf>
    <xf numFmtId="0" fontId="56" fillId="0" borderId="0" xfId="271" applyFont="1" applyAlignment="1">
      <alignment vertical="top" wrapText="1"/>
    </xf>
    <xf numFmtId="4" fontId="20" fillId="0" borderId="0" xfId="1192" applyNumberFormat="1" applyAlignment="1">
      <alignment horizontal="left" vertical="top" wrapText="1"/>
    </xf>
    <xf numFmtId="0" fontId="20" fillId="0" borderId="0" xfId="0" applyFont="1" applyAlignment="1">
      <alignment horizontal="left" vertical="top" wrapText="1"/>
    </xf>
    <xf numFmtId="0" fontId="27" fillId="0" borderId="12" xfId="543" applyFont="1" applyBorder="1" applyAlignment="1">
      <alignment horizontal="right"/>
    </xf>
    <xf numFmtId="0" fontId="39" fillId="0" borderId="0" xfId="543" applyFont="1" applyAlignment="1">
      <alignment horizontal="center"/>
    </xf>
    <xf numFmtId="4" fontId="20" fillId="0" borderId="0" xfId="569" applyNumberFormat="1" applyAlignment="1">
      <alignment horizontal="left"/>
    </xf>
    <xf numFmtId="0" fontId="20" fillId="0" borderId="0" xfId="569" applyAlignment="1">
      <alignment horizontal="left" vertical="top" wrapText="1"/>
    </xf>
    <xf numFmtId="0" fontId="20" fillId="0" borderId="0" xfId="569" applyAlignment="1">
      <alignment horizontal="left"/>
    </xf>
    <xf numFmtId="0" fontId="20" fillId="0" borderId="0" xfId="1192" applyAlignment="1">
      <alignment horizontal="left"/>
    </xf>
    <xf numFmtId="0" fontId="27" fillId="0" borderId="0" xfId="569" applyFont="1" applyAlignment="1">
      <alignment horizontal="left"/>
    </xf>
    <xf numFmtId="0" fontId="49" fillId="0" borderId="0" xfId="1192" applyFont="1"/>
    <xf numFmtId="0" fontId="56" fillId="0" borderId="11" xfId="0" applyFont="1" applyBorder="1" applyAlignment="1">
      <alignment horizontal="right" vertical="center"/>
    </xf>
    <xf numFmtId="0" fontId="20" fillId="0" borderId="0" xfId="1192" applyAlignment="1">
      <alignment horizontal="left" vertical="top" wrapText="1"/>
    </xf>
    <xf numFmtId="0" fontId="49" fillId="0" borderId="0" xfId="0" applyFont="1" applyAlignment="1">
      <alignment vertical="top" wrapText="1"/>
    </xf>
    <xf numFmtId="0" fontId="49" fillId="0" borderId="0" xfId="0" applyFont="1" applyAlignment="1">
      <alignment horizontal="left" vertical="top" wrapText="1"/>
    </xf>
    <xf numFmtId="6" fontId="57" fillId="0" borderId="0" xfId="569" applyNumberFormat="1" applyFont="1" applyAlignment="1">
      <alignment horizontal="right" vertical="top"/>
    </xf>
    <xf numFmtId="0" fontId="20" fillId="0" borderId="0" xfId="0" applyFont="1" applyAlignment="1">
      <alignment vertical="top" wrapText="1"/>
    </xf>
    <xf numFmtId="168" fontId="29" fillId="0" borderId="0" xfId="0" applyNumberFormat="1" applyFont="1" applyAlignment="1">
      <alignment horizontal="right"/>
    </xf>
    <xf numFmtId="168" fontId="29" fillId="0" borderId="28" xfId="540" applyNumberFormat="1" applyBorder="1" applyAlignment="1" applyProtection="1">
      <alignment horizontal="center"/>
    </xf>
    <xf numFmtId="168" fontId="29" fillId="0" borderId="29" xfId="540" applyNumberFormat="1" applyBorder="1" applyAlignment="1" applyProtection="1">
      <alignment horizontal="center"/>
    </xf>
    <xf numFmtId="168" fontId="29" fillId="0" borderId="30" xfId="540" applyNumberFormat="1" applyBorder="1" applyAlignment="1" applyProtection="1">
      <alignment horizontal="center"/>
    </xf>
    <xf numFmtId="168" fontId="29" fillId="0" borderId="31" xfId="540" applyNumberFormat="1" applyBorder="1" applyAlignment="1" applyProtection="1">
      <alignment horizontal="center"/>
    </xf>
    <xf numFmtId="168" fontId="29" fillId="0" borderId="32" xfId="540" applyNumberFormat="1" applyBorder="1" applyAlignment="1" applyProtection="1">
      <alignment horizontal="center"/>
    </xf>
    <xf numFmtId="168" fontId="29" fillId="0" borderId="33" xfId="540" applyNumberFormat="1" applyBorder="1" applyAlignment="1" applyProtection="1">
      <alignment horizontal="center"/>
    </xf>
    <xf numFmtId="168" fontId="29" fillId="0" borderId="34" xfId="540" applyNumberFormat="1" applyBorder="1" applyAlignment="1" applyProtection="1">
      <alignment horizontal="center"/>
    </xf>
    <xf numFmtId="168" fontId="29" fillId="0" borderId="35" xfId="540" applyNumberFormat="1" applyBorder="1" applyAlignment="1" applyProtection="1">
      <alignment horizontal="center"/>
    </xf>
    <xf numFmtId="168" fontId="29" fillId="0" borderId="36" xfId="540" applyNumberFormat="1" applyBorder="1" applyAlignment="1" applyProtection="1">
      <alignment horizontal="center"/>
    </xf>
    <xf numFmtId="168" fontId="29" fillId="0" borderId="37" xfId="540" applyNumberFormat="1" applyBorder="1" applyAlignment="1" applyProtection="1">
      <alignment horizontal="center"/>
    </xf>
    <xf numFmtId="168" fontId="29" fillId="0" borderId="38" xfId="540" applyNumberFormat="1" applyBorder="1" applyAlignment="1" applyProtection="1">
      <alignment horizontal="center"/>
    </xf>
    <xf numFmtId="168" fontId="29" fillId="0" borderId="39" xfId="540" applyNumberFormat="1" applyBorder="1" applyAlignment="1" applyProtection="1">
      <alignment horizontal="center"/>
    </xf>
    <xf numFmtId="168" fontId="29" fillId="0" borderId="40" xfId="540" applyNumberFormat="1" applyBorder="1" applyAlignment="1" applyProtection="1">
      <alignment horizontal="center"/>
    </xf>
    <xf numFmtId="168" fontId="29" fillId="0" borderId="0" xfId="540" applyNumberFormat="1" applyAlignment="1" applyProtection="1">
      <alignment horizontal="center"/>
    </xf>
    <xf numFmtId="168" fontId="29" fillId="0" borderId="14" xfId="540" applyNumberFormat="1" applyBorder="1" applyAlignment="1" applyProtection="1">
      <alignment horizontal="center"/>
    </xf>
    <xf numFmtId="168" fontId="29" fillId="0" borderId="41" xfId="540" applyNumberFormat="1" applyBorder="1" applyAlignment="1" applyProtection="1">
      <alignment horizontal="center"/>
    </xf>
    <xf numFmtId="168" fontId="29" fillId="0" borderId="42" xfId="540" applyNumberFormat="1" applyBorder="1" applyAlignment="1" applyProtection="1">
      <alignment horizontal="center"/>
    </xf>
    <xf numFmtId="168" fontId="29" fillId="0" borderId="43" xfId="540" applyNumberFormat="1" applyBorder="1" applyAlignment="1" applyProtection="1">
      <alignment horizontal="center"/>
    </xf>
    <xf numFmtId="168" fontId="29" fillId="0" borderId="44" xfId="540" applyNumberFormat="1" applyBorder="1" applyAlignment="1" applyProtection="1">
      <alignment horizontal="center"/>
    </xf>
    <xf numFmtId="0" fontId="20" fillId="0" borderId="0" xfId="1192"/>
    <xf numFmtId="0" fontId="20" fillId="0" borderId="0" xfId="0" applyFont="1" applyAlignment="1">
      <alignment wrapText="1"/>
    </xf>
    <xf numFmtId="0" fontId="49" fillId="0" borderId="0" xfId="0" applyFont="1" applyAlignment="1">
      <alignment horizontal="left" vertical="top"/>
    </xf>
    <xf numFmtId="0" fontId="49" fillId="0" borderId="0" xfId="0" applyFont="1" applyAlignment="1">
      <alignment vertical="top"/>
    </xf>
    <xf numFmtId="0" fontId="20" fillId="0" borderId="0" xfId="569" applyAlignment="1">
      <alignment horizontal="center"/>
    </xf>
    <xf numFmtId="0" fontId="38" fillId="0" borderId="0" xfId="569" applyFont="1" applyAlignment="1">
      <alignment horizontal="left"/>
    </xf>
    <xf numFmtId="0" fontId="38" fillId="0" borderId="0" xfId="569" applyFont="1" applyAlignment="1">
      <alignment horizontal="center"/>
    </xf>
    <xf numFmtId="49" fontId="27" fillId="0" borderId="0" xfId="569" applyNumberFormat="1" applyFont="1" applyAlignment="1">
      <alignment horizontal="center"/>
    </xf>
    <xf numFmtId="0" fontId="54" fillId="0" borderId="0" xfId="569" applyFont="1" applyAlignment="1">
      <alignment horizontal="center"/>
    </xf>
    <xf numFmtId="0" fontId="20" fillId="5" borderId="6" xfId="569" applyFill="1" applyBorder="1" applyProtection="1">
      <protection locked="0"/>
    </xf>
    <xf numFmtId="0" fontId="21" fillId="0" borderId="0" xfId="244" applyAlignment="1" applyProtection="1">
      <alignment horizontal="center"/>
    </xf>
    <xf numFmtId="49" fontId="20" fillId="0" borderId="0" xfId="569" applyNumberFormat="1" applyAlignment="1">
      <alignment horizontal="center"/>
    </xf>
    <xf numFmtId="0" fontId="20" fillId="0" borderId="0" xfId="569" applyAlignment="1">
      <alignment horizontal="center" vertical="center"/>
    </xf>
    <xf numFmtId="0" fontId="20" fillId="0" borderId="0" xfId="1192" applyAlignment="1">
      <alignment horizontal="center"/>
    </xf>
    <xf numFmtId="0" fontId="27" fillId="0" borderId="0" xfId="569" applyFont="1" applyAlignment="1">
      <alignment horizontal="center"/>
    </xf>
    <xf numFmtId="0" fontId="20" fillId="0" borderId="0" xfId="569" applyAlignment="1">
      <alignment horizontal="left" indent="4"/>
    </xf>
    <xf numFmtId="0" fontId="20" fillId="0" borderId="0" xfId="569" quotePrefix="1" applyAlignment="1">
      <alignment horizontal="left"/>
    </xf>
    <xf numFmtId="0" fontId="38" fillId="0" borderId="0" xfId="569" applyFont="1"/>
    <xf numFmtId="0" fontId="20" fillId="0" borderId="0" xfId="1192" applyAlignment="1" applyProtection="1">
      <alignment horizontal="left"/>
      <protection locked="0"/>
    </xf>
    <xf numFmtId="0" fontId="20" fillId="0" borderId="0" xfId="569" applyAlignment="1" applyProtection="1">
      <alignment horizontal="left"/>
      <protection locked="0"/>
    </xf>
    <xf numFmtId="49" fontId="20" fillId="0" borderId="0" xfId="1192" applyNumberFormat="1" applyAlignment="1">
      <alignment horizontal="center"/>
    </xf>
    <xf numFmtId="0" fontId="54" fillId="0" borderId="0" xfId="1192" applyFont="1" applyAlignment="1">
      <alignment horizontal="center"/>
    </xf>
    <xf numFmtId="0" fontId="27" fillId="0" borderId="0" xfId="1192" applyFont="1" applyAlignment="1">
      <alignment horizontal="left"/>
    </xf>
    <xf numFmtId="4" fontId="20" fillId="0" borderId="0" xfId="1192" applyNumberFormat="1" applyAlignment="1">
      <alignment horizontal="left"/>
    </xf>
    <xf numFmtId="0" fontId="27" fillId="0" borderId="0" xfId="569" quotePrefix="1" applyFont="1" applyAlignment="1">
      <alignment horizontal="center"/>
    </xf>
    <xf numFmtId="49" fontId="20" fillId="0" borderId="0" xfId="569" applyNumberFormat="1"/>
    <xf numFmtId="0" fontId="52" fillId="0" borderId="0" xfId="569" applyFont="1" applyAlignment="1">
      <alignment horizontal="left"/>
    </xf>
    <xf numFmtId="4" fontId="54" fillId="0" borderId="0" xfId="569" applyNumberFormat="1" applyFont="1" applyAlignment="1">
      <alignment horizontal="center"/>
    </xf>
    <xf numFmtId="4" fontId="20" fillId="0" borderId="0" xfId="569" applyNumberFormat="1" applyAlignment="1">
      <alignment horizontal="center"/>
    </xf>
    <xf numFmtId="4" fontId="20" fillId="0" borderId="0" xfId="569" applyNumberFormat="1"/>
    <xf numFmtId="0" fontId="50" fillId="0" borderId="0" xfId="569" applyFont="1" applyAlignment="1">
      <alignment horizontal="left"/>
    </xf>
    <xf numFmtId="0" fontId="21" fillId="0" borderId="0" xfId="244" applyNumberFormat="1" applyFill="1" applyAlignment="1" applyProtection="1">
      <alignment horizontal="left"/>
      <protection locked="0"/>
    </xf>
    <xf numFmtId="0" fontId="56" fillId="0" borderId="11" xfId="0" applyFont="1" applyBorder="1" applyAlignment="1" applyProtection="1">
      <alignment horizontal="right" vertical="top" wrapText="1"/>
      <protection locked="0"/>
    </xf>
    <xf numFmtId="168" fontId="59" fillId="44" borderId="11" xfId="0" applyNumberFormat="1" applyFont="1" applyFill="1" applyBorder="1" applyAlignment="1">
      <alignment vertical="top" wrapText="1"/>
    </xf>
    <xf numFmtId="0" fontId="20" fillId="0" borderId="11" xfId="271" applyFont="1" applyBorder="1" applyAlignment="1">
      <alignment horizontal="right" vertical="top" wrapText="1"/>
    </xf>
    <xf numFmtId="0" fontId="28" fillId="0" borderId="0" xfId="569" applyFont="1" applyAlignment="1">
      <alignment horizontal="left"/>
    </xf>
    <xf numFmtId="0" fontId="107" fillId="0" borderId="0" xfId="0" applyFont="1"/>
    <xf numFmtId="0" fontId="118" fillId="0" borderId="0" xfId="0" applyFont="1" applyAlignment="1">
      <alignment horizontal="left" vertical="top"/>
    </xf>
    <xf numFmtId="0" fontId="119" fillId="0" borderId="0" xfId="0" applyFont="1" applyAlignment="1">
      <alignment horizontal="left" vertical="top"/>
    </xf>
    <xf numFmtId="168" fontId="28" fillId="0" borderId="0" xfId="0" applyNumberFormat="1" applyFont="1" applyAlignment="1">
      <alignment horizontal="left" vertical="top" wrapText="1"/>
    </xf>
    <xf numFmtId="168" fontId="56" fillId="5" borderId="11" xfId="0" applyNumberFormat="1" applyFont="1" applyFill="1" applyBorder="1" applyAlignment="1">
      <alignment vertical="top" wrapText="1"/>
    </xf>
    <xf numFmtId="0" fontId="20" fillId="0" borderId="0" xfId="271" applyFont="1" applyAlignment="1">
      <alignment horizontal="left" vertical="top"/>
    </xf>
    <xf numFmtId="0" fontId="56" fillId="0" borderId="0" xfId="569" applyFont="1"/>
    <xf numFmtId="0" fontId="20" fillId="0" borderId="0" xfId="0" applyFont="1" applyAlignment="1">
      <alignment horizontal="left" vertical="top"/>
    </xf>
    <xf numFmtId="4" fontId="20" fillId="0" borderId="0" xfId="1192" applyNumberFormat="1" applyAlignment="1">
      <alignment vertical="top" wrapText="1"/>
    </xf>
    <xf numFmtId="0" fontId="27" fillId="0" borderId="16" xfId="271" applyFont="1" applyBorder="1"/>
    <xf numFmtId="0" fontId="63" fillId="0" borderId="0" xfId="569" applyFont="1"/>
    <xf numFmtId="0" fontId="44" fillId="0" borderId="0" xfId="569" applyFont="1"/>
    <xf numFmtId="0" fontId="20" fillId="0" borderId="0" xfId="1192" applyAlignment="1">
      <alignment vertical="top" wrapText="1"/>
    </xf>
    <xf numFmtId="49" fontId="20" fillId="0" borderId="0" xfId="1192" applyNumberFormat="1" applyAlignment="1">
      <alignment vertical="top" wrapText="1"/>
    </xf>
    <xf numFmtId="0" fontId="58" fillId="0" borderId="9" xfId="543" applyFont="1" applyBorder="1" applyAlignment="1">
      <alignment vertical="top"/>
    </xf>
    <xf numFmtId="0" fontId="20" fillId="0" borderId="0" xfId="0" applyFont="1" applyAlignment="1">
      <alignment vertical="center"/>
    </xf>
    <xf numFmtId="0" fontId="120" fillId="0" borderId="0" xfId="0" applyFont="1"/>
    <xf numFmtId="3" fontId="107" fillId="0" borderId="0" xfId="0" applyNumberFormat="1" applyFont="1"/>
    <xf numFmtId="0" fontId="107" fillId="0" borderId="0" xfId="0" applyFont="1" applyAlignment="1">
      <alignment horizontal="left"/>
    </xf>
    <xf numFmtId="168" fontId="121" fillId="0" borderId="0" xfId="0" applyNumberFormat="1" applyFont="1" applyAlignment="1">
      <alignment horizontal="left" vertical="top"/>
    </xf>
    <xf numFmtId="0" fontId="107" fillId="0" borderId="0" xfId="0" applyFont="1" applyAlignment="1">
      <alignment horizontal="left" vertical="center"/>
    </xf>
    <xf numFmtId="0" fontId="123" fillId="0" borderId="0" xfId="0" applyFont="1"/>
    <xf numFmtId="172" fontId="20" fillId="0" borderId="8" xfId="543" applyNumberFormat="1" applyBorder="1"/>
    <xf numFmtId="0" fontId="20" fillId="0" borderId="8" xfId="4495" applyFont="1" applyBorder="1"/>
    <xf numFmtId="0" fontId="20" fillId="0" borderId="0" xfId="4495" applyFont="1"/>
    <xf numFmtId="0" fontId="26" fillId="0" borderId="0" xfId="4495" applyFont="1" applyAlignment="1">
      <alignment horizontal="center" vertical="center"/>
    </xf>
    <xf numFmtId="0" fontId="27" fillId="0" borderId="0" xfId="4495" applyFont="1" applyAlignment="1">
      <alignment horizontal="left"/>
    </xf>
    <xf numFmtId="0" fontId="27" fillId="0" borderId="0" xfId="4495" applyFont="1"/>
    <xf numFmtId="0" fontId="30" fillId="0" borderId="0" xfId="4495" applyFont="1" applyAlignment="1">
      <alignment horizontal="center" vertical="center"/>
    </xf>
    <xf numFmtId="0" fontId="30" fillId="0" borderId="27" xfId="4495" applyFont="1" applyBorder="1" applyAlignment="1">
      <alignment horizontal="center" vertical="center"/>
    </xf>
    <xf numFmtId="0" fontId="30" fillId="0" borderId="46" xfId="4495" applyFont="1" applyBorder="1" applyAlignment="1">
      <alignment horizontal="center" vertical="center"/>
    </xf>
    <xf numFmtId="0" fontId="27" fillId="0" borderId="0" xfId="4495" applyFont="1" applyAlignment="1">
      <alignment horizontal="right"/>
    </xf>
    <xf numFmtId="0" fontId="20" fillId="0" borderId="0" xfId="1192" quotePrefix="1" applyAlignment="1">
      <alignment horizontal="center"/>
    </xf>
    <xf numFmtId="49" fontId="28" fillId="0" borderId="0" xfId="4495" applyNumberFormat="1" applyFont="1" applyAlignment="1">
      <alignment horizontal="left" vertical="top"/>
    </xf>
    <xf numFmtId="0" fontId="20" fillId="0" borderId="47" xfId="4495" applyFont="1" applyBorder="1" applyAlignment="1">
      <alignment horizontal="left" vertical="center"/>
    </xf>
    <xf numFmtId="0" fontId="30" fillId="0" borderId="48" xfId="4495" applyFont="1" applyBorder="1" applyAlignment="1">
      <alignment horizontal="center" vertical="center"/>
    </xf>
    <xf numFmtId="0" fontId="28" fillId="0" borderId="0" xfId="4495" applyFont="1"/>
    <xf numFmtId="0" fontId="28" fillId="0" borderId="0" xfId="4495" applyFont="1" applyAlignment="1">
      <alignment horizontal="left" vertical="top"/>
    </xf>
    <xf numFmtId="0" fontId="124" fillId="0" borderId="0" xfId="4496" applyFont="1" applyAlignment="1">
      <alignment horizontal="left" vertical="top" wrapText="1"/>
    </xf>
    <xf numFmtId="0" fontId="124" fillId="0" borderId="54" xfId="4496" applyFont="1" applyBorder="1" applyAlignment="1">
      <alignment horizontal="left" vertical="top" wrapText="1"/>
    </xf>
    <xf numFmtId="0" fontId="20" fillId="0" borderId="0" xfId="4495" applyFont="1" applyAlignment="1">
      <alignment horizontal="left" vertical="center"/>
    </xf>
    <xf numFmtId="0" fontId="125" fillId="0" borderId="0" xfId="4496" applyFont="1" applyAlignment="1">
      <alignment vertical="center"/>
    </xf>
    <xf numFmtId="0" fontId="124" fillId="0" borderId="0" xfId="4496" applyFont="1"/>
    <xf numFmtId="0" fontId="124" fillId="0" borderId="0" xfId="4496" applyFont="1" applyAlignment="1">
      <alignment vertical="center"/>
    </xf>
    <xf numFmtId="0" fontId="126" fillId="0" borderId="0" xfId="4496" applyFont="1" applyAlignment="1">
      <alignment vertical="center"/>
    </xf>
    <xf numFmtId="0" fontId="20" fillId="0" borderId="0" xfId="4496" applyFont="1" applyAlignment="1">
      <alignment vertical="center"/>
    </xf>
    <xf numFmtId="0" fontId="28" fillId="0" borderId="3" xfId="4495" applyFont="1" applyBorder="1" applyAlignment="1">
      <alignment vertical="top" wrapText="1"/>
    </xf>
    <xf numFmtId="0" fontId="28" fillId="0" borderId="4" xfId="4495" applyFont="1" applyBorder="1" applyAlignment="1">
      <alignment vertical="top" wrapText="1"/>
    </xf>
    <xf numFmtId="164" fontId="122" fillId="0" borderId="4" xfId="4495" applyNumberFormat="1" applyBorder="1" applyAlignment="1">
      <alignment horizontal="right"/>
    </xf>
    <xf numFmtId="0" fontId="28" fillId="0" borderId="4" xfId="4495" applyFont="1" applyBorder="1"/>
    <xf numFmtId="0" fontId="27" fillId="0" borderId="5" xfId="4495" applyFont="1" applyBorder="1" applyAlignment="1">
      <alignment horizontal="right"/>
    </xf>
    <xf numFmtId="0" fontId="20" fillId="0" borderId="16" xfId="4495" applyFont="1" applyBorder="1"/>
    <xf numFmtId="0" fontId="20" fillId="0" borderId="16" xfId="4495" applyFont="1" applyBorder="1" applyAlignment="1">
      <alignment horizontal="left" vertical="top"/>
    </xf>
    <xf numFmtId="0" fontId="28" fillId="0" borderId="16" xfId="4495" applyFont="1" applyBorder="1" applyAlignment="1">
      <alignment horizontal="left" vertical="top" wrapText="1"/>
    </xf>
    <xf numFmtId="0" fontId="28" fillId="0" borderId="45" xfId="4495" applyFont="1" applyBorder="1" applyAlignment="1">
      <alignment horizontal="left" vertical="top" wrapText="1"/>
    </xf>
    <xf numFmtId="0" fontId="122" fillId="0" borderId="0" xfId="4495"/>
    <xf numFmtId="0" fontId="21" fillId="0" borderId="0" xfId="244" applyFill="1" applyBorder="1" applyAlignment="1" applyProtection="1">
      <alignment horizontal="left" vertical="top"/>
    </xf>
    <xf numFmtId="0" fontId="21" fillId="0" borderId="0" xfId="244" applyFill="1" applyBorder="1" applyAlignment="1" applyProtection="1">
      <alignment horizontal="left" vertical="top" wrapText="1"/>
    </xf>
    <xf numFmtId="0" fontId="28" fillId="0" borderId="0" xfId="4495" applyFont="1" applyAlignment="1">
      <alignment horizontal="left" vertical="top" wrapText="1"/>
    </xf>
    <xf numFmtId="0" fontId="28" fillId="0" borderId="0" xfId="4495" applyFont="1" applyAlignment="1">
      <alignment horizontal="right" vertical="top"/>
    </xf>
    <xf numFmtId="0" fontId="20" fillId="0" borderId="0" xfId="4495" applyFont="1" applyAlignment="1">
      <alignment vertical="center" wrapText="1"/>
    </xf>
    <xf numFmtId="0" fontId="124" fillId="0" borderId="53" xfId="4496" applyFont="1" applyBorder="1" applyAlignment="1">
      <alignment vertical="top" wrapText="1"/>
    </xf>
    <xf numFmtId="0" fontId="124" fillId="0" borderId="0" xfId="4496" applyFont="1" applyAlignment="1">
      <alignment vertical="top" wrapText="1"/>
    </xf>
    <xf numFmtId="10" fontId="124" fillId="0" borderId="0" xfId="4496" applyNumberFormat="1" applyFont="1" applyAlignment="1">
      <alignment vertical="top" wrapText="1"/>
    </xf>
    <xf numFmtId="0" fontId="124" fillId="0" borderId="54" xfId="4496" applyFont="1" applyBorder="1" applyAlignment="1">
      <alignment vertical="top" wrapText="1"/>
    </xf>
    <xf numFmtId="0" fontId="124" fillId="0" borderId="0" xfId="4496" applyFont="1" applyAlignment="1">
      <alignment vertical="top"/>
    </xf>
    <xf numFmtId="165" fontId="124" fillId="0" borderId="0" xfId="4496" applyNumberFormat="1" applyFont="1" applyAlignment="1">
      <alignment vertical="top" wrapText="1"/>
    </xf>
    <xf numFmtId="0" fontId="27" fillId="0" borderId="57" xfId="4495" applyFont="1" applyBorder="1"/>
    <xf numFmtId="0" fontId="27" fillId="0" borderId="58" xfId="4495" applyFont="1" applyBorder="1"/>
    <xf numFmtId="0" fontId="27" fillId="0" borderId="58" xfId="4495" applyFont="1" applyBorder="1" applyAlignment="1">
      <alignment horizontal="right"/>
    </xf>
    <xf numFmtId="0" fontId="27" fillId="0" borderId="59" xfId="4495" applyFont="1" applyBorder="1" applyAlignment="1">
      <alignment horizontal="right"/>
    </xf>
    <xf numFmtId="0" fontId="124" fillId="0" borderId="53" xfId="4496" applyFont="1" applyBorder="1" applyAlignment="1">
      <alignment horizontal="left" vertical="top" wrapText="1"/>
    </xf>
    <xf numFmtId="0" fontId="124" fillId="0" borderId="0" xfId="4496" applyFont="1" applyAlignment="1">
      <alignment horizontal="left" vertical="top"/>
    </xf>
    <xf numFmtId="0" fontId="30" fillId="0" borderId="57" xfId="4495" applyFont="1" applyBorder="1" applyAlignment="1">
      <alignment horizontal="center" vertical="center"/>
    </xf>
    <xf numFmtId="0" fontId="30" fillId="0" borderId="58" xfId="4495" applyFont="1" applyBorder="1" applyAlignment="1">
      <alignment horizontal="center" vertical="center"/>
    </xf>
    <xf numFmtId="0" fontId="30" fillId="0" borderId="59" xfId="4495" applyFont="1" applyBorder="1" applyAlignment="1">
      <alignment horizontal="center" vertical="center"/>
    </xf>
    <xf numFmtId="0" fontId="27" fillId="0" borderId="0" xfId="4495" applyFont="1" applyAlignment="1">
      <alignment horizontal="center"/>
    </xf>
    <xf numFmtId="0" fontId="27" fillId="0" borderId="8" xfId="4495" applyFont="1" applyBorder="1"/>
    <xf numFmtId="0" fontId="28" fillId="0" borderId="0" xfId="4495" applyFont="1" applyAlignment="1">
      <alignment horizontal="left"/>
    </xf>
    <xf numFmtId="0" fontId="27" fillId="0" borderId="0" xfId="4495" applyFont="1" applyAlignment="1">
      <alignment horizontal="center" vertical="top"/>
    </xf>
    <xf numFmtId="0" fontId="20" fillId="0" borderId="0" xfId="4495" applyFont="1" applyAlignment="1">
      <alignment horizontal="center"/>
    </xf>
    <xf numFmtId="0" fontId="36" fillId="0" borderId="0" xfId="4495" applyFont="1"/>
    <xf numFmtId="0" fontId="28" fillId="0" borderId="8" xfId="4495" applyFont="1" applyBorder="1"/>
    <xf numFmtId="0" fontId="56" fillId="0" borderId="8" xfId="4495" applyFont="1" applyBorder="1"/>
    <xf numFmtId="1" fontId="20" fillId="0" borderId="0" xfId="1192" applyNumberFormat="1"/>
    <xf numFmtId="0" fontId="20" fillId="0" borderId="3" xfId="4495" applyFont="1" applyBorder="1"/>
    <xf numFmtId="0" fontId="20" fillId="0" borderId="4" xfId="4495" applyFont="1" applyBorder="1"/>
    <xf numFmtId="0" fontId="20" fillId="0" borderId="0" xfId="1192" applyAlignment="1">
      <alignment wrapText="1"/>
    </xf>
    <xf numFmtId="0" fontId="28" fillId="0" borderId="0" xfId="4495" applyFont="1" applyAlignment="1">
      <alignment vertical="top" wrapText="1"/>
    </xf>
    <xf numFmtId="0" fontId="28" fillId="0" borderId="0" xfId="1192" applyFont="1"/>
    <xf numFmtId="0" fontId="20" fillId="0" borderId="0" xfId="4495" applyFont="1" applyAlignment="1">
      <alignment horizontal="left"/>
    </xf>
    <xf numFmtId="0" fontId="28" fillId="0" borderId="3" xfId="4495" applyFont="1" applyBorder="1"/>
    <xf numFmtId="0" fontId="20" fillId="0" borderId="4" xfId="4495" applyFont="1" applyBorder="1" applyAlignment="1">
      <alignment horizontal="right"/>
    </xf>
    <xf numFmtId="1" fontId="20" fillId="0" borderId="0" xfId="4495" applyNumberFormat="1" applyFont="1" applyAlignment="1">
      <alignment horizontal="center"/>
    </xf>
    <xf numFmtId="0" fontId="56" fillId="0" borderId="0" xfId="4495" applyFont="1"/>
    <xf numFmtId="0" fontId="20" fillId="0" borderId="0" xfId="4495" applyFont="1" applyAlignment="1">
      <alignment horizontal="right"/>
    </xf>
    <xf numFmtId="0" fontId="28" fillId="0" borderId="0" xfId="4495" applyFont="1" applyAlignment="1">
      <alignment vertical="top"/>
    </xf>
    <xf numFmtId="0" fontId="28" fillId="0" borderId="27" xfId="4495" applyFont="1" applyBorder="1"/>
    <xf numFmtId="0" fontId="27" fillId="0" borderId="0" xfId="4495" applyFont="1" applyAlignment="1">
      <alignment vertical="top"/>
    </xf>
    <xf numFmtId="0" fontId="38" fillId="0" borderId="0" xfId="4495" applyFont="1" applyAlignment="1">
      <alignment vertical="top" wrapText="1"/>
    </xf>
    <xf numFmtId="0" fontId="27" fillId="0" borderId="0" xfId="4495" applyFont="1" applyAlignment="1">
      <alignment horizontal="left" vertical="top" wrapText="1"/>
    </xf>
    <xf numFmtId="0" fontId="20" fillId="0" borderId="0" xfId="4495" applyFont="1" applyAlignment="1">
      <alignment horizontal="left" vertical="top"/>
    </xf>
    <xf numFmtId="0" fontId="38" fillId="0" borderId="0" xfId="4495" applyFont="1" applyAlignment="1">
      <alignment vertical="top"/>
    </xf>
    <xf numFmtId="0" fontId="20" fillId="0" borderId="10" xfId="4495" applyFont="1" applyBorder="1" applyAlignment="1">
      <alignment horizontal="center"/>
    </xf>
    <xf numFmtId="0" fontId="20" fillId="0" borderId="16" xfId="4495" applyFont="1" applyBorder="1" applyAlignment="1">
      <alignment horizontal="center"/>
    </xf>
    <xf numFmtId="0" fontId="36" fillId="0" borderId="16" xfId="4495" applyFont="1" applyBorder="1"/>
    <xf numFmtId="0" fontId="28" fillId="0" borderId="16" xfId="4495" applyFont="1" applyBorder="1"/>
    <xf numFmtId="0" fontId="20" fillId="0" borderId="0" xfId="4496" applyFont="1" applyAlignment="1">
      <alignment vertical="top" wrapText="1"/>
    </xf>
    <xf numFmtId="0" fontId="27" fillId="0" borderId="0" xfId="1192" applyFont="1" applyAlignment="1">
      <alignment horizontal="right"/>
    </xf>
    <xf numFmtId="0" fontId="20" fillId="0" borderId="0" xfId="4496" applyFont="1"/>
    <xf numFmtId="0" fontId="20" fillId="0" borderId="0" xfId="4496" applyFont="1" applyAlignment="1">
      <alignment horizontal="left"/>
    </xf>
    <xf numFmtId="0" fontId="20" fillId="0" borderId="0" xfId="4496" applyFont="1" applyAlignment="1">
      <alignment horizontal="right"/>
    </xf>
    <xf numFmtId="0" fontId="28" fillId="0" borderId="0" xfId="4496" applyFont="1" applyAlignment="1">
      <alignment vertical="top" wrapText="1"/>
    </xf>
    <xf numFmtId="0" fontId="20" fillId="0" borderId="4" xfId="4496" applyFont="1" applyBorder="1"/>
    <xf numFmtId="0" fontId="27" fillId="0" borderId="4" xfId="4496" applyFont="1" applyBorder="1" applyAlignment="1">
      <alignment horizontal="right"/>
    </xf>
    <xf numFmtId="0" fontId="28" fillId="0" borderId="27" xfId="4495" applyFont="1" applyBorder="1" applyAlignment="1">
      <alignment horizontal="left" vertical="top"/>
    </xf>
    <xf numFmtId="0" fontId="20" fillId="0" borderId="27" xfId="4495" applyFont="1" applyBorder="1" applyAlignment="1">
      <alignment horizontal="left" vertical="top"/>
    </xf>
    <xf numFmtId="0" fontId="27" fillId="0" borderId="27" xfId="4495" applyFont="1" applyBorder="1" applyAlignment="1">
      <alignment horizontal="right"/>
    </xf>
    <xf numFmtId="0" fontId="20" fillId="0" borderId="27" xfId="4495" applyFont="1" applyBorder="1" applyAlignment="1">
      <alignment horizontal="center"/>
    </xf>
    <xf numFmtId="0" fontId="20" fillId="0" borderId="46" xfId="4495" applyFont="1" applyBorder="1" applyAlignment="1">
      <alignment horizontal="center"/>
    </xf>
    <xf numFmtId="164" fontId="28" fillId="0" borderId="0" xfId="4495" applyNumberFormat="1" applyFont="1" applyAlignment="1">
      <alignment horizontal="left" vertical="top" wrapText="1"/>
    </xf>
    <xf numFmtId="0" fontId="31" fillId="0" borderId="0" xfId="4495" applyFont="1"/>
    <xf numFmtId="0" fontId="28" fillId="0" borderId="0" xfId="4495" applyFont="1" applyAlignment="1">
      <alignment horizontal="right"/>
    </xf>
    <xf numFmtId="0" fontId="20" fillId="0" borderId="27" xfId="543" applyBorder="1"/>
    <xf numFmtId="0" fontId="20" fillId="0" borderId="46" xfId="543" applyBorder="1"/>
    <xf numFmtId="0" fontId="27" fillId="0" borderId="0" xfId="4495" applyFont="1" applyAlignment="1">
      <alignment horizontal="left" vertical="top"/>
    </xf>
    <xf numFmtId="1" fontId="122" fillId="0" borderId="0" xfId="4495" applyNumberFormat="1"/>
    <xf numFmtId="0" fontId="20" fillId="0" borderId="0" xfId="4495" applyFont="1" applyAlignment="1">
      <alignment vertical="top" wrapText="1"/>
    </xf>
    <xf numFmtId="0" fontId="20" fillId="0" borderId="0" xfId="4495" applyFont="1" applyAlignment="1">
      <alignment horizontal="left" vertical="top" wrapText="1"/>
    </xf>
    <xf numFmtId="0" fontId="20" fillId="0" borderId="50" xfId="4495" applyFont="1" applyBorder="1" applyAlignment="1">
      <alignment vertical="top"/>
    </xf>
    <xf numFmtId="1" fontId="28" fillId="0" borderId="8" xfId="4495" applyNumberFormat="1" applyFont="1" applyBorder="1"/>
    <xf numFmtId="0" fontId="20" fillId="0" borderId="0" xfId="543" applyAlignment="1">
      <alignment vertical="top"/>
    </xf>
    <xf numFmtId="0" fontId="28" fillId="0" borderId="51" xfId="4495" applyFont="1" applyBorder="1" applyAlignment="1">
      <alignment horizontal="left" vertical="top"/>
    </xf>
    <xf numFmtId="0" fontId="28" fillId="0" borderId="52" xfId="4495" applyFont="1" applyBorder="1" applyAlignment="1">
      <alignment horizontal="left" vertical="top"/>
    </xf>
    <xf numFmtId="0" fontId="122" fillId="0" borderId="0" xfId="4495" applyAlignment="1" applyProtection="1">
      <alignment horizontal="center"/>
      <protection locked="0"/>
    </xf>
    <xf numFmtId="0" fontId="20" fillId="0" borderId="53" xfId="4495" applyFont="1" applyBorder="1" applyAlignment="1">
      <alignment vertical="top"/>
    </xf>
    <xf numFmtId="0" fontId="20" fillId="0" borderId="54" xfId="4495" applyFont="1" applyBorder="1" applyAlignment="1">
      <alignment vertical="top" wrapText="1"/>
    </xf>
    <xf numFmtId="0" fontId="64" fillId="0" borderId="53" xfId="4495" applyFont="1" applyBorder="1"/>
    <xf numFmtId="0" fontId="28" fillId="0" borderId="54" xfId="4495" applyFont="1" applyBorder="1" applyAlignment="1">
      <alignment horizontal="left" vertical="top"/>
    </xf>
    <xf numFmtId="0" fontId="20" fillId="0" borderId="53" xfId="4495" applyFont="1" applyBorder="1" applyAlignment="1">
      <alignment vertical="center" wrapText="1"/>
    </xf>
    <xf numFmtId="0" fontId="64" fillId="0" borderId="57" xfId="4495" applyFont="1" applyBorder="1"/>
    <xf numFmtId="0" fontId="28" fillId="0" borderId="58" xfId="4495" applyFont="1" applyBorder="1" applyAlignment="1">
      <alignment horizontal="left" vertical="top"/>
    </xf>
    <xf numFmtId="0" fontId="28" fillId="0" borderId="12" xfId="4495" applyFont="1" applyBorder="1"/>
    <xf numFmtId="0" fontId="20" fillId="0" borderId="57" xfId="4495" applyFont="1" applyBorder="1" applyAlignment="1">
      <alignment vertical="center"/>
    </xf>
    <xf numFmtId="0" fontId="20" fillId="0" borderId="58" xfId="4495" applyFont="1" applyBorder="1" applyAlignment="1">
      <alignment vertical="top"/>
    </xf>
    <xf numFmtId="0" fontId="20" fillId="0" borderId="59" xfId="4495" applyFont="1" applyBorder="1" applyAlignment="1">
      <alignment vertical="top"/>
    </xf>
    <xf numFmtId="0" fontId="20" fillId="0" borderId="0" xfId="4495" applyFont="1" applyAlignment="1">
      <alignment vertical="top"/>
    </xf>
    <xf numFmtId="0" fontId="28" fillId="0" borderId="4" xfId="4495" applyFont="1" applyBorder="1" applyAlignment="1">
      <alignment horizontal="left" vertical="top"/>
    </xf>
    <xf numFmtId="0" fontId="20" fillId="0" borderId="4" xfId="4495" applyFont="1" applyBorder="1" applyAlignment="1">
      <alignment horizontal="left" vertical="top"/>
    </xf>
    <xf numFmtId="0" fontId="20" fillId="0" borderId="2" xfId="4495" applyFont="1" applyBorder="1"/>
    <xf numFmtId="0" fontId="28" fillId="0" borderId="2" xfId="4495" applyFont="1" applyBorder="1"/>
    <xf numFmtId="0" fontId="20" fillId="0" borderId="2" xfId="4495" applyFont="1" applyBorder="1" applyAlignment="1">
      <alignment horizontal="center"/>
    </xf>
    <xf numFmtId="0" fontId="28" fillId="0" borderId="7" xfId="4495" applyFont="1" applyBorder="1"/>
    <xf numFmtId="0" fontId="36" fillId="0" borderId="0" xfId="4495" applyFont="1" applyAlignment="1">
      <alignment horizontal="right"/>
    </xf>
    <xf numFmtId="0" fontId="127" fillId="0" borderId="0" xfId="4495" applyFont="1" applyAlignment="1">
      <alignment horizontal="left" vertical="top" wrapText="1"/>
    </xf>
    <xf numFmtId="0" fontId="36" fillId="0" borderId="0" xfId="4495" applyFont="1" applyAlignment="1">
      <alignment horizontal="left" vertical="top"/>
    </xf>
    <xf numFmtId="0" fontId="28" fillId="0" borderId="0" xfId="4495" quotePrefix="1" applyFont="1" applyAlignment="1">
      <alignment horizontal="right"/>
    </xf>
    <xf numFmtId="0" fontId="20" fillId="0" borderId="0" xfId="4497"/>
    <xf numFmtId="0" fontId="28" fillId="0" borderId="0" xfId="4495" applyFont="1" applyAlignment="1">
      <alignment horizontal="left" vertical="top" wrapText="1" shrinkToFit="1"/>
    </xf>
    <xf numFmtId="0" fontId="122" fillId="0" borderId="0" xfId="4495" applyAlignment="1">
      <alignment vertical="top" wrapText="1"/>
    </xf>
    <xf numFmtId="0" fontId="28" fillId="0" borderId="4" xfId="4495" applyFont="1" applyBorder="1" applyAlignment="1">
      <alignment horizontal="left" vertical="top" wrapText="1" shrinkToFit="1"/>
    </xf>
    <xf numFmtId="0" fontId="36" fillId="0" borderId="8" xfId="4495" applyFont="1" applyBorder="1"/>
    <xf numFmtId="0" fontId="28" fillId="0" borderId="0" xfId="4495" applyFont="1" applyAlignment="1">
      <alignment horizontal="center"/>
    </xf>
    <xf numFmtId="0" fontId="28" fillId="0" borderId="0" xfId="4495" quotePrefix="1" applyFont="1"/>
    <xf numFmtId="0" fontId="28" fillId="0" borderId="0" xfId="4495" applyFont="1" applyAlignment="1">
      <alignment horizontal="left" vertical="top" shrinkToFit="1"/>
    </xf>
    <xf numFmtId="0" fontId="50" fillId="0" borderId="0" xfId="4495" applyFont="1"/>
    <xf numFmtId="0" fontId="28" fillId="0" borderId="3" xfId="4495" applyFont="1" applyBorder="1" applyAlignment="1">
      <alignment horizontal="center"/>
    </xf>
    <xf numFmtId="0" fontId="122" fillId="0" borderId="8" xfId="4495" applyBorder="1"/>
    <xf numFmtId="0" fontId="27" fillId="0" borderId="8" xfId="4495" applyFont="1" applyBorder="1" applyAlignment="1">
      <alignment vertical="top"/>
    </xf>
    <xf numFmtId="0" fontId="122" fillId="0" borderId="0" xfId="4495" applyAlignment="1">
      <alignment vertical="top"/>
    </xf>
    <xf numFmtId="0" fontId="27" fillId="0" borderId="4" xfId="4495" applyFont="1" applyBorder="1" applyAlignment="1">
      <alignment horizontal="center" vertical="top"/>
    </xf>
    <xf numFmtId="0" fontId="127" fillId="0" borderId="0" xfId="4495" applyFont="1" applyAlignment="1">
      <alignment horizontal="left" vertical="top"/>
    </xf>
    <xf numFmtId="0" fontId="127" fillId="0" borderId="4" xfId="4495" applyFont="1" applyBorder="1" applyAlignment="1">
      <alignment horizontal="left" vertical="top"/>
    </xf>
    <xf numFmtId="168" fontId="20" fillId="0" borderId="0" xfId="4497" applyNumberFormat="1"/>
    <xf numFmtId="1" fontId="28" fillId="0" borderId="0" xfId="4495" applyNumberFormat="1" applyFont="1" applyAlignment="1">
      <alignment horizontal="center" vertical="top"/>
    </xf>
    <xf numFmtId="0" fontId="131" fillId="0" borderId="0" xfId="4495" applyFont="1" applyAlignment="1">
      <alignment vertical="top" wrapText="1"/>
    </xf>
    <xf numFmtId="0" fontId="131" fillId="0" borderId="0" xfId="4495" applyFont="1" applyAlignment="1">
      <alignment horizontal="left" vertical="top" wrapText="1"/>
    </xf>
    <xf numFmtId="0" fontId="28" fillId="0" borderId="6" xfId="4495" applyFont="1" applyBorder="1"/>
    <xf numFmtId="1" fontId="28" fillId="0" borderId="8" xfId="4495" applyNumberFormat="1" applyFont="1" applyBorder="1" applyAlignment="1">
      <alignment horizontal="center" vertical="top"/>
    </xf>
    <xf numFmtId="0" fontId="122" fillId="0" borderId="12" xfId="4495" applyBorder="1"/>
    <xf numFmtId="0" fontId="28" fillId="0" borderId="9" xfId="4495" applyFont="1" applyBorder="1"/>
    <xf numFmtId="0" fontId="122" fillId="0" borderId="10" xfId="4495" applyBorder="1"/>
    <xf numFmtId="0" fontId="36" fillId="0" borderId="3" xfId="4495" applyFont="1" applyBorder="1"/>
    <xf numFmtId="0" fontId="27" fillId="0" borderId="4" xfId="4495" applyFont="1" applyBorder="1"/>
    <xf numFmtId="0" fontId="122" fillId="0" borderId="12" xfId="4495" applyBorder="1" applyAlignment="1">
      <alignment vertical="top"/>
    </xf>
    <xf numFmtId="0" fontId="36" fillId="0" borderId="1" xfId="4495" applyFont="1" applyBorder="1"/>
    <xf numFmtId="0" fontId="131" fillId="0" borderId="2" xfId="4495" applyFont="1" applyBorder="1" applyAlignment="1">
      <alignment horizontal="left" wrapText="1"/>
    </xf>
    <xf numFmtId="0" fontId="131" fillId="0" borderId="2" xfId="4495" applyFont="1" applyBorder="1" applyAlignment="1">
      <alignment horizontal="left"/>
    </xf>
    <xf numFmtId="0" fontId="131" fillId="0" borderId="7" xfId="4495" applyFont="1" applyBorder="1" applyAlignment="1">
      <alignment horizontal="left" wrapText="1"/>
    </xf>
    <xf numFmtId="0" fontId="131" fillId="0" borderId="0" xfId="4495" applyFont="1" applyAlignment="1">
      <alignment horizontal="left" wrapText="1"/>
    </xf>
    <xf numFmtId="0" fontId="36" fillId="0" borderId="9" xfId="4495" applyFont="1" applyBorder="1"/>
    <xf numFmtId="0" fontId="28" fillId="0" borderId="10" xfId="4495" applyFont="1" applyBorder="1"/>
    <xf numFmtId="0" fontId="131" fillId="0" borderId="0" xfId="4495" applyFont="1" applyAlignment="1">
      <alignment wrapText="1"/>
    </xf>
    <xf numFmtId="0" fontId="36" fillId="0" borderId="9" xfId="4495" applyFont="1" applyBorder="1" applyAlignment="1">
      <alignment horizontal="center"/>
    </xf>
    <xf numFmtId="0" fontId="27" fillId="0" borderId="10" xfId="4495" applyFont="1" applyBorder="1"/>
    <xf numFmtId="0" fontId="38" fillId="0" borderId="0" xfId="4495" applyFont="1"/>
    <xf numFmtId="0" fontId="28" fillId="0" borderId="50" xfId="4495" applyFont="1" applyBorder="1"/>
    <xf numFmtId="0" fontId="28" fillId="0" borderId="51" xfId="4495" applyFont="1" applyBorder="1"/>
    <xf numFmtId="1" fontId="28" fillId="0" borderId="51" xfId="4495" quotePrefix="1" applyNumberFormat="1" applyFont="1" applyBorder="1" applyAlignment="1">
      <alignment horizontal="center" vertical="top"/>
    </xf>
    <xf numFmtId="0" fontId="27" fillId="0" borderId="51" xfId="4495" applyFont="1" applyBorder="1"/>
    <xf numFmtId="0" fontId="27" fillId="0" borderId="52" xfId="4495" applyFont="1" applyBorder="1" applyAlignment="1">
      <alignment horizontal="center"/>
    </xf>
    <xf numFmtId="0" fontId="20" fillId="0" borderId="53" xfId="4495" applyFont="1" applyBorder="1"/>
    <xf numFmtId="1" fontId="28" fillId="0" borderId="0" xfId="4495" quotePrefix="1" applyNumberFormat="1" applyFont="1" applyAlignment="1">
      <alignment horizontal="center" vertical="top"/>
    </xf>
    <xf numFmtId="0" fontId="27" fillId="0" borderId="54" xfId="4495" applyFont="1" applyBorder="1" applyAlignment="1">
      <alignment horizontal="center"/>
    </xf>
    <xf numFmtId="0" fontId="36" fillId="0" borderId="0" xfId="4495" applyFont="1" applyAlignment="1">
      <alignment vertical="top"/>
    </xf>
    <xf numFmtId="0" fontId="28" fillId="0" borderId="61" xfId="4495" applyFont="1" applyBorder="1"/>
    <xf numFmtId="0" fontId="122" fillId="0" borderId="58" xfId="4495" applyBorder="1" applyAlignment="1">
      <alignment horizontal="center"/>
    </xf>
    <xf numFmtId="1" fontId="28" fillId="0" borderId="58" xfId="4495" quotePrefix="1" applyNumberFormat="1" applyFont="1" applyBorder="1" applyAlignment="1">
      <alignment horizontal="center" vertical="top"/>
    </xf>
    <xf numFmtId="0" fontId="36" fillId="0" borderId="58" xfId="4495" applyFont="1" applyBorder="1" applyAlignment="1">
      <alignment vertical="top"/>
    </xf>
    <xf numFmtId="0" fontId="28" fillId="0" borderId="58" xfId="4495" applyFont="1" applyBorder="1" applyAlignment="1">
      <alignment vertical="top" wrapText="1"/>
    </xf>
    <xf numFmtId="0" fontId="28" fillId="0" borderId="58" xfId="4495" applyFont="1" applyBorder="1"/>
    <xf numFmtId="0" fontId="27" fillId="0" borderId="58" xfId="4495" applyFont="1" applyBorder="1" applyAlignment="1">
      <alignment horizontal="center"/>
    </xf>
    <xf numFmtId="0" fontId="122" fillId="0" borderId="61" xfId="4495" applyBorder="1"/>
    <xf numFmtId="0" fontId="122" fillId="0" borderId="0" xfId="4495" applyAlignment="1">
      <alignment horizontal="center"/>
    </xf>
    <xf numFmtId="0" fontId="20" fillId="0" borderId="53" xfId="543" applyBorder="1"/>
    <xf numFmtId="0" fontId="28" fillId="0" borderId="54" xfId="4495" applyFont="1" applyBorder="1"/>
    <xf numFmtId="0" fontId="20" fillId="0" borderId="58" xfId="543" applyBorder="1"/>
    <xf numFmtId="1" fontId="28" fillId="0" borderId="58" xfId="4495" applyNumberFormat="1" applyFont="1" applyBorder="1" applyAlignment="1">
      <alignment horizontal="center" vertical="top"/>
    </xf>
    <xf numFmtId="0" fontId="36" fillId="0" borderId="58" xfId="4495" applyFont="1" applyBorder="1" applyAlignment="1">
      <alignment vertical="center"/>
    </xf>
    <xf numFmtId="0" fontId="122" fillId="0" borderId="58" xfId="4495" applyBorder="1" applyAlignment="1">
      <alignment vertical="top" wrapText="1"/>
    </xf>
    <xf numFmtId="0" fontId="20" fillId="0" borderId="58" xfId="4495" applyFont="1" applyBorder="1"/>
    <xf numFmtId="0" fontId="36" fillId="0" borderId="0" xfId="4495" applyFont="1" applyAlignment="1">
      <alignment vertical="center"/>
    </xf>
    <xf numFmtId="0" fontId="28" fillId="0" borderId="53" xfId="4495" applyFont="1" applyBorder="1"/>
    <xf numFmtId="0" fontId="20" fillId="0" borderId="57" xfId="543" applyBorder="1"/>
    <xf numFmtId="0" fontId="28" fillId="0" borderId="58" xfId="4495" applyFont="1" applyBorder="1" applyAlignment="1">
      <alignment vertical="top"/>
    </xf>
    <xf numFmtId="0" fontId="28" fillId="0" borderId="59" xfId="4495" applyFont="1" applyBorder="1"/>
    <xf numFmtId="0" fontId="28" fillId="0" borderId="57" xfId="4495" applyFont="1" applyBorder="1"/>
    <xf numFmtId="0" fontId="20" fillId="0" borderId="51" xfId="4495" applyFont="1" applyBorder="1"/>
    <xf numFmtId="0" fontId="28" fillId="0" borderId="52" xfId="4495" applyFont="1" applyBorder="1"/>
    <xf numFmtId="0" fontId="20" fillId="0" borderId="50" xfId="543" applyBorder="1"/>
    <xf numFmtId="0" fontId="20" fillId="0" borderId="51" xfId="543" applyBorder="1"/>
    <xf numFmtId="0" fontId="20" fillId="0" borderId="52" xfId="543" applyBorder="1"/>
    <xf numFmtId="0" fontId="28" fillId="0" borderId="0" xfId="4495" applyFont="1" applyAlignment="1">
      <alignment wrapText="1"/>
    </xf>
    <xf numFmtId="0" fontId="27" fillId="0" borderId="54" xfId="4495" applyFont="1" applyBorder="1" applyAlignment="1">
      <alignment horizontal="center" vertical="top"/>
    </xf>
    <xf numFmtId="0" fontId="122" fillId="0" borderId="53" xfId="4495" applyBorder="1" applyAlignment="1">
      <alignment horizontal="center"/>
    </xf>
    <xf numFmtId="2" fontId="28" fillId="0" borderId="0" xfId="4495" applyNumberFormat="1" applyFont="1" applyAlignment="1">
      <alignment horizontal="right"/>
    </xf>
    <xf numFmtId="2" fontId="28" fillId="0" borderId="8" xfId="4495" applyNumberFormat="1" applyFont="1" applyBorder="1" applyAlignment="1">
      <alignment horizontal="left"/>
    </xf>
    <xf numFmtId="0" fontId="28" fillId="0" borderId="8" xfId="4495" applyFont="1" applyBorder="1" applyAlignment="1">
      <alignment horizontal="right"/>
    </xf>
    <xf numFmtId="0" fontId="130" fillId="0" borderId="0" xfId="4495" applyFont="1"/>
    <xf numFmtId="0" fontId="122" fillId="0" borderId="57" xfId="4495" applyBorder="1" applyAlignment="1">
      <alignment horizontal="center"/>
    </xf>
    <xf numFmtId="0" fontId="27" fillId="0" borderId="59" xfId="4495" applyFont="1" applyBorder="1" applyAlignment="1">
      <alignment horizontal="center"/>
    </xf>
    <xf numFmtId="9" fontId="28" fillId="0" borderId="0" xfId="4495" applyNumberFormat="1" applyFont="1" applyAlignment="1">
      <alignment horizontal="left"/>
    </xf>
    <xf numFmtId="0" fontId="20" fillId="0" borderId="17" xfId="543" applyBorder="1"/>
    <xf numFmtId="0" fontId="20" fillId="0" borderId="16" xfId="543" applyBorder="1"/>
    <xf numFmtId="0" fontId="20" fillId="0" borderId="51" xfId="4495" quotePrefix="1" applyFont="1" applyBorder="1" applyAlignment="1">
      <alignment horizontal="center" vertical="top"/>
    </xf>
    <xf numFmtId="0" fontId="28" fillId="0" borderId="53" xfId="4495" applyFont="1" applyBorder="1" applyAlignment="1">
      <alignment horizontal="left" vertical="top"/>
    </xf>
    <xf numFmtId="0" fontId="28" fillId="0" borderId="0" xfId="4495" applyFont="1" applyAlignment="1">
      <alignment horizontal="center" vertical="top"/>
    </xf>
    <xf numFmtId="0" fontId="28" fillId="0" borderId="57" xfId="4495" applyFont="1" applyBorder="1" applyAlignment="1">
      <alignment horizontal="left" vertical="top"/>
    </xf>
    <xf numFmtId="0" fontId="28" fillId="0" borderId="58" xfId="4495" applyFont="1" applyBorder="1" applyAlignment="1">
      <alignment horizontal="center" vertical="top"/>
    </xf>
    <xf numFmtId="0" fontId="122" fillId="0" borderId="58" xfId="4495" applyBorder="1"/>
    <xf numFmtId="0" fontId="27" fillId="0" borderId="58" xfId="4495" applyFont="1" applyBorder="1" applyAlignment="1">
      <alignment vertical="top"/>
    </xf>
    <xf numFmtId="0" fontId="27" fillId="0" borderId="58" xfId="4495" applyFont="1" applyBorder="1" applyAlignment="1">
      <alignment horizontal="left" vertical="top"/>
    </xf>
    <xf numFmtId="0" fontId="27" fillId="0" borderId="51" xfId="4495" applyFont="1" applyBorder="1" applyAlignment="1">
      <alignment horizontal="left" vertical="top"/>
    </xf>
    <xf numFmtId="0" fontId="27" fillId="0" borderId="53" xfId="4495" applyFont="1" applyBorder="1" applyAlignment="1">
      <alignment horizontal="left" vertical="top"/>
    </xf>
    <xf numFmtId="0" fontId="56" fillId="0" borderId="0" xfId="4495" applyFont="1" applyAlignment="1">
      <alignment horizontal="left" vertical="top"/>
    </xf>
    <xf numFmtId="0" fontId="28" fillId="0" borderId="0" xfId="4495" quotePrefix="1" applyFont="1" applyAlignment="1">
      <alignment horizontal="center" vertical="top"/>
    </xf>
    <xf numFmtId="0" fontId="57" fillId="0" borderId="0" xfId="4495" applyFont="1" applyAlignment="1">
      <alignment horizontal="center"/>
    </xf>
    <xf numFmtId="0" fontId="57" fillId="0" borderId="0" xfId="4495" applyFont="1" applyAlignment="1">
      <alignment vertical="top"/>
    </xf>
    <xf numFmtId="0" fontId="109" fillId="0" borderId="0" xfId="4495" applyFont="1"/>
    <xf numFmtId="0" fontId="56" fillId="0" borderId="0" xfId="4495" applyFont="1" applyAlignment="1">
      <alignment vertical="top"/>
    </xf>
    <xf numFmtId="0" fontId="36" fillId="0" borderId="53" xfId="4495" applyFont="1" applyBorder="1"/>
    <xf numFmtId="2" fontId="28" fillId="0" borderId="8" xfId="4495" applyNumberFormat="1" applyFont="1" applyBorder="1" applyAlignment="1">
      <alignment horizontal="right"/>
    </xf>
    <xf numFmtId="0" fontId="27" fillId="0" borderId="50" xfId="4495" applyFont="1" applyBorder="1" applyAlignment="1">
      <alignment horizontal="left" vertical="top"/>
    </xf>
    <xf numFmtId="0" fontId="56" fillId="0" borderId="51" xfId="4495" applyFont="1" applyBorder="1" applyAlignment="1">
      <alignment horizontal="left" vertical="top"/>
    </xf>
    <xf numFmtId="0" fontId="122" fillId="0" borderId="53" xfId="4495" applyBorder="1"/>
    <xf numFmtId="0" fontId="109" fillId="0" borderId="0" xfId="4495" applyFont="1" applyAlignment="1">
      <alignment horizontal="left" vertical="top"/>
    </xf>
    <xf numFmtId="1" fontId="27" fillId="0" borderId="58" xfId="4495" applyNumberFormat="1" applyFont="1" applyBorder="1" applyAlignment="1">
      <alignment vertical="top"/>
    </xf>
    <xf numFmtId="172" fontId="27" fillId="0" borderId="8" xfId="543" applyNumberFormat="1" applyFont="1" applyBorder="1"/>
    <xf numFmtId="172" fontId="27" fillId="0" borderId="0" xfId="543" applyNumberFormat="1" applyFont="1"/>
    <xf numFmtId="0" fontId="36" fillId="0" borderId="0" xfId="4495" applyFont="1" applyAlignment="1">
      <alignment wrapText="1"/>
    </xf>
    <xf numFmtId="0" fontId="36" fillId="0" borderId="0" xfId="4495" applyFont="1" applyAlignment="1">
      <alignment horizontal="center"/>
    </xf>
    <xf numFmtId="0" fontId="36" fillId="0" borderId="0" xfId="4495" applyFont="1" applyAlignment="1">
      <alignment vertical="center" wrapText="1"/>
    </xf>
    <xf numFmtId="180" fontId="28" fillId="0" borderId="0" xfId="4495" applyNumberFormat="1" applyFont="1" applyAlignment="1">
      <alignment horizontal="center"/>
    </xf>
    <xf numFmtId="1" fontId="28" fillId="0" borderId="0" xfId="4495" applyNumberFormat="1" applyFont="1" applyAlignment="1">
      <alignment horizontal="center"/>
    </xf>
    <xf numFmtId="0" fontId="27" fillId="0" borderId="51" xfId="4495" applyFont="1" applyBorder="1" applyAlignment="1">
      <alignment horizontal="center"/>
    </xf>
    <xf numFmtId="0" fontId="27" fillId="0" borderId="51" xfId="4495" applyFont="1" applyBorder="1" applyAlignment="1">
      <alignment vertical="top"/>
    </xf>
    <xf numFmtId="0" fontId="27" fillId="0" borderId="53" xfId="4495" applyFont="1" applyBorder="1"/>
    <xf numFmtId="0" fontId="20" fillId="0" borderId="54" xfId="543" applyBorder="1"/>
    <xf numFmtId="49" fontId="28" fillId="0" borderId="0" xfId="4495" applyNumberFormat="1" applyFont="1" applyAlignment="1">
      <alignment horizontal="left" vertical="center" wrapText="1"/>
    </xf>
    <xf numFmtId="0" fontId="20" fillId="0" borderId="57" xfId="4495" applyFont="1" applyBorder="1"/>
    <xf numFmtId="1" fontId="20" fillId="0" borderId="0" xfId="4495" applyNumberFormat="1" applyFont="1" applyAlignment="1">
      <alignment vertical="center"/>
    </xf>
    <xf numFmtId="0" fontId="38" fillId="0" borderId="50" xfId="4495" applyFont="1" applyBorder="1"/>
    <xf numFmtId="0" fontId="28" fillId="0" borderId="51" xfId="4495" applyFont="1" applyBorder="1" applyAlignment="1">
      <alignment horizontal="center" vertical="top"/>
    </xf>
    <xf numFmtId="0" fontId="28" fillId="0" borderId="51" xfId="4495" applyFont="1" applyBorder="1" applyAlignment="1">
      <alignment vertical="top" wrapText="1"/>
    </xf>
    <xf numFmtId="0" fontId="28" fillId="0" borderId="51" xfId="4495" applyFont="1" applyBorder="1" applyAlignment="1">
      <alignment horizontal="left" vertical="top" wrapText="1"/>
    </xf>
    <xf numFmtId="0" fontId="20" fillId="0" borderId="0" xfId="4495" quotePrefix="1" applyFont="1" applyAlignment="1">
      <alignment horizontal="center" vertical="top"/>
    </xf>
    <xf numFmtId="1" fontId="28" fillId="0" borderId="0" xfId="4495" quotePrefix="1" applyNumberFormat="1" applyFont="1" applyAlignment="1">
      <alignment wrapText="1"/>
    </xf>
    <xf numFmtId="0" fontId="28" fillId="0" borderId="6" xfId="4495" applyFont="1" applyBorder="1" applyAlignment="1">
      <alignment horizontal="right"/>
    </xf>
    <xf numFmtId="0" fontId="124" fillId="0" borderId="0" xfId="4496" applyFont="1" applyAlignment="1">
      <alignment wrapText="1"/>
    </xf>
    <xf numFmtId="0" fontId="20" fillId="0" borderId="0" xfId="4496" applyFont="1" applyAlignment="1">
      <alignment wrapText="1"/>
    </xf>
    <xf numFmtId="0" fontId="36" fillId="0" borderId="51" xfId="4495" applyFont="1" applyBorder="1" applyAlignment="1">
      <alignment vertical="top"/>
    </xf>
    <xf numFmtId="0" fontId="20" fillId="0" borderId="51" xfId="4496" applyFont="1" applyBorder="1" applyAlignment="1">
      <alignment wrapText="1"/>
    </xf>
    <xf numFmtId="0" fontId="27" fillId="0" borderId="51" xfId="4495" applyFont="1" applyBorder="1" applyAlignment="1">
      <alignment horizontal="right"/>
    </xf>
    <xf numFmtId="0" fontId="20" fillId="0" borderId="52" xfId="4495" applyFont="1" applyBorder="1" applyAlignment="1">
      <alignment horizontal="center"/>
    </xf>
    <xf numFmtId="0" fontId="20" fillId="0" borderId="53" xfId="4495" applyFont="1" applyBorder="1" applyAlignment="1">
      <alignment horizontal="left" vertical="top"/>
    </xf>
    <xf numFmtId="0" fontId="20" fillId="0" borderId="54" xfId="4495" applyFont="1" applyBorder="1" applyAlignment="1">
      <alignment horizontal="left" vertical="top"/>
    </xf>
    <xf numFmtId="0" fontId="20" fillId="0" borderId="54" xfId="4495" applyFont="1" applyBorder="1" applyAlignment="1">
      <alignment horizontal="center"/>
    </xf>
    <xf numFmtId="0" fontId="20" fillId="0" borderId="59" xfId="4495" applyFont="1" applyBorder="1" applyAlignment="1">
      <alignment horizontal="center"/>
    </xf>
    <xf numFmtId="9" fontId="20" fillId="0" borderId="0" xfId="4496" applyNumberFormat="1" applyFont="1" applyAlignment="1">
      <alignment horizontal="center"/>
    </xf>
    <xf numFmtId="1" fontId="20" fillId="0" borderId="0" xfId="543" applyNumberFormat="1"/>
    <xf numFmtId="0" fontId="28" fillId="0" borderId="1" xfId="4495" applyFont="1" applyBorder="1"/>
    <xf numFmtId="0" fontId="27" fillId="0" borderId="0" xfId="4495" applyFont="1" applyAlignment="1">
      <alignment horizontal="center" wrapText="1"/>
    </xf>
    <xf numFmtId="0" fontId="27" fillId="0" borderId="9" xfId="4495" applyFont="1" applyBorder="1" applyAlignment="1">
      <alignment horizontal="left"/>
    </xf>
    <xf numFmtId="0" fontId="27" fillId="0" borderId="3" xfId="4495" applyFont="1" applyBorder="1" applyAlignment="1">
      <alignment horizontal="left"/>
    </xf>
    <xf numFmtId="0" fontId="27" fillId="0" borderId="4" xfId="4495" applyFont="1" applyBorder="1" applyAlignment="1">
      <alignment horizontal="left"/>
    </xf>
    <xf numFmtId="0" fontId="20" fillId="0" borderId="2" xfId="4495" applyFont="1" applyBorder="1" applyAlignment="1">
      <alignment horizontal="left"/>
    </xf>
    <xf numFmtId="0" fontId="27" fillId="0" borderId="2" xfId="4495" applyFont="1" applyBorder="1" applyAlignment="1">
      <alignment horizontal="left"/>
    </xf>
    <xf numFmtId="0" fontId="27" fillId="0" borderId="5" xfId="4495" applyFont="1" applyBorder="1" applyAlignment="1">
      <alignment horizontal="left"/>
    </xf>
    <xf numFmtId="180" fontId="67" fillId="0" borderId="0" xfId="4495" applyNumberFormat="1" applyFont="1" applyAlignment="1">
      <alignment horizontal="center" vertical="center"/>
    </xf>
    <xf numFmtId="0" fontId="20" fillId="0" borderId="12" xfId="4495" applyFont="1" applyBorder="1" applyAlignment="1">
      <alignment vertical="top"/>
    </xf>
    <xf numFmtId="0" fontId="50" fillId="0" borderId="0" xfId="4495" applyFont="1" applyAlignment="1">
      <alignment vertical="top" wrapText="1"/>
    </xf>
    <xf numFmtId="0" fontId="20" fillId="0" borderId="51" xfId="4495" applyFont="1" applyBorder="1" applyAlignment="1">
      <alignment horizontal="left" vertical="top" wrapText="1"/>
    </xf>
    <xf numFmtId="0" fontId="20" fillId="0" borderId="51" xfId="4495" applyFont="1" applyBorder="1" applyAlignment="1">
      <alignment horizontal="right"/>
    </xf>
    <xf numFmtId="0" fontId="20" fillId="0" borderId="52" xfId="4495" applyFont="1" applyBorder="1" applyAlignment="1">
      <alignment horizontal="right"/>
    </xf>
    <xf numFmtId="0" fontId="20" fillId="0" borderId="54" xfId="4495" applyFont="1" applyBorder="1" applyAlignment="1">
      <alignment horizontal="right"/>
    </xf>
    <xf numFmtId="0" fontId="20" fillId="0" borderId="58" xfId="4495" applyFont="1" applyBorder="1" applyAlignment="1">
      <alignment horizontal="left" vertical="top" wrapText="1"/>
    </xf>
    <xf numFmtId="0" fontId="20" fillId="0" borderId="58" xfId="4495" applyFont="1" applyBorder="1" applyAlignment="1">
      <alignment horizontal="right"/>
    </xf>
    <xf numFmtId="0" fontId="20" fillId="0" borderId="59" xfId="4495" applyFont="1" applyBorder="1" applyAlignment="1">
      <alignment horizontal="right"/>
    </xf>
    <xf numFmtId="0" fontId="50" fillId="0" borderId="0" xfId="4495" applyFont="1" applyAlignment="1">
      <alignment horizontal="left" vertical="top" wrapText="1"/>
    </xf>
    <xf numFmtId="0" fontId="20" fillId="0" borderId="0" xfId="1192" applyAlignment="1">
      <alignment horizontal="left" vertical="top"/>
    </xf>
    <xf numFmtId="0" fontId="38" fillId="0" borderId="0" xfId="1192" applyFont="1" applyAlignment="1">
      <alignment horizontal="left" vertical="top"/>
    </xf>
    <xf numFmtId="0" fontId="20" fillId="0" borderId="0" xfId="1192" applyAlignment="1">
      <alignment vertical="top"/>
    </xf>
    <xf numFmtId="168" fontId="20" fillId="0" borderId="0" xfId="1192" applyNumberFormat="1"/>
    <xf numFmtId="165" fontId="20" fillId="0" borderId="0" xfId="1192" applyNumberFormat="1"/>
    <xf numFmtId="165" fontId="20" fillId="0" borderId="0" xfId="1192" applyNumberFormat="1" applyAlignment="1">
      <alignment horizontal="right"/>
    </xf>
    <xf numFmtId="2" fontId="20" fillId="0" borderId="0" xfId="1192" applyNumberFormat="1"/>
    <xf numFmtId="6" fontId="20" fillId="0" borderId="0" xfId="1192" applyNumberFormat="1"/>
    <xf numFmtId="0" fontId="27" fillId="0" borderId="0" xfId="1192" applyFont="1"/>
    <xf numFmtId="0" fontId="50" fillId="0" borderId="0" xfId="1192" applyFont="1"/>
    <xf numFmtId="168" fontId="20" fillId="0" borderId="0" xfId="4495" applyNumberFormat="1" applyFont="1"/>
    <xf numFmtId="0" fontId="27" fillId="0" borderId="0" xfId="1192" applyFont="1" applyAlignment="1">
      <alignment vertical="center"/>
    </xf>
    <xf numFmtId="0" fontId="120" fillId="0" borderId="0" xfId="1192" applyFont="1" applyAlignment="1">
      <alignment horizontal="left"/>
    </xf>
    <xf numFmtId="0" fontId="117" fillId="0" borderId="0" xfId="1192" applyFont="1" applyAlignment="1">
      <alignment horizontal="left"/>
    </xf>
    <xf numFmtId="0" fontId="117" fillId="0" borderId="0" xfId="1192" applyFont="1" applyAlignment="1">
      <alignment horizontal="center"/>
    </xf>
    <xf numFmtId="168" fontId="20" fillId="0" borderId="0" xfId="1192" applyNumberFormat="1" applyAlignment="1">
      <alignment horizontal="center"/>
    </xf>
    <xf numFmtId="9" fontId="20" fillId="0" borderId="0" xfId="1192" applyNumberFormat="1"/>
    <xf numFmtId="0" fontId="20" fillId="0" borderId="0" xfId="1192" applyAlignment="1">
      <alignment horizontal="right"/>
    </xf>
    <xf numFmtId="0" fontId="20" fillId="0" borderId="53" xfId="4495" applyFont="1" applyBorder="1" applyAlignment="1">
      <alignment horizontal="left"/>
    </xf>
    <xf numFmtId="6" fontId="27" fillId="0" borderId="0" xfId="1192" applyNumberFormat="1" applyFont="1" applyAlignment="1">
      <alignment horizontal="right"/>
    </xf>
    <xf numFmtId="165" fontId="20" fillId="0" borderId="0" xfId="4495" applyNumberFormat="1" applyFont="1"/>
    <xf numFmtId="0" fontId="57" fillId="0" borderId="4" xfId="4495" applyFont="1" applyBorder="1"/>
    <xf numFmtId="0" fontId="40" fillId="0" borderId="0" xfId="543" applyFont="1" applyAlignment="1">
      <alignment vertical="center" wrapText="1"/>
    </xf>
    <xf numFmtId="1" fontId="27" fillId="0" borderId="13" xfId="271" applyNumberFormat="1" applyFont="1" applyBorder="1"/>
    <xf numFmtId="1" fontId="29" fillId="0" borderId="13" xfId="271" applyNumberFormat="1" applyBorder="1"/>
    <xf numFmtId="0" fontId="20" fillId="0" borderId="11" xfId="0" applyFont="1" applyBorder="1"/>
    <xf numFmtId="9" fontId="20" fillId="0" borderId="0" xfId="4495" applyNumberFormat="1" applyFont="1"/>
    <xf numFmtId="165" fontId="124" fillId="0" borderId="0" xfId="4496" applyNumberFormat="1" applyFont="1" applyAlignment="1">
      <alignment horizontal="center" vertical="top" wrapText="1"/>
    </xf>
    <xf numFmtId="168" fontId="124" fillId="0" borderId="0" xfId="4496" applyNumberFormat="1" applyFont="1" applyAlignment="1">
      <alignment vertical="top" wrapText="1"/>
    </xf>
    <xf numFmtId="165" fontId="124" fillId="0" borderId="64" xfId="4496" applyNumberFormat="1" applyFont="1" applyBorder="1" applyAlignment="1">
      <alignment horizontal="center" vertical="top" wrapText="1"/>
    </xf>
    <xf numFmtId="165" fontId="124" fillId="0" borderId="53" xfId="4496" applyNumberFormat="1" applyFont="1" applyBorder="1" applyAlignment="1">
      <alignment horizontal="left" vertical="top"/>
    </xf>
    <xf numFmtId="165" fontId="124" fillId="0" borderId="53" xfId="4496" applyNumberFormat="1" applyFont="1" applyBorder="1" applyAlignment="1">
      <alignment horizontal="center" vertical="top" wrapText="1"/>
    </xf>
    <xf numFmtId="168" fontId="124" fillId="0" borderId="0" xfId="4496" applyNumberFormat="1" applyFont="1" applyAlignment="1">
      <alignment vertical="top"/>
    </xf>
    <xf numFmtId="1" fontId="124" fillId="0" borderId="0" xfId="4496" applyNumberFormat="1" applyFont="1" applyAlignment="1">
      <alignment vertical="top" wrapText="1"/>
    </xf>
    <xf numFmtId="164" fontId="28" fillId="0" borderId="0" xfId="4495" applyNumberFormat="1" applyFont="1"/>
    <xf numFmtId="0" fontId="27" fillId="0" borderId="8" xfId="0" applyFont="1" applyBorder="1" applyAlignment="1">
      <alignment horizontal="center" vertical="center" wrapText="1"/>
    </xf>
    <xf numFmtId="0" fontId="27"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2" fillId="0" borderId="50" xfId="1192" applyFont="1" applyBorder="1" applyAlignment="1">
      <alignment horizontal="left"/>
    </xf>
    <xf numFmtId="0" fontId="143" fillId="0" borderId="51" xfId="4495" applyFont="1" applyBorder="1" applyAlignment="1">
      <alignment vertical="top"/>
    </xf>
    <xf numFmtId="0" fontId="142" fillId="0" borderId="51" xfId="4495" applyFont="1" applyBorder="1" applyAlignment="1">
      <alignment vertical="top" wrapText="1"/>
    </xf>
    <xf numFmtId="0" fontId="143" fillId="0" borderId="51" xfId="4495" applyFont="1" applyBorder="1"/>
    <xf numFmtId="0" fontId="143" fillId="0" borderId="53" xfId="1192" applyFont="1" applyBorder="1" applyAlignment="1">
      <alignment horizontal="left"/>
    </xf>
    <xf numFmtId="0" fontId="143" fillId="0" borderId="0" xfId="4495" applyFont="1" applyAlignment="1">
      <alignment vertical="top"/>
    </xf>
    <xf numFmtId="0" fontId="142" fillId="0" borderId="0" xfId="4495" applyFont="1" applyAlignment="1">
      <alignment vertical="top" wrapText="1"/>
    </xf>
    <xf numFmtId="0" fontId="143" fillId="0" borderId="0" xfId="4495" applyFont="1"/>
    <xf numFmtId="0" fontId="142" fillId="0" borderId="53" xfId="1192" applyFont="1" applyBorder="1" applyAlignment="1">
      <alignment horizontal="left"/>
    </xf>
    <xf numFmtId="0" fontId="142" fillId="0" borderId="57" xfId="1192" applyFont="1" applyBorder="1" applyAlignment="1">
      <alignment horizontal="left"/>
    </xf>
    <xf numFmtId="0" fontId="143" fillId="0" borderId="58" xfId="4495" applyFont="1" applyBorder="1" applyAlignment="1">
      <alignment vertical="top"/>
    </xf>
    <xf numFmtId="0" fontId="142" fillId="0" borderId="58" xfId="4495" applyFont="1" applyBorder="1" applyAlignment="1">
      <alignment vertical="top" wrapText="1"/>
    </xf>
    <xf numFmtId="0" fontId="143" fillId="0" borderId="58" xfId="4495" applyFont="1" applyBorder="1"/>
    <xf numFmtId="0" fontId="29" fillId="0" borderId="3" xfId="0" applyFont="1" applyBorder="1" applyAlignment="1">
      <alignment horizontal="center"/>
    </xf>
    <xf numFmtId="0" fontId="29" fillId="0" borderId="4" xfId="0" applyFont="1" applyBorder="1" applyAlignment="1">
      <alignment horizontal="center"/>
    </xf>
    <xf numFmtId="0" fontId="29" fillId="0" borderId="5" xfId="0" applyFont="1" applyBorder="1" applyAlignment="1">
      <alignment horizontal="center"/>
    </xf>
    <xf numFmtId="0" fontId="27" fillId="0" borderId="7" xfId="0" applyFont="1" applyBorder="1" applyAlignment="1">
      <alignment horizontal="right"/>
    </xf>
    <xf numFmtId="0" fontId="0" fillId="0" borderId="0" xfId="0" applyAlignment="1" applyProtection="1">
      <alignment horizontal="left" vertical="top" wrapText="1"/>
      <protection locked="0"/>
    </xf>
    <xf numFmtId="0" fontId="20" fillId="0" borderId="9" xfId="0" applyFont="1" applyBorder="1" applyAlignment="1">
      <alignment horizontal="left"/>
    </xf>
    <xf numFmtId="0" fontId="20" fillId="0" borderId="6" xfId="0" applyFont="1" applyBorder="1"/>
    <xf numFmtId="0" fontId="20" fillId="0" borderId="9" xfId="0" applyFont="1" applyBorder="1"/>
    <xf numFmtId="0" fontId="53" fillId="0" borderId="0" xfId="0" applyFont="1" applyAlignment="1">
      <alignment horizontal="center"/>
    </xf>
    <xf numFmtId="0" fontId="26" fillId="0" borderId="0" xfId="0" applyFont="1" applyAlignment="1">
      <alignment horizontal="center" vertical="center" wrapText="1"/>
    </xf>
    <xf numFmtId="0" fontId="35" fillId="0" borderId="0" xfId="0" applyFont="1" applyAlignment="1">
      <alignment horizontal="center"/>
    </xf>
    <xf numFmtId="0" fontId="28" fillId="0" borderId="0" xfId="0" applyFont="1" applyAlignment="1">
      <alignment horizontal="center"/>
    </xf>
    <xf numFmtId="0" fontId="27" fillId="0" borderId="3" xfId="0" applyFont="1" applyBorder="1"/>
    <xf numFmtId="0" fontId="27" fillId="0" borderId="4" xfId="271" applyFont="1" applyBorder="1"/>
    <xf numFmtId="0" fontId="27" fillId="0" borderId="3" xfId="271" applyFont="1" applyBorder="1"/>
    <xf numFmtId="0" fontId="27" fillId="0" borderId="5" xfId="271" applyFont="1" applyBorder="1"/>
    <xf numFmtId="0" fontId="20" fillId="0" borderId="58" xfId="4495" applyFont="1" applyBorder="1" applyAlignment="1">
      <alignment vertical="center" wrapText="1"/>
    </xf>
    <xf numFmtId="0" fontId="20" fillId="0" borderId="59" xfId="4495" applyFont="1" applyBorder="1" applyAlignment="1">
      <alignment vertical="center" wrapText="1"/>
    </xf>
    <xf numFmtId="0" fontId="20" fillId="0" borderId="0" xfId="4495" applyFont="1" applyAlignment="1">
      <alignment horizontal="left" vertical="center" wrapText="1"/>
    </xf>
    <xf numFmtId="0" fontId="27" fillId="0" borderId="5" xfId="0" applyFont="1" applyBorder="1"/>
    <xf numFmtId="168" fontId="25" fillId="43" borderId="0" xfId="0" applyNumberFormat="1" applyFont="1" applyFill="1"/>
    <xf numFmtId="9" fontId="28" fillId="0" borderId="0" xfId="543" applyNumberFormat="1" applyFont="1" applyAlignment="1">
      <alignment horizontal="center"/>
    </xf>
    <xf numFmtId="171" fontId="20" fillId="0" borderId="0" xfId="543" applyNumberFormat="1"/>
    <xf numFmtId="171" fontId="20" fillId="0" borderId="11" xfId="543" applyNumberFormat="1" applyBorder="1"/>
    <xf numFmtId="1" fontId="20" fillId="0" borderId="11" xfId="543" applyNumberFormat="1" applyBorder="1" applyAlignment="1">
      <alignment horizontal="center"/>
    </xf>
    <xf numFmtId="0" fontId="46" fillId="0" borderId="8" xfId="543" applyFont="1" applyBorder="1" applyAlignment="1">
      <alignment vertical="center" wrapText="1"/>
    </xf>
    <xf numFmtId="0" fontId="46" fillId="0" borderId="0" xfId="543" applyFont="1" applyAlignment="1">
      <alignment vertical="center" wrapText="1"/>
    </xf>
    <xf numFmtId="0" fontId="46" fillId="0" borderId="12" xfId="543" applyFont="1" applyBorder="1" applyAlignment="1">
      <alignment vertical="center" wrapText="1"/>
    </xf>
    <xf numFmtId="0" fontId="46" fillId="0" borderId="9" xfId="543" applyFont="1" applyBorder="1" applyAlignment="1">
      <alignment vertical="center" wrapText="1"/>
    </xf>
    <xf numFmtId="0" fontId="46" fillId="0" borderId="6" xfId="543" applyFont="1" applyBorder="1" applyAlignment="1">
      <alignment vertical="center" wrapText="1"/>
    </xf>
    <xf numFmtId="0" fontId="46" fillId="0" borderId="10" xfId="543" applyFont="1" applyBorder="1" applyAlignment="1">
      <alignment vertical="center" wrapText="1"/>
    </xf>
    <xf numFmtId="0" fontId="47" fillId="0" borderId="8" xfId="543" applyFont="1" applyBorder="1" applyAlignment="1">
      <alignment vertical="center" wrapText="1"/>
    </xf>
    <xf numFmtId="0" fontId="47" fillId="0" borderId="0" xfId="543" applyFont="1" applyAlignment="1">
      <alignment vertical="center" wrapText="1"/>
    </xf>
    <xf numFmtId="0" fontId="47" fillId="0" borderId="12" xfId="543" applyFont="1" applyBorder="1" applyAlignment="1">
      <alignment vertical="center" wrapText="1"/>
    </xf>
    <xf numFmtId="0" fontId="47" fillId="0" borderId="9" xfId="543" applyFont="1" applyBorder="1" applyAlignment="1">
      <alignment vertical="center" wrapText="1"/>
    </xf>
    <xf numFmtId="0" fontId="47" fillId="0" borderId="6" xfId="543" applyFont="1" applyBorder="1" applyAlignment="1">
      <alignment vertical="center" wrapText="1"/>
    </xf>
    <xf numFmtId="0" fontId="47" fillId="0" borderId="10" xfId="543" applyFont="1" applyBorder="1" applyAlignment="1">
      <alignment vertical="center" wrapText="1"/>
    </xf>
    <xf numFmtId="0" fontId="40" fillId="0" borderId="12" xfId="543" applyFont="1" applyBorder="1" applyAlignment="1">
      <alignment horizontal="center" vertical="top"/>
    </xf>
    <xf numFmtId="0" fontId="41" fillId="0" borderId="7" xfId="543" applyFont="1" applyBorder="1"/>
    <xf numFmtId="0" fontId="20" fillId="0" borderId="12" xfId="543" quotePrefix="1" applyBorder="1"/>
    <xf numFmtId="0" fontId="56" fillId="0" borderId="2" xfId="569" applyFont="1" applyBorder="1" applyAlignment="1">
      <alignment vertical="top"/>
    </xf>
    <xf numFmtId="0" fontId="30" fillId="0" borderId="0" xfId="4495" applyFont="1"/>
    <xf numFmtId="0" fontId="20" fillId="0" borderId="0" xfId="4495" applyFont="1" applyAlignment="1">
      <alignment vertical="top" wrapText="1" shrinkToFit="1"/>
    </xf>
    <xf numFmtId="0" fontId="147" fillId="0" borderId="0" xfId="4495" applyFont="1"/>
    <xf numFmtId="164" fontId="20" fillId="0" borderId="0" xfId="1192" applyNumberFormat="1" applyAlignment="1">
      <alignment horizontal="right"/>
    </xf>
    <xf numFmtId="164" fontId="20" fillId="0" borderId="0" xfId="4495" applyNumberFormat="1" applyFont="1" applyAlignment="1">
      <alignment horizontal="right"/>
    </xf>
    <xf numFmtId="0" fontId="20" fillId="0" borderId="0" xfId="4495" applyFont="1" applyAlignment="1">
      <alignment horizontal="left" vertical="top" wrapText="1" shrinkToFit="1"/>
    </xf>
    <xf numFmtId="0" fontId="20" fillId="0" borderId="6" xfId="4495" applyFont="1" applyBorder="1" applyAlignment="1">
      <alignment vertical="top" wrapText="1"/>
    </xf>
    <xf numFmtId="0" fontId="147" fillId="0" borderId="4" xfId="4495" applyFont="1" applyBorder="1"/>
    <xf numFmtId="0" fontId="20" fillId="0" borderId="4" xfId="4495" applyFont="1" applyBorder="1" applyAlignment="1">
      <alignment horizontal="left" vertical="top" wrapText="1" shrinkToFit="1"/>
    </xf>
    <xf numFmtId="0" fontId="30" fillId="0" borderId="0" xfId="4495" applyFont="1" applyAlignment="1">
      <alignment horizontal="left" vertical="top"/>
    </xf>
    <xf numFmtId="0" fontId="20" fillId="0" borderId="0" xfId="4495" applyFont="1" applyAlignment="1">
      <alignment vertical="center" wrapText="1" shrinkToFit="1"/>
    </xf>
    <xf numFmtId="0" fontId="20" fillId="0" borderId="0" xfId="4495" applyFont="1" applyAlignment="1">
      <alignment horizontal="left" vertical="top" shrinkToFit="1"/>
    </xf>
    <xf numFmtId="0" fontId="20" fillId="0" borderId="0" xfId="4495" applyFont="1" applyAlignment="1">
      <alignment horizontal="left" vertical="center" shrinkToFit="1"/>
    </xf>
    <xf numFmtId="0" fontId="30" fillId="0" borderId="4" xfId="4495" applyFont="1" applyBorder="1"/>
    <xf numFmtId="0" fontId="20" fillId="0" borderId="4" xfId="4495" applyFont="1" applyBorder="1" applyAlignment="1">
      <alignment horizontal="left" vertical="top" shrinkToFit="1"/>
    </xf>
    <xf numFmtId="0" fontId="20" fillId="0" borderId="0" xfId="4495" applyFont="1" applyAlignment="1">
      <alignment vertical="center"/>
    </xf>
    <xf numFmtId="0" fontId="26" fillId="0" borderId="0" xfId="4495" applyFont="1"/>
    <xf numFmtId="0" fontId="30" fillId="0" borderId="0" xfId="4495" applyFont="1" applyAlignment="1">
      <alignment horizontal="center"/>
    </xf>
    <xf numFmtId="0" fontId="20" fillId="0" borderId="4" xfId="4495" applyFont="1" applyBorder="1" applyAlignment="1">
      <alignment horizontal="left" vertical="top" wrapText="1"/>
    </xf>
    <xf numFmtId="44" fontId="20" fillId="0" borderId="0" xfId="707" applyFont="1" applyFill="1" applyBorder="1" applyAlignment="1" applyProtection="1">
      <alignment horizontal="left" vertical="top" wrapText="1"/>
    </xf>
    <xf numFmtId="44" fontId="20" fillId="0" borderId="4" xfId="707" applyFont="1" applyFill="1" applyBorder="1" applyAlignment="1" applyProtection="1">
      <alignment horizontal="left" vertical="top" wrapText="1"/>
    </xf>
    <xf numFmtId="164" fontId="38" fillId="0" borderId="0" xfId="4495" applyNumberFormat="1" applyFont="1" applyAlignment="1">
      <alignment horizontal="left"/>
    </xf>
    <xf numFmtId="0" fontId="30" fillId="0" borderId="0" xfId="4495" applyFont="1" applyAlignment="1">
      <alignment horizontal="left"/>
    </xf>
    <xf numFmtId="0" fontId="20" fillId="0" borderId="4" xfId="4495" applyFont="1" applyBorder="1" applyAlignment="1">
      <alignment vertical="top" wrapText="1"/>
    </xf>
    <xf numFmtId="0" fontId="30" fillId="0" borderId="4" xfId="4495" applyFont="1" applyBorder="1" applyAlignment="1">
      <alignment horizontal="left" vertical="top"/>
    </xf>
    <xf numFmtId="0" fontId="20" fillId="0" borderId="0" xfId="4495" applyFont="1" applyAlignment="1">
      <alignment horizontal="left" vertical="center" wrapText="1" shrinkToFit="1"/>
    </xf>
    <xf numFmtId="0" fontId="20" fillId="0" borderId="6" xfId="4495" applyFont="1" applyBorder="1" applyAlignment="1">
      <alignment horizontal="left" vertical="top" wrapText="1"/>
    </xf>
    <xf numFmtId="2" fontId="120" fillId="0" borderId="0" xfId="0" applyNumberFormat="1" applyFont="1" applyAlignment="1">
      <alignment horizontal="center"/>
    </xf>
    <xf numFmtId="9" fontId="20" fillId="0" borderId="0" xfId="4494" applyFont="1" applyAlignment="1">
      <alignment horizontal="center"/>
    </xf>
    <xf numFmtId="3" fontId="20" fillId="0" borderId="0" xfId="0" applyNumberFormat="1" applyFont="1"/>
    <xf numFmtId="10" fontId="20" fillId="0" borderId="0" xfId="0" applyNumberFormat="1" applyFont="1" applyAlignment="1">
      <alignment horizontal="center"/>
    </xf>
    <xf numFmtId="168" fontId="20" fillId="0" borderId="0" xfId="0" applyNumberFormat="1" applyFont="1"/>
    <xf numFmtId="172" fontId="20" fillId="0" borderId="11" xfId="0" applyNumberFormat="1" applyFont="1" applyBorder="1" applyAlignment="1">
      <alignment horizontal="center"/>
    </xf>
    <xf numFmtId="168" fontId="20" fillId="5" borderId="0" xfId="0" applyNumberFormat="1" applyFont="1" applyFill="1"/>
    <xf numFmtId="3" fontId="20" fillId="5" borderId="0" xfId="0" applyNumberFormat="1" applyFont="1" applyFill="1"/>
    <xf numFmtId="0" fontId="20" fillId="5" borderId="0" xfId="0" applyFont="1" applyFill="1"/>
    <xf numFmtId="3" fontId="20" fillId="5" borderId="6" xfId="0" applyNumberFormat="1" applyFont="1" applyFill="1" applyBorder="1"/>
    <xf numFmtId="3" fontId="20" fillId="0" borderId="6" xfId="0" applyNumberFormat="1" applyFont="1" applyBorder="1"/>
    <xf numFmtId="168" fontId="20" fillId="0" borderId="0" xfId="0" applyNumberFormat="1" applyFont="1" applyAlignment="1">
      <alignment horizontal="center"/>
    </xf>
    <xf numFmtId="3" fontId="20" fillId="0" borderId="0" xfId="0" applyNumberFormat="1" applyFont="1" applyAlignment="1">
      <alignment horizontal="center"/>
    </xf>
    <xf numFmtId="0" fontId="20" fillId="0" borderId="50" xfId="4495" applyFont="1" applyBorder="1" applyAlignment="1">
      <alignment vertical="center"/>
    </xf>
    <xf numFmtId="0" fontId="20" fillId="0" borderId="51" xfId="4495" applyFont="1" applyBorder="1" applyAlignment="1">
      <alignment vertical="center"/>
    </xf>
    <xf numFmtId="0" fontId="20" fillId="0" borderId="52" xfId="4495" applyFont="1" applyBorder="1" applyAlignment="1">
      <alignment vertical="center"/>
    </xf>
    <xf numFmtId="0" fontId="20" fillId="0" borderId="54" xfId="4495" applyFont="1" applyBorder="1" applyAlignment="1">
      <alignment vertical="center" wrapText="1"/>
    </xf>
    <xf numFmtId="0" fontId="20" fillId="0" borderId="53" xfId="4495" applyFont="1" applyBorder="1" applyAlignment="1">
      <alignment vertical="top" wrapText="1"/>
    </xf>
    <xf numFmtId="9" fontId="20" fillId="0" borderId="0" xfId="543" applyNumberFormat="1" applyAlignment="1">
      <alignment horizontal="center"/>
    </xf>
    <xf numFmtId="0" fontId="52" fillId="0" borderId="0" xfId="4496" applyFont="1"/>
    <xf numFmtId="168" fontId="56" fillId="5" borderId="11" xfId="0" applyNumberFormat="1" applyFont="1" applyFill="1" applyBorder="1" applyAlignment="1" applyProtection="1">
      <alignment vertical="top" wrapText="1"/>
      <protection locked="0"/>
    </xf>
    <xf numFmtId="0" fontId="20" fillId="0" borderId="0" xfId="0" applyFont="1" applyAlignment="1">
      <alignment horizontal="left" wrapText="1"/>
    </xf>
    <xf numFmtId="4" fontId="38" fillId="0" borderId="0" xfId="0" applyNumberFormat="1" applyFont="1" applyAlignment="1">
      <alignment horizontal="left"/>
    </xf>
    <xf numFmtId="4" fontId="20" fillId="0" borderId="0" xfId="0" applyNumberFormat="1" applyFont="1" applyAlignment="1">
      <alignment horizontal="left" vertical="top" wrapText="1"/>
    </xf>
    <xf numFmtId="0" fontId="27" fillId="0" borderId="4" xfId="0" applyFont="1" applyBorder="1" applyAlignment="1">
      <alignment horizontal="left"/>
    </xf>
    <xf numFmtId="4" fontId="20" fillId="0" borderId="0" xfId="0" applyNumberFormat="1" applyFont="1" applyAlignment="1">
      <alignment horizontal="left"/>
    </xf>
    <xf numFmtId="43" fontId="54" fillId="0" borderId="0" xfId="4503" applyFont="1" applyAlignment="1" applyProtection="1">
      <alignment horizontal="center"/>
    </xf>
    <xf numFmtId="43" fontId="20" fillId="0" borderId="0" xfId="4503" applyFont="1" applyAlignment="1" applyProtection="1">
      <alignment horizontal="center"/>
    </xf>
    <xf numFmtId="43" fontId="20" fillId="0" borderId="0" xfId="4503" applyFont="1" applyProtection="1"/>
    <xf numFmtId="49" fontId="20" fillId="0" borderId="0" xfId="0" applyNumberFormat="1" applyFont="1"/>
    <xf numFmtId="49" fontId="20" fillId="0" borderId="0" xfId="0" applyNumberFormat="1" applyFont="1" applyAlignment="1">
      <alignment horizontal="center"/>
    </xf>
    <xf numFmtId="4" fontId="20" fillId="0" borderId="0" xfId="0" applyNumberFormat="1" applyFont="1" applyAlignment="1">
      <alignment vertical="top" wrapText="1"/>
    </xf>
    <xf numFmtId="0" fontId="20" fillId="0" borderId="0" xfId="0" quotePrefix="1" applyFont="1"/>
    <xf numFmtId="0" fontId="50" fillId="0" borderId="0" xfId="0" applyFont="1" applyAlignment="1">
      <alignment horizontal="left"/>
    </xf>
    <xf numFmtId="0" fontId="20" fillId="0" borderId="4" xfId="0" applyFont="1" applyBorder="1" applyAlignment="1">
      <alignment horizontal="left"/>
    </xf>
    <xf numFmtId="0" fontId="20" fillId="0" borderId="0" xfId="0" quotePrefix="1" applyFont="1" applyAlignment="1">
      <alignment horizontal="left"/>
    </xf>
    <xf numFmtId="0" fontId="20" fillId="0" borderId="0" xfId="0" quotePrefix="1" applyFont="1" applyAlignment="1">
      <alignment horizontal="left" vertical="top"/>
    </xf>
    <xf numFmtId="0" fontId="50" fillId="0" borderId="0" xfId="1192" applyFont="1" applyAlignment="1">
      <alignment horizontal="left"/>
    </xf>
    <xf numFmtId="0" fontId="54" fillId="0" borderId="0" xfId="0" applyFont="1" applyAlignment="1">
      <alignment horizontal="center" vertical="center"/>
    </xf>
    <xf numFmtId="49" fontId="27" fillId="0" borderId="0" xfId="0" applyNumberFormat="1" applyFont="1" applyAlignment="1">
      <alignment horizontal="center" vertical="center"/>
    </xf>
    <xf numFmtId="49" fontId="20" fillId="0" borderId="0" xfId="0" applyNumberFormat="1" applyFont="1" applyAlignment="1">
      <alignment vertical="center"/>
    </xf>
    <xf numFmtId="4" fontId="20" fillId="0" borderId="0" xfId="0" applyNumberFormat="1" applyFont="1" applyAlignment="1">
      <alignment horizontal="center"/>
    </xf>
    <xf numFmtId="4" fontId="20" fillId="0" borderId="0" xfId="0" applyNumberFormat="1" applyFont="1"/>
    <xf numFmtId="10" fontId="20" fillId="0" borderId="0" xfId="4495" applyNumberFormat="1" applyFont="1"/>
    <xf numFmtId="10" fontId="124" fillId="0" borderId="0" xfId="4496" applyNumberFormat="1" applyFont="1" applyAlignment="1">
      <alignment horizontal="center" vertical="top" wrapText="1"/>
    </xf>
    <xf numFmtId="10" fontId="124" fillId="0" borderId="64" xfId="4496" applyNumberFormat="1" applyFont="1" applyBorder="1" applyAlignment="1">
      <alignment horizontal="center" vertical="top" wrapText="1"/>
    </xf>
    <xf numFmtId="10" fontId="124"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20" fillId="0" borderId="0" xfId="1192" quotePrefix="1" applyNumberFormat="1" applyAlignment="1">
      <alignment horizontal="center"/>
    </xf>
    <xf numFmtId="0" fontId="124" fillId="0" borderId="0" xfId="4495" applyFont="1"/>
    <xf numFmtId="10" fontId="124" fillId="0" borderId="0" xfId="4495" applyNumberFormat="1" applyFont="1"/>
    <xf numFmtId="172" fontId="20" fillId="0" borderId="0" xfId="4495" applyNumberFormat="1" applyFont="1"/>
    <xf numFmtId="0" fontId="43" fillId="0" borderId="0" xfId="0" applyFont="1" applyAlignment="1">
      <alignment horizontal="center"/>
    </xf>
    <xf numFmtId="0" fontId="39" fillId="0" borderId="0" xfId="0" applyFont="1" applyAlignment="1">
      <alignment horizontal="left"/>
    </xf>
    <xf numFmtId="0" fontId="0" fillId="0" borderId="10" xfId="0" applyBorder="1" applyAlignment="1">
      <alignment horizontal="left"/>
    </xf>
    <xf numFmtId="1" fontId="20" fillId="0" borderId="0" xfId="1192" applyNumberFormat="1" applyAlignment="1">
      <alignment horizontal="center"/>
    </xf>
    <xf numFmtId="0" fontId="122" fillId="0" borderId="63" xfId="4495" applyBorder="1"/>
    <xf numFmtId="0" fontId="56" fillId="0" borderId="0" xfId="271" applyFont="1" applyAlignment="1">
      <alignment vertical="top"/>
    </xf>
    <xf numFmtId="0" fontId="27" fillId="0" borderId="11" xfId="0" applyFont="1" applyBorder="1" applyAlignment="1">
      <alignment horizontal="right" vertical="top" wrapText="1"/>
    </xf>
    <xf numFmtId="0" fontId="29" fillId="0" borderId="11" xfId="271" applyBorder="1" applyAlignment="1" applyProtection="1">
      <alignment horizontal="right" vertical="top" wrapText="1"/>
      <protection locked="0"/>
    </xf>
    <xf numFmtId="0" fontId="20" fillId="0" borderId="54" xfId="4495" applyFont="1" applyBorder="1" applyAlignment="1">
      <alignment vertical="top"/>
    </xf>
    <xf numFmtId="9" fontId="29" fillId="0" borderId="0" xfId="0" applyNumberFormat="1" applyFont="1"/>
    <xf numFmtId="0" fontId="20" fillId="0" borderId="16" xfId="569" applyBorder="1" applyAlignment="1">
      <alignment horizontal="center"/>
    </xf>
    <xf numFmtId="164" fontId="20" fillId="0" borderId="57" xfId="4495" applyNumberFormat="1" applyFont="1" applyBorder="1" applyAlignment="1">
      <alignment vertical="top" wrapText="1"/>
    </xf>
    <xf numFmtId="164" fontId="20" fillId="0" borderId="58" xfId="4495" applyNumberFormat="1" applyFont="1" applyBorder="1" applyAlignment="1">
      <alignment vertical="top" wrapText="1"/>
    </xf>
    <xf numFmtId="164" fontId="20" fillId="0" borderId="59" xfId="4495" applyNumberFormat="1" applyFont="1" applyBorder="1" applyAlignment="1">
      <alignment vertical="top" wrapText="1"/>
    </xf>
    <xf numFmtId="0" fontId="27" fillId="0" borderId="0" xfId="1192" applyFont="1" applyAlignment="1">
      <alignment horizontal="left" vertical="top" wrapText="1"/>
    </xf>
    <xf numFmtId="0" fontId="20" fillId="0" borderId="16" xfId="569" applyBorder="1"/>
    <xf numFmtId="0" fontId="20" fillId="0" borderId="4" xfId="569" applyBorder="1"/>
    <xf numFmtId="0" fontId="27" fillId="0" borderId="4" xfId="569" applyFont="1" applyBorder="1"/>
    <xf numFmtId="49" fontId="20" fillId="0" borderId="4" xfId="569" applyNumberFormat="1" applyBorder="1"/>
    <xf numFmtId="0" fontId="150" fillId="0" borderId="0" xfId="0" applyFont="1"/>
    <xf numFmtId="0" fontId="20" fillId="0" borderId="0" xfId="0" applyFont="1" applyAlignment="1">
      <alignment horizontal="right"/>
    </xf>
    <xf numFmtId="1" fontId="20" fillId="0" borderId="0" xfId="0" applyNumberFormat="1" applyFont="1" applyAlignment="1">
      <alignment horizontal="center"/>
    </xf>
    <xf numFmtId="0" fontId="27" fillId="0" borderId="0" xfId="0" applyFont="1" applyAlignment="1">
      <alignment horizontal="left" vertical="center"/>
    </xf>
    <xf numFmtId="0" fontId="20" fillId="0" borderId="0" xfId="0" applyFont="1" applyAlignment="1">
      <alignment horizontal="left" vertical="center"/>
    </xf>
    <xf numFmtId="0" fontId="27" fillId="0" borderId="0" xfId="569" applyFont="1" applyAlignment="1">
      <alignment vertical="top"/>
    </xf>
    <xf numFmtId="0" fontId="21" fillId="0" borderId="0" xfId="244" applyAlignment="1"/>
    <xf numFmtId="0" fontId="27" fillId="0" borderId="0" xfId="0" applyFont="1" applyAlignment="1">
      <alignment vertical="top" wrapText="1"/>
    </xf>
    <xf numFmtId="49" fontId="27" fillId="0" borderId="0" xfId="0" applyNumberFormat="1" applyFont="1"/>
    <xf numFmtId="49" fontId="27" fillId="0" borderId="0" xfId="0" applyNumberFormat="1" applyFont="1" applyAlignment="1">
      <alignment vertical="top"/>
    </xf>
    <xf numFmtId="0" fontId="43" fillId="0" borderId="11" xfId="0" applyFont="1" applyBorder="1"/>
    <xf numFmtId="175" fontId="20" fillId="0" borderId="0" xfId="543" applyNumberFormat="1" applyAlignment="1">
      <alignment vertical="center"/>
    </xf>
    <xf numFmtId="0" fontId="100" fillId="43" borderId="6" xfId="4496" applyFont="1" applyFill="1" applyBorder="1" applyAlignment="1" applyProtection="1">
      <alignment horizontal="center"/>
      <protection locked="0"/>
    </xf>
    <xf numFmtId="0" fontId="100" fillId="0" borderId="0" xfId="4496" applyFont="1"/>
    <xf numFmtId="0" fontId="100" fillId="0" borderId="0" xfId="4496" applyFont="1" applyAlignment="1">
      <alignment wrapText="1"/>
    </xf>
    <xf numFmtId="0" fontId="138" fillId="0" borderId="0" xfId="4496" applyFont="1"/>
    <xf numFmtId="181" fontId="139" fillId="0" borderId="0" xfId="4498" applyNumberFormat="1" applyFont="1" applyBorder="1" applyProtection="1"/>
    <xf numFmtId="0" fontId="140" fillId="0" borderId="0" xfId="4496" applyFont="1" applyAlignment="1">
      <alignment vertical="center" wrapText="1"/>
    </xf>
    <xf numFmtId="49" fontId="100" fillId="0" borderId="0" xfId="4496" applyNumberFormat="1" applyFont="1" applyAlignment="1">
      <alignment horizontal="center"/>
    </xf>
    <xf numFmtId="182" fontId="100" fillId="0" borderId="6" xfId="4496" applyNumberFormat="1" applyFont="1" applyBorder="1"/>
    <xf numFmtId="0" fontId="100" fillId="0" borderId="0" xfId="4496" applyFont="1" applyAlignment="1">
      <alignment vertical="center"/>
    </xf>
    <xf numFmtId="182" fontId="100" fillId="0" borderId="0" xfId="4496" applyNumberFormat="1" applyFont="1" applyAlignment="1">
      <alignment vertical="center"/>
    </xf>
    <xf numFmtId="175" fontId="100" fillId="0" borderId="0" xfId="4499" applyNumberFormat="1" applyFont="1" applyFill="1" applyBorder="1" applyAlignment="1" applyProtection="1">
      <alignment horizontal="left" vertical="center"/>
    </xf>
    <xf numFmtId="9" fontId="100" fillId="0" borderId="0" xfId="4499" applyFont="1" applyFill="1" applyBorder="1" applyAlignment="1" applyProtection="1">
      <alignment vertical="center"/>
    </xf>
    <xf numFmtId="183" fontId="100" fillId="0" borderId="0" xfId="4496" applyNumberFormat="1" applyFont="1" applyAlignment="1">
      <alignment vertical="center" wrapText="1"/>
    </xf>
    <xf numFmtId="9" fontId="100" fillId="0" borderId="0" xfId="4499" applyFont="1" applyBorder="1" applyAlignment="1" applyProtection="1">
      <alignment vertical="center"/>
    </xf>
    <xf numFmtId="164" fontId="100" fillId="0" borderId="0" xfId="4496" applyNumberFormat="1" applyFont="1" applyAlignment="1">
      <alignment vertical="center" wrapText="1"/>
    </xf>
    <xf numFmtId="0" fontId="100" fillId="0" borderId="0" xfId="4496" applyFont="1" applyAlignment="1">
      <alignment horizontal="center" vertical="center"/>
    </xf>
    <xf numFmtId="182" fontId="100" fillId="0" borderId="11" xfId="8721" applyNumberFormat="1" applyFont="1" applyBorder="1" applyProtection="1"/>
    <xf numFmtId="182" fontId="100" fillId="0" borderId="11" xfId="4496" applyNumberFormat="1" applyFont="1" applyBorder="1"/>
    <xf numFmtId="164" fontId="100" fillId="0" borderId="0" xfId="4496" applyNumberFormat="1" applyFont="1" applyAlignment="1">
      <alignment wrapText="1"/>
    </xf>
    <xf numFmtId="49" fontId="100" fillId="0" borderId="0" xfId="4496" applyNumberFormat="1" applyFont="1" applyAlignment="1">
      <alignment horizontal="left"/>
    </xf>
    <xf numFmtId="0" fontId="141" fillId="0" borderId="0" xfId="4496" applyFont="1"/>
    <xf numFmtId="9" fontId="100" fillId="0" borderId="11" xfId="4494" applyFont="1" applyFill="1" applyBorder="1" applyAlignment="1" applyProtection="1">
      <alignment horizontal="right"/>
    </xf>
    <xf numFmtId="1" fontId="100" fillId="0" borderId="0" xfId="4496" applyNumberFormat="1" applyFont="1"/>
    <xf numFmtId="0" fontId="138" fillId="45" borderId="3" xfId="4496" applyFont="1" applyFill="1" applyBorder="1" applyAlignment="1">
      <alignment horizontal="left" indent="1"/>
    </xf>
    <xf numFmtId="0" fontId="100" fillId="45" borderId="4" xfId="4496" applyFont="1" applyFill="1" applyBorder="1"/>
    <xf numFmtId="2" fontId="100" fillId="45" borderId="5" xfId="4496" applyNumberFormat="1" applyFont="1" applyFill="1" applyBorder="1"/>
    <xf numFmtId="181" fontId="100" fillId="0" borderId="0" xfId="4496" applyNumberFormat="1" applyFont="1"/>
    <xf numFmtId="165" fontId="139" fillId="0" borderId="0" xfId="4499" applyNumberFormat="1" applyFont="1" applyFill="1" applyBorder="1" applyProtection="1"/>
    <xf numFmtId="9" fontId="100" fillId="0" borderId="0" xfId="4494" applyFont="1" applyFill="1" applyProtection="1"/>
    <xf numFmtId="0" fontId="100" fillId="0" borderId="11" xfId="4496" applyFont="1" applyBorder="1" applyAlignment="1">
      <alignment horizontal="center"/>
    </xf>
    <xf numFmtId="2" fontId="100" fillId="0" borderId="11" xfId="4496" applyNumberFormat="1" applyFont="1" applyBorder="1" applyAlignment="1">
      <alignment horizontal="center"/>
    </xf>
    <xf numFmtId="0" fontId="100" fillId="0" borderId="0" xfId="4496" applyFont="1" applyAlignment="1">
      <alignment vertical="top" wrapText="1"/>
    </xf>
    <xf numFmtId="0" fontId="100" fillId="0" borderId="11" xfId="4496" applyFont="1" applyBorder="1" applyAlignment="1">
      <alignment horizontal="center" vertical="top" wrapText="1"/>
    </xf>
    <xf numFmtId="182" fontId="100" fillId="0" borderId="0" xfId="8721" applyNumberFormat="1" applyFont="1" applyBorder="1" applyProtection="1"/>
    <xf numFmtId="0" fontId="100" fillId="0" borderId="0" xfId="4496" applyFont="1" applyAlignment="1">
      <alignment horizontal="left" indent="1"/>
    </xf>
    <xf numFmtId="182" fontId="100" fillId="0" borderId="0" xfId="4496" applyNumberFormat="1" applyFont="1"/>
    <xf numFmtId="184" fontId="100" fillId="0" borderId="0" xfId="4496" applyNumberFormat="1" applyFont="1"/>
    <xf numFmtId="0" fontId="100" fillId="0" borderId="0" xfId="4496" applyFont="1" applyAlignment="1">
      <alignment horizontal="left"/>
    </xf>
    <xf numFmtId="0" fontId="100" fillId="0" borderId="0" xfId="4496" applyFont="1" applyAlignment="1">
      <alignment horizontal="center"/>
    </xf>
    <xf numFmtId="3" fontId="25" fillId="0" borderId="11" xfId="271" applyNumberFormat="1" applyFont="1" applyBorder="1" applyAlignment="1">
      <alignment horizontal="center"/>
    </xf>
    <xf numFmtId="3" fontId="25" fillId="43" borderId="11" xfId="271" applyNumberFormat="1" applyFont="1" applyFill="1" applyBorder="1" applyProtection="1">
      <protection locked="0"/>
    </xf>
    <xf numFmtId="0" fontId="100" fillId="0" borderId="0" xfId="4496" applyFont="1" applyAlignment="1">
      <alignment horizontal="right"/>
    </xf>
    <xf numFmtId="168" fontId="29" fillId="0" borderId="0" xfId="0" applyNumberFormat="1" applyFont="1"/>
    <xf numFmtId="0" fontId="100" fillId="0" borderId="15" xfId="4496" applyFont="1" applyBorder="1" applyAlignment="1">
      <alignment horizontal="center" vertical="top" wrapText="1"/>
    </xf>
    <xf numFmtId="2" fontId="100" fillId="0" borderId="15" xfId="4496" applyNumberFormat="1" applyFont="1" applyBorder="1" applyAlignment="1">
      <alignment horizontal="center"/>
    </xf>
    <xf numFmtId="0" fontId="100" fillId="0" borderId="15" xfId="4496" applyFont="1" applyBorder="1" applyAlignment="1">
      <alignment horizontal="center"/>
    </xf>
    <xf numFmtId="0" fontId="138" fillId="0" borderId="68" xfId="4496" applyFont="1" applyBorder="1" applyAlignment="1">
      <alignment horizontal="center" vertical="top" wrapText="1"/>
    </xf>
    <xf numFmtId="0" fontId="138" fillId="0" borderId="68" xfId="4496" applyFont="1" applyBorder="1" applyAlignment="1">
      <alignment horizontal="center"/>
    </xf>
    <xf numFmtId="0" fontId="152" fillId="0" borderId="0" xfId="4496" applyFont="1" applyAlignment="1">
      <alignment horizontal="right" vertical="center"/>
    </xf>
    <xf numFmtId="175" fontId="100" fillId="0" borderId="0" xfId="4499" applyNumberFormat="1" applyFont="1" applyFill="1" applyBorder="1" applyAlignment="1" applyProtection="1">
      <alignment horizontal="right" vertical="center"/>
    </xf>
    <xf numFmtId="0" fontId="100" fillId="0" borderId="66" xfId="4496" applyFont="1" applyBorder="1" applyAlignment="1">
      <alignment vertical="center"/>
    </xf>
    <xf numFmtId="0" fontId="100" fillId="0" borderId="41" xfId="4496" applyFont="1" applyBorder="1" applyAlignment="1">
      <alignment vertical="center"/>
    </xf>
    <xf numFmtId="182" fontId="100" fillId="0" borderId="73" xfId="4496" applyNumberFormat="1" applyFont="1" applyBorder="1" applyAlignment="1">
      <alignment vertical="center"/>
    </xf>
    <xf numFmtId="175" fontId="100" fillId="0" borderId="42" xfId="4499" applyNumberFormat="1" applyFont="1" applyFill="1" applyBorder="1" applyAlignment="1" applyProtection="1">
      <alignment horizontal="left" vertical="center"/>
    </xf>
    <xf numFmtId="0" fontId="100" fillId="0" borderId="42" xfId="4496" applyFont="1" applyBorder="1" applyAlignment="1">
      <alignment vertical="center"/>
    </xf>
    <xf numFmtId="0" fontId="100" fillId="0" borderId="44" xfId="4496" applyFont="1" applyBorder="1" applyAlignment="1">
      <alignment vertical="center"/>
    </xf>
    <xf numFmtId="49" fontId="100" fillId="0" borderId="0" xfId="4496" applyNumberFormat="1" applyFont="1" applyAlignment="1">
      <alignment horizontal="center" vertical="center"/>
    </xf>
    <xf numFmtId="0" fontId="100" fillId="0" borderId="65" xfId="4496" applyFont="1" applyBorder="1" applyAlignment="1">
      <alignment vertical="center"/>
    </xf>
    <xf numFmtId="0" fontId="100" fillId="0" borderId="29" xfId="4496" applyFont="1" applyBorder="1" applyAlignment="1">
      <alignment vertical="center"/>
    </xf>
    <xf numFmtId="0" fontId="100" fillId="0" borderId="29" xfId="4496" applyFont="1" applyBorder="1" applyAlignment="1">
      <alignment horizontal="right" vertical="center"/>
    </xf>
    <xf numFmtId="5" fontId="100" fillId="0" borderId="29" xfId="4496" applyNumberFormat="1" applyFont="1" applyBorder="1" applyAlignment="1">
      <alignment vertical="center"/>
    </xf>
    <xf numFmtId="0" fontId="100" fillId="0" borderId="31" xfId="4496" applyFont="1" applyBorder="1" applyAlignment="1">
      <alignment vertical="center"/>
    </xf>
    <xf numFmtId="175" fontId="138" fillId="0" borderId="42" xfId="4494" applyNumberFormat="1" applyFont="1" applyFill="1" applyBorder="1" applyAlignment="1" applyProtection="1">
      <alignment horizontal="center" vertical="center"/>
    </xf>
    <xf numFmtId="0" fontId="138" fillId="0" borderId="29" xfId="4496" applyFont="1" applyBorder="1" applyAlignment="1">
      <alignment vertical="center"/>
    </xf>
    <xf numFmtId="0" fontId="138" fillId="0" borderId="0" xfId="4496" applyFont="1" applyAlignment="1">
      <alignment vertical="center"/>
    </xf>
    <xf numFmtId="0" fontId="138" fillId="0" borderId="42" xfId="4496" applyFont="1" applyBorder="1" applyAlignment="1">
      <alignment vertical="center"/>
    </xf>
    <xf numFmtId="9" fontId="138" fillId="0" borderId="42" xfId="4499" applyFont="1" applyFill="1" applyBorder="1" applyAlignment="1" applyProtection="1">
      <alignment vertical="center"/>
    </xf>
    <xf numFmtId="182" fontId="138" fillId="0" borderId="68" xfId="8721" applyNumberFormat="1" applyFont="1" applyBorder="1" applyProtection="1"/>
    <xf numFmtId="182" fontId="138" fillId="0" borderId="68" xfId="4496" applyNumberFormat="1" applyFont="1" applyBorder="1"/>
    <xf numFmtId="0" fontId="152" fillId="0" borderId="0" xfId="4496" applyFont="1" applyAlignment="1">
      <alignment horizontal="right"/>
    </xf>
    <xf numFmtId="0" fontId="100" fillId="0" borderId="0" xfId="4496" applyFont="1" applyAlignment="1">
      <alignment horizontal="right" vertical="top" wrapText="1" indent="1"/>
    </xf>
    <xf numFmtId="182" fontId="100" fillId="0" borderId="6" xfId="8721" applyNumberFormat="1" applyFont="1" applyBorder="1" applyAlignment="1" applyProtection="1">
      <alignment horizontal="center"/>
    </xf>
    <xf numFmtId="0" fontId="100" fillId="0" borderId="0" xfId="4496" applyFont="1" applyAlignment="1">
      <alignment horizontal="right" indent="1"/>
    </xf>
    <xf numFmtId="0" fontId="100" fillId="0" borderId="0" xfId="4496" applyFont="1" applyAlignment="1">
      <alignment horizontal="right" vertical="top"/>
    </xf>
    <xf numFmtId="0" fontId="138" fillId="0" borderId="0" xfId="4496" applyFont="1" applyAlignment="1">
      <alignment horizontal="right"/>
    </xf>
    <xf numFmtId="182" fontId="138" fillId="0" borderId="0" xfId="8721" applyNumberFormat="1" applyFont="1" applyBorder="1" applyAlignment="1" applyProtection="1">
      <alignment horizontal="center"/>
    </xf>
    <xf numFmtId="10" fontId="100" fillId="0" borderId="0" xfId="4494" applyNumberFormat="1" applyFont="1" applyBorder="1" applyAlignment="1" applyProtection="1">
      <alignment horizontal="center"/>
    </xf>
    <xf numFmtId="184" fontId="100" fillId="0" borderId="6" xfId="4496" applyNumberFormat="1" applyFont="1" applyBorder="1"/>
    <xf numFmtId="0" fontId="138" fillId="0" borderId="0" xfId="4496" applyFont="1" applyAlignment="1">
      <alignment horizontal="right" vertical="top"/>
    </xf>
    <xf numFmtId="182" fontId="138" fillId="0" borderId="0" xfId="4496" applyNumberFormat="1" applyFont="1"/>
    <xf numFmtId="182" fontId="100" fillId="0" borderId="6" xfId="8721" applyNumberFormat="1" applyFont="1" applyBorder="1" applyProtection="1"/>
    <xf numFmtId="184" fontId="100" fillId="0" borderId="0" xfId="4496" applyNumberFormat="1" applyFont="1" applyAlignment="1">
      <alignment horizontal="center"/>
    </xf>
    <xf numFmtId="0" fontId="100" fillId="0" borderId="6" xfId="4496" applyFont="1" applyBorder="1" applyAlignment="1">
      <alignment horizontal="right" vertical="top" wrapText="1" indent="1"/>
    </xf>
    <xf numFmtId="0" fontId="100" fillId="0" borderId="67" xfId="4496" applyFont="1" applyBorder="1" applyAlignment="1">
      <alignment horizontal="right" indent="1"/>
    </xf>
    <xf numFmtId="0" fontId="100" fillId="0" borderId="72" xfId="4496" applyFont="1" applyBorder="1" applyAlignment="1">
      <alignment horizontal="right" indent="1"/>
    </xf>
    <xf numFmtId="0" fontId="100" fillId="0" borderId="72" xfId="4496" quotePrefix="1" applyFont="1" applyBorder="1" applyAlignment="1">
      <alignment horizontal="right" indent="1"/>
    </xf>
    <xf numFmtId="0" fontId="100" fillId="0" borderId="69" xfId="4496" applyFont="1" applyBorder="1" applyAlignment="1">
      <alignment horizontal="right" indent="1"/>
    </xf>
    <xf numFmtId="182" fontId="100" fillId="0" borderId="71" xfId="4496" applyNumberFormat="1" applyFont="1" applyBorder="1"/>
    <xf numFmtId="182" fontId="100" fillId="0" borderId="76" xfId="4496" applyNumberFormat="1" applyFont="1" applyBorder="1"/>
    <xf numFmtId="182" fontId="100" fillId="0" borderId="77" xfId="4496" applyNumberFormat="1" applyFont="1" applyBorder="1"/>
    <xf numFmtId="175" fontId="27" fillId="0" borderId="0" xfId="543" applyNumberFormat="1" applyFont="1" applyAlignment="1">
      <alignment vertical="center"/>
    </xf>
    <xf numFmtId="10" fontId="138" fillId="0" borderId="0" xfId="4494" applyNumberFormat="1" applyFont="1" applyProtection="1"/>
    <xf numFmtId="0" fontId="27" fillId="0" borderId="0" xfId="1192" applyFont="1" applyAlignment="1">
      <alignment horizontal="left" indent="1"/>
    </xf>
    <xf numFmtId="168" fontId="100" fillId="0" borderId="11" xfId="4499" applyNumberFormat="1" applyFont="1" applyFill="1" applyBorder="1" applyAlignment="1" applyProtection="1">
      <alignment horizontal="left" vertical="center" indent="1"/>
    </xf>
    <xf numFmtId="168" fontId="138" fillId="0" borderId="68" xfId="4499" applyNumberFormat="1" applyFont="1" applyFill="1" applyBorder="1" applyAlignment="1" applyProtection="1">
      <alignment horizontal="left" vertical="center" indent="1"/>
    </xf>
    <xf numFmtId="182" fontId="100" fillId="0" borderId="13" xfId="4496" applyNumberFormat="1" applyFont="1" applyBorder="1"/>
    <xf numFmtId="182" fontId="100" fillId="0" borderId="70" xfId="4496" applyNumberFormat="1" applyFont="1" applyBorder="1"/>
    <xf numFmtId="0" fontId="38" fillId="0" borderId="0" xfId="4495" applyFont="1" applyAlignment="1">
      <alignment vertical="center"/>
    </xf>
    <xf numFmtId="0" fontId="124" fillId="0" borderId="0" xfId="4496" applyFont="1" applyAlignment="1">
      <alignment vertical="center" wrapText="1"/>
    </xf>
    <xf numFmtId="0" fontId="25" fillId="43" borderId="0" xfId="1192" applyFont="1" applyFill="1"/>
    <xf numFmtId="3" fontId="71" fillId="43" borderId="6" xfId="1192" applyNumberFormat="1" applyFont="1" applyFill="1" applyBorder="1"/>
    <xf numFmtId="0" fontId="154" fillId="0" borderId="0" xfId="0" applyFont="1"/>
    <xf numFmtId="0" fontId="25" fillId="0" borderId="11" xfId="253" applyFont="1" applyBorder="1" applyAlignment="1" applyProtection="1">
      <alignment horizontal="center" wrapText="1"/>
      <protection locked="0"/>
    </xf>
    <xf numFmtId="0" fontId="155" fillId="0" borderId="0" xfId="0" applyFont="1"/>
    <xf numFmtId="0" fontId="156" fillId="0" borderId="0" xfId="0" applyFont="1" applyAlignment="1">
      <alignment horizontal="center"/>
    </xf>
    <xf numFmtId="0" fontId="56" fillId="5" borderId="11" xfId="0" applyFont="1" applyFill="1" applyBorder="1" applyAlignment="1" applyProtection="1">
      <alignment horizontal="right" vertical="top" wrapText="1"/>
      <protection locked="0"/>
    </xf>
    <xf numFmtId="0" fontId="20" fillId="43" borderId="3" xfId="569" applyFill="1" applyBorder="1"/>
    <xf numFmtId="0" fontId="159" fillId="0" borderId="0" xfId="0" applyFont="1" applyAlignment="1">
      <alignment horizontal="right"/>
    </xf>
    <xf numFmtId="1" fontId="28" fillId="0" borderId="0" xfId="4495" applyNumberFormat="1" applyFont="1"/>
    <xf numFmtId="0" fontId="27" fillId="0" borderId="4" xfId="569" applyFont="1" applyBorder="1" applyAlignment="1">
      <alignment horizontal="center"/>
    </xf>
    <xf numFmtId="43" fontId="27" fillId="0" borderId="0" xfId="4503" applyFont="1" applyAlignment="1" applyProtection="1">
      <alignment horizontal="center"/>
    </xf>
    <xf numFmtId="0" fontId="27" fillId="0" borderId="0" xfId="569" applyFont="1" applyAlignment="1">
      <alignment horizontal="center" vertical="center"/>
    </xf>
    <xf numFmtId="0" fontId="27" fillId="0" borderId="16" xfId="569" applyFont="1" applyBorder="1" applyAlignment="1">
      <alignment horizontal="center"/>
    </xf>
    <xf numFmtId="49" fontId="27" fillId="0" borderId="4" xfId="569" applyNumberFormat="1" applyFont="1" applyBorder="1" applyAlignment="1">
      <alignment horizontal="center"/>
    </xf>
    <xf numFmtId="4" fontId="27" fillId="0" borderId="0" xfId="569" applyNumberFormat="1" applyFont="1" applyAlignment="1">
      <alignment horizontal="center"/>
    </xf>
    <xf numFmtId="0" fontId="20" fillId="0" borderId="0" xfId="569" applyAlignment="1">
      <alignment horizontal="center" wrapText="1"/>
    </xf>
    <xf numFmtId="0" fontId="20" fillId="0" borderId="0" xfId="0" applyFont="1" applyAlignment="1">
      <alignment vertical="center" wrapText="1"/>
    </xf>
    <xf numFmtId="3" fontId="25" fillId="43" borderId="11" xfId="271" applyNumberFormat="1" applyFont="1" applyFill="1" applyBorder="1" applyAlignment="1" applyProtection="1">
      <alignment horizontal="left"/>
      <protection locked="0"/>
    </xf>
    <xf numFmtId="0" fontId="100" fillId="43" borderId="6" xfId="4496" applyFont="1" applyFill="1" applyBorder="1" applyProtection="1">
      <protection locked="0"/>
    </xf>
    <xf numFmtId="1" fontId="100" fillId="0" borderId="0" xfId="4496" applyNumberFormat="1" applyFont="1" applyProtection="1">
      <protection locked="0"/>
    </xf>
    <xf numFmtId="182" fontId="164" fillId="0" borderId="11" xfId="4496" applyNumberFormat="1" applyFont="1" applyBorder="1"/>
    <xf numFmtId="44" fontId="100" fillId="0" borderId="0" xfId="4496" applyNumberFormat="1" applyFont="1"/>
    <xf numFmtId="182" fontId="25" fillId="0" borderId="11" xfId="4496" applyNumberFormat="1" applyFont="1" applyBorder="1"/>
    <xf numFmtId="9" fontId="100" fillId="0" borderId="0" xfId="4494" applyFont="1"/>
    <xf numFmtId="182" fontId="100" fillId="43" borderId="6" xfId="8721" applyNumberFormat="1" applyFont="1" applyFill="1" applyBorder="1" applyProtection="1">
      <protection locked="0"/>
    </xf>
    <xf numFmtId="0" fontId="20" fillId="0" borderId="0" xfId="4495" applyFont="1" applyAlignment="1">
      <alignment wrapText="1"/>
    </xf>
    <xf numFmtId="168" fontId="176" fillId="48" borderId="79" xfId="700" applyNumberFormat="1" applyFont="1" applyFill="1" applyBorder="1" applyAlignment="1" applyProtection="1">
      <protection locked="0"/>
    </xf>
    <xf numFmtId="3" fontId="48" fillId="10" borderId="0" xfId="543" applyNumberFormat="1" applyFont="1" applyFill="1" applyAlignment="1">
      <alignment vertical="center" wrapText="1"/>
    </xf>
    <xf numFmtId="0" fontId="183" fillId="0" borderId="0" xfId="543" applyFont="1" applyAlignment="1">
      <alignment horizontal="left" vertical="center"/>
    </xf>
    <xf numFmtId="0" fontId="184" fillId="0" borderId="0" xfId="543" applyFont="1" applyAlignment="1">
      <alignment horizontal="right" vertical="top" wrapText="1"/>
    </xf>
    <xf numFmtId="168" fontId="184" fillId="0" borderId="0" xfId="543" applyNumberFormat="1" applyFont="1" applyAlignment="1">
      <alignment horizontal="center" vertical="center"/>
    </xf>
    <xf numFmtId="0" fontId="185" fillId="0" borderId="0" xfId="543" applyFont="1" applyAlignment="1">
      <alignment horizontal="left" vertical="center"/>
    </xf>
    <xf numFmtId="0" fontId="185" fillId="0" borderId="0" xfId="543" applyFont="1" applyAlignment="1">
      <alignment horizontal="right" vertical="top" wrapText="1"/>
    </xf>
    <xf numFmtId="168" fontId="184" fillId="0" borderId="104" xfId="543" applyNumberFormat="1" applyFont="1" applyBorder="1" applyAlignment="1">
      <alignment horizontal="center" vertical="center"/>
    </xf>
    <xf numFmtId="0" fontId="185" fillId="0" borderId="106" xfId="543" applyFont="1" applyBorder="1" applyAlignment="1">
      <alignment horizontal="right" vertical="top" wrapText="1"/>
    </xf>
    <xf numFmtId="0" fontId="27" fillId="0" borderId="0" xfId="4495" applyFont="1" applyAlignment="1">
      <alignment wrapText="1"/>
    </xf>
    <xf numFmtId="182" fontId="20" fillId="0" borderId="0" xfId="700" applyNumberFormat="1" applyFont="1"/>
    <xf numFmtId="9" fontId="20" fillId="0" borderId="0" xfId="1022" applyFont="1"/>
    <xf numFmtId="168" fontId="20"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4" fillId="52" borderId="113" xfId="0" applyFont="1" applyFill="1" applyBorder="1"/>
    <xf numFmtId="0" fontId="124" fillId="53" borderId="113" xfId="0" applyFont="1" applyFill="1" applyBorder="1"/>
    <xf numFmtId="1" fontId="0" fillId="0" borderId="0" xfId="0" applyNumberFormat="1"/>
    <xf numFmtId="0" fontId="21"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1" fillId="0" borderId="0" xfId="244" applyAlignment="1">
      <alignment horizontal="left" vertical="top"/>
    </xf>
    <xf numFmtId="9" fontId="20" fillId="0" borderId="0" xfId="0" applyNumberFormat="1" applyFont="1"/>
    <xf numFmtId="185" fontId="170" fillId="0" borderId="0" xfId="698" applyNumberFormat="1" applyFont="1"/>
    <xf numFmtId="0" fontId="187" fillId="0" borderId="0" xfId="0" applyFont="1" applyAlignment="1">
      <alignment horizontal="center"/>
    </xf>
    <xf numFmtId="0" fontId="20" fillId="0" borderId="0" xfId="569" quotePrefix="1"/>
    <xf numFmtId="168" fontId="157" fillId="0" borderId="0" xfId="0" applyNumberFormat="1" applyFont="1" applyAlignment="1">
      <alignment vertical="center" wrapText="1"/>
    </xf>
    <xf numFmtId="168" fontId="188" fillId="0" borderId="0" xfId="0" applyNumberFormat="1" applyFont="1" applyAlignment="1">
      <alignment horizontal="center" vertical="center" wrapText="1"/>
    </xf>
    <xf numFmtId="0" fontId="0" fillId="0" borderId="0" xfId="0" applyAlignment="1">
      <alignment vertical="center"/>
    </xf>
    <xf numFmtId="0" fontId="27" fillId="0" borderId="0" xfId="4495" applyFont="1" applyAlignment="1">
      <alignment horizontal="left" vertical="center"/>
    </xf>
    <xf numFmtId="0" fontId="27" fillId="0" borderId="0" xfId="4495" applyFont="1" applyAlignment="1">
      <alignment vertical="center"/>
    </xf>
    <xf numFmtId="0" fontId="124" fillId="0" borderId="58" xfId="4496" applyFont="1" applyBorder="1" applyAlignment="1">
      <alignment vertical="center"/>
    </xf>
    <xf numFmtId="0" fontId="27" fillId="0" borderId="5" xfId="4495" applyFont="1" applyBorder="1"/>
    <xf numFmtId="182" fontId="100" fillId="0" borderId="6" xfId="4496" applyNumberFormat="1" applyFont="1" applyBorder="1" applyAlignment="1">
      <alignment vertical="center"/>
    </xf>
    <xf numFmtId="1" fontId="100" fillId="0" borderId="0" xfId="4496" applyNumberFormat="1" applyFont="1" applyAlignment="1">
      <alignment horizontal="right" vertical="top" wrapText="1" indent="1"/>
    </xf>
    <xf numFmtId="3" fontId="100" fillId="43" borderId="6" xfId="4496" applyNumberFormat="1" applyFont="1" applyFill="1" applyBorder="1" applyAlignment="1" applyProtection="1">
      <alignment horizontal="center"/>
      <protection locked="0"/>
    </xf>
    <xf numFmtId="0" fontId="4" fillId="0" borderId="0" xfId="8736"/>
    <xf numFmtId="0" fontId="170" fillId="0" borderId="0" xfId="8736" applyFont="1"/>
    <xf numFmtId="0" fontId="105" fillId="0" borderId="0" xfId="8736" applyFont="1"/>
    <xf numFmtId="0" fontId="4" fillId="47" borderId="66" xfId="8736" applyFill="1" applyBorder="1"/>
    <xf numFmtId="0" fontId="4" fillId="47" borderId="0" xfId="8736" applyFill="1"/>
    <xf numFmtId="0" fontId="104" fillId="47" borderId="0" xfId="8736" applyFont="1" applyFill="1"/>
    <xf numFmtId="9" fontId="4" fillId="44" borderId="3" xfId="1022" applyFont="1" applyFill="1" applyBorder="1" applyAlignment="1">
      <alignment horizontal="centerContinuous"/>
    </xf>
    <xf numFmtId="9" fontId="4" fillId="44" borderId="4" xfId="1022" applyFont="1" applyFill="1" applyBorder="1" applyAlignment="1">
      <alignment horizontal="centerContinuous"/>
    </xf>
    <xf numFmtId="9" fontId="4" fillId="44" borderId="5" xfId="1022" applyFont="1" applyFill="1" applyBorder="1" applyAlignment="1">
      <alignment horizontal="centerContinuous"/>
    </xf>
    <xf numFmtId="0" fontId="104" fillId="47" borderId="41" xfId="8736" applyFont="1" applyFill="1" applyBorder="1" applyAlignment="1">
      <alignment horizontal="center"/>
    </xf>
    <xf numFmtId="182" fontId="175" fillId="47" borderId="0" xfId="8737" applyNumberFormat="1" applyFont="1" applyFill="1" applyBorder="1" applyAlignment="1"/>
    <xf numFmtId="0" fontId="4" fillId="47" borderId="41" xfId="8736" applyFill="1" applyBorder="1"/>
    <xf numFmtId="0" fontId="105" fillId="47" borderId="0" xfId="8736" applyFont="1" applyFill="1"/>
    <xf numFmtId="0" fontId="179" fillId="47" borderId="0" xfId="8736" applyFont="1" applyFill="1"/>
    <xf numFmtId="0" fontId="104" fillId="47" borderId="41" xfId="8736" applyFont="1" applyFill="1" applyBorder="1"/>
    <xf numFmtId="0" fontId="104" fillId="0" borderId="0" xfId="8736" applyFont="1"/>
    <xf numFmtId="0" fontId="167" fillId="0" borderId="0" xfId="8736" applyFont="1"/>
    <xf numFmtId="0" fontId="104" fillId="54" borderId="100" xfId="8736" applyFont="1" applyFill="1" applyBorder="1"/>
    <xf numFmtId="0" fontId="4" fillId="53" borderId="99" xfId="8736" applyFill="1" applyBorder="1"/>
    <xf numFmtId="0" fontId="4" fillId="52" borderId="99" xfId="8736" applyFill="1" applyBorder="1"/>
    <xf numFmtId="0" fontId="104" fillId="45" borderId="65" xfId="8736" applyFont="1" applyFill="1" applyBorder="1"/>
    <xf numFmtId="0" fontId="4" fillId="45" borderId="80" xfId="8736" applyFill="1" applyBorder="1"/>
    <xf numFmtId="0" fontId="4" fillId="45" borderId="79" xfId="8736" applyFill="1" applyBorder="1"/>
    <xf numFmtId="0" fontId="4" fillId="45" borderId="78" xfId="8736" applyFill="1" applyBorder="1"/>
    <xf numFmtId="0" fontId="104" fillId="45" borderId="0" xfId="8736" applyFont="1" applyFill="1"/>
    <xf numFmtId="0" fontId="104" fillId="45" borderId="12" xfId="8736" applyFont="1" applyFill="1" applyBorder="1"/>
    <xf numFmtId="0" fontId="104" fillId="45" borderId="29" xfId="8736" applyFont="1" applyFill="1" applyBorder="1"/>
    <xf numFmtId="0" fontId="104" fillId="45" borderId="80" xfId="8736" applyFont="1" applyFill="1" applyBorder="1"/>
    <xf numFmtId="0" fontId="104" fillId="45" borderId="79" xfId="8736" applyFont="1" applyFill="1" applyBorder="1"/>
    <xf numFmtId="0" fontId="104" fillId="45" borderId="78" xfId="8736" applyFont="1" applyFill="1" applyBorder="1"/>
    <xf numFmtId="0" fontId="104" fillId="45" borderId="93" xfId="8736" applyFont="1" applyFill="1" applyBorder="1"/>
    <xf numFmtId="0" fontId="104" fillId="45" borderId="6" xfId="8736" applyFont="1" applyFill="1" applyBorder="1"/>
    <xf numFmtId="0" fontId="104" fillId="45" borderId="10" xfId="8736" applyFont="1" applyFill="1" applyBorder="1"/>
    <xf numFmtId="0" fontId="170" fillId="44" borderId="0" xfId="8736" applyFont="1" applyFill="1"/>
    <xf numFmtId="10" fontId="170" fillId="44" borderId="0" xfId="1022" applyNumberFormat="1" applyFont="1" applyFill="1"/>
    <xf numFmtId="0" fontId="4" fillId="45" borderId="29" xfId="8736" applyFill="1" applyBorder="1"/>
    <xf numFmtId="0" fontId="4" fillId="45" borderId="31" xfId="8736" applyFill="1" applyBorder="1"/>
    <xf numFmtId="0" fontId="104" fillId="45" borderId="92" xfId="8736" applyFont="1" applyFill="1" applyBorder="1"/>
    <xf numFmtId="0" fontId="104" fillId="45" borderId="74" xfId="8736" applyFont="1" applyFill="1" applyBorder="1"/>
    <xf numFmtId="0" fontId="181" fillId="47" borderId="0" xfId="8736" applyFont="1" applyFill="1"/>
    <xf numFmtId="0" fontId="104" fillId="45" borderId="31" xfId="8736" applyFont="1" applyFill="1" applyBorder="1"/>
    <xf numFmtId="0" fontId="4" fillId="47" borderId="0" xfId="8736" applyFill="1" applyAlignment="1">
      <alignment horizontal="left"/>
    </xf>
    <xf numFmtId="0" fontId="173" fillId="51" borderId="11" xfId="8736" applyFont="1" applyFill="1" applyBorder="1"/>
    <xf numFmtId="0" fontId="173" fillId="51" borderId="76" xfId="8736" applyFont="1" applyFill="1" applyBorder="1"/>
    <xf numFmtId="0" fontId="174" fillId="51" borderId="11" xfId="8736" applyFont="1" applyFill="1" applyBorder="1" applyAlignment="1">
      <alignment horizontal="center"/>
    </xf>
    <xf numFmtId="0" fontId="174" fillId="51" borderId="76" xfId="8736" applyFont="1" applyFill="1" applyBorder="1" applyAlignment="1">
      <alignment horizontal="center"/>
    </xf>
    <xf numFmtId="0" fontId="4" fillId="48" borderId="66" xfId="8736" applyFill="1" applyBorder="1"/>
    <xf numFmtId="0" fontId="4" fillId="48" borderId="0" xfId="8736" applyFill="1"/>
    <xf numFmtId="0" fontId="4" fillId="48" borderId="78" xfId="8736" applyFill="1" applyBorder="1"/>
    <xf numFmtId="0" fontId="104" fillId="47" borderId="66" xfId="8736" applyFont="1" applyFill="1" applyBorder="1"/>
    <xf numFmtId="49" fontId="104" fillId="47" borderId="66" xfId="8736" applyNumberFormat="1" applyFont="1" applyFill="1" applyBorder="1" applyAlignment="1">
      <alignment horizontal="right" vertical="top"/>
    </xf>
    <xf numFmtId="0" fontId="4" fillId="47" borderId="73" xfId="8736" applyFill="1" applyBorder="1"/>
    <xf numFmtId="0" fontId="4" fillId="47" borderId="42" xfId="8736" applyFill="1" applyBorder="1"/>
    <xf numFmtId="0" fontId="4" fillId="47" borderId="44" xfId="8736" applyFill="1" applyBorder="1"/>
    <xf numFmtId="0" fontId="4" fillId="44" borderId="66" xfId="8736" applyFill="1" applyBorder="1"/>
    <xf numFmtId="0" fontId="4" fillId="44" borderId="0" xfId="8736" applyFill="1"/>
    <xf numFmtId="0" fontId="4" fillId="44" borderId="41" xfId="8736" applyFill="1" applyBorder="1"/>
    <xf numFmtId="0" fontId="4" fillId="44" borderId="0" xfId="8736" applyFill="1" applyAlignment="1">
      <alignment horizontal="left"/>
    </xf>
    <xf numFmtId="0" fontId="4" fillId="44" borderId="73" xfId="8736" applyFill="1" applyBorder="1"/>
    <xf numFmtId="0" fontId="4" fillId="44" borderId="42" xfId="8736" applyFill="1" applyBorder="1"/>
    <xf numFmtId="0" fontId="4" fillId="44" borderId="44" xfId="8736" applyFill="1" applyBorder="1"/>
    <xf numFmtId="0" fontId="165" fillId="0" borderId="0" xfId="8736" applyFont="1"/>
    <xf numFmtId="49" fontId="20" fillId="0" borderId="0" xfId="1192" applyNumberFormat="1" applyAlignment="1">
      <alignment horizontal="left" vertical="top" wrapText="1"/>
    </xf>
    <xf numFmtId="0" fontId="28" fillId="0" borderId="0" xfId="0" applyFont="1" applyAlignment="1">
      <alignment horizontal="left" vertical="top" wrapText="1"/>
    </xf>
    <xf numFmtId="0" fontId="27" fillId="0" borderId="0" xfId="9602" applyFont="1" applyAlignment="1">
      <alignment vertical="top"/>
    </xf>
    <xf numFmtId="0" fontId="20" fillId="0" borderId="0" xfId="1192" applyAlignment="1">
      <alignment horizontal="left" wrapText="1"/>
    </xf>
    <xf numFmtId="49" fontId="0" fillId="0" borderId="0" xfId="0" applyNumberFormat="1"/>
    <xf numFmtId="49" fontId="20" fillId="0" borderId="0" xfId="1192" applyNumberFormat="1"/>
    <xf numFmtId="0" fontId="28" fillId="0" borderId="114" xfId="0" applyFont="1" applyBorder="1"/>
    <xf numFmtId="0" fontId="27" fillId="0" borderId="114" xfId="0" applyFont="1" applyBorder="1"/>
    <xf numFmtId="0" fontId="28" fillId="0" borderId="114" xfId="0" applyFont="1" applyBorder="1" applyAlignment="1">
      <alignment horizontal="left" vertical="top"/>
    </xf>
    <xf numFmtId="0" fontId="20" fillId="0" borderId="114" xfId="0" applyFont="1" applyBorder="1" applyAlignment="1">
      <alignment horizontal="left" vertical="top"/>
    </xf>
    <xf numFmtId="0" fontId="27" fillId="0" borderId="114" xfId="0" applyFont="1" applyBorder="1" applyAlignment="1">
      <alignment horizontal="right"/>
    </xf>
    <xf numFmtId="0" fontId="20" fillId="0" borderId="114" xfId="0" applyFont="1" applyBorder="1" applyAlignment="1">
      <alignment horizontal="center"/>
    </xf>
    <xf numFmtId="0" fontId="28" fillId="0" borderId="8" xfId="0" applyFont="1" applyBorder="1"/>
    <xf numFmtId="49" fontId="28" fillId="0" borderId="0" xfId="0" applyNumberFormat="1" applyFont="1" applyAlignment="1">
      <alignment vertical="top"/>
    </xf>
    <xf numFmtId="2" fontId="20" fillId="0" borderId="2" xfId="0" applyNumberFormat="1" applyFont="1" applyBorder="1" applyAlignment="1">
      <alignment horizontal="left"/>
    </xf>
    <xf numFmtId="0" fontId="0" fillId="0" borderId="2" xfId="0" applyBorder="1" applyAlignment="1">
      <alignment horizontal="left"/>
    </xf>
    <xf numFmtId="2" fontId="20" fillId="0" borderId="0" xfId="0" applyNumberFormat="1" applyFont="1" applyAlignment="1">
      <alignment horizontal="left"/>
    </xf>
    <xf numFmtId="0" fontId="36" fillId="0" borderId="0" xfId="0" applyFont="1"/>
    <xf numFmtId="0" fontId="28" fillId="0" borderId="16" xfId="0" applyFont="1" applyBorder="1" applyAlignment="1">
      <alignment horizontal="center"/>
    </xf>
    <xf numFmtId="0" fontId="28" fillId="0" borderId="16" xfId="0" applyFont="1" applyBorder="1"/>
    <xf numFmtId="0" fontId="28" fillId="0" borderId="16" xfId="0" applyFont="1" applyBorder="1" applyAlignment="1">
      <alignment horizontal="left" vertical="top"/>
    </xf>
    <xf numFmtId="0" fontId="20" fillId="0" borderId="16" xfId="0" applyFont="1" applyBorder="1" applyAlignment="1">
      <alignment horizontal="left" vertical="top"/>
    </xf>
    <xf numFmtId="0" fontId="35" fillId="0" borderId="0" xfId="0" applyFont="1" applyAlignment="1">
      <alignment vertical="center" wrapText="1"/>
    </xf>
    <xf numFmtId="0" fontId="35" fillId="0" borderId="0" xfId="0" applyFont="1" applyAlignment="1">
      <alignment vertical="center"/>
    </xf>
    <xf numFmtId="0" fontId="35" fillId="0" borderId="0" xfId="0" applyFont="1" applyAlignment="1">
      <alignment horizontal="left" vertical="center" indent="1"/>
    </xf>
    <xf numFmtId="0" fontId="0" fillId="5" borderId="6" xfId="0" applyFill="1" applyBorder="1" applyAlignment="1" applyProtection="1">
      <alignment horizontal="left"/>
      <protection locked="0"/>
    </xf>
    <xf numFmtId="166" fontId="29" fillId="5" borderId="6" xfId="0" applyNumberFormat="1"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0" borderId="0" xfId="0" applyAlignment="1">
      <alignment horizontal="center"/>
    </xf>
    <xf numFmtId="0" fontId="0" fillId="5" borderId="6" xfId="0" applyFill="1" applyBorder="1" applyAlignment="1" applyProtection="1">
      <alignment horizontal="center"/>
      <protection locked="0"/>
    </xf>
    <xf numFmtId="0" fontId="29" fillId="0" borderId="0" xfId="543" applyFont="1" applyAlignment="1">
      <alignment horizontal="center"/>
    </xf>
    <xf numFmtId="0" fontId="20" fillId="0" borderId="0" xfId="0" applyFont="1" applyAlignment="1">
      <alignment vertical="center" wrapText="1"/>
    </xf>
    <xf numFmtId="0" fontId="20" fillId="0" borderId="0" xfId="0" applyFont="1" applyAlignment="1">
      <alignment vertical="top" wrapText="1"/>
    </xf>
    <xf numFmtId="0" fontId="41" fillId="0" borderId="3" xfId="543" applyFont="1" applyBorder="1" applyAlignment="1">
      <alignment horizontal="center"/>
    </xf>
    <xf numFmtId="0" fontId="41" fillId="0" borderId="4" xfId="543" applyFont="1" applyBorder="1" applyAlignment="1">
      <alignment horizontal="center"/>
    </xf>
    <xf numFmtId="0" fontId="41" fillId="0" borderId="5" xfId="543" applyFont="1" applyBorder="1" applyAlignment="1">
      <alignment horizontal="center"/>
    </xf>
    <xf numFmtId="168" fontId="20" fillId="5" borderId="3" xfId="0" applyNumberFormat="1" applyFont="1" applyFill="1" applyBorder="1" applyAlignment="1" applyProtection="1">
      <alignment horizontal="right"/>
      <protection locked="0"/>
    </xf>
    <xf numFmtId="168" fontId="20" fillId="5" borderId="4" xfId="0" applyNumberFormat="1" applyFont="1" applyFill="1" applyBorder="1" applyAlignment="1" applyProtection="1">
      <alignment horizontal="right"/>
      <protection locked="0"/>
    </xf>
    <xf numFmtId="168" fontId="20" fillId="5" borderId="5" xfId="0" applyNumberFormat="1" applyFont="1" applyFill="1" applyBorder="1" applyAlignment="1" applyProtection="1">
      <alignment horizontal="right"/>
      <protection locked="0"/>
    </xf>
    <xf numFmtId="0" fontId="27" fillId="0" borderId="1" xfId="543" applyFont="1" applyBorder="1" applyAlignment="1">
      <alignment horizontal="left" vertical="top" wrapText="1"/>
    </xf>
    <xf numFmtId="0" fontId="27" fillId="0" borderId="2" xfId="543" applyFont="1" applyBorder="1" applyAlignment="1">
      <alignment horizontal="left" vertical="top" wrapText="1"/>
    </xf>
    <xf numFmtId="0" fontId="27" fillId="0" borderId="7" xfId="543" applyFont="1" applyBorder="1" applyAlignment="1">
      <alignment horizontal="left" vertical="top" wrapText="1"/>
    </xf>
    <xf numFmtId="0" fontId="27" fillId="0" borderId="8" xfId="543" applyFont="1" applyBorder="1" applyAlignment="1">
      <alignment horizontal="left" vertical="top" wrapText="1"/>
    </xf>
    <xf numFmtId="0" fontId="27" fillId="0" borderId="0" xfId="543" applyFont="1" applyAlignment="1">
      <alignment horizontal="left" vertical="top" wrapText="1"/>
    </xf>
    <xf numFmtId="0" fontId="27" fillId="0" borderId="12" xfId="543" applyFont="1" applyBorder="1" applyAlignment="1">
      <alignment horizontal="left" vertical="top" wrapText="1"/>
    </xf>
    <xf numFmtId="0" fontId="27" fillId="0" borderId="8" xfId="543" applyFont="1" applyBorder="1" applyAlignment="1">
      <alignment horizontal="left" vertical="center" wrapText="1"/>
    </xf>
    <xf numFmtId="0" fontId="27" fillId="0" borderId="0" xfId="543" applyFont="1" applyAlignment="1">
      <alignment horizontal="left" vertical="center" wrapText="1"/>
    </xf>
    <xf numFmtId="0" fontId="27" fillId="0" borderId="12" xfId="543" applyFont="1" applyBorder="1" applyAlignment="1">
      <alignment horizontal="left" vertical="center" wrapText="1"/>
    </xf>
    <xf numFmtId="0" fontId="153" fillId="0" borderId="8" xfId="543" applyFont="1" applyBorder="1" applyAlignment="1">
      <alignment horizontal="center" vertical="center" wrapText="1"/>
    </xf>
    <xf numFmtId="0" fontId="153" fillId="0" borderId="0" xfId="543" applyFont="1" applyAlignment="1">
      <alignment horizontal="center" vertical="center" wrapText="1"/>
    </xf>
    <xf numFmtId="0" fontId="153" fillId="0" borderId="12" xfId="543" applyFont="1" applyBorder="1" applyAlignment="1">
      <alignment horizontal="center" vertical="center" wrapText="1"/>
    </xf>
    <xf numFmtId="0" fontId="40" fillId="0" borderId="4" xfId="543" applyFont="1" applyBorder="1" applyAlignment="1">
      <alignment horizontal="right" vertical="top" wrapText="1"/>
    </xf>
    <xf numFmtId="0" fontId="40" fillId="0" borderId="5" xfId="543" applyFont="1" applyBorder="1" applyAlignment="1">
      <alignment horizontal="right" vertical="top" wrapText="1"/>
    </xf>
    <xf numFmtId="168" fontId="20" fillId="0" borderId="1" xfId="543" applyNumberFormat="1" applyBorder="1" applyAlignment="1">
      <alignment horizontal="center" vertical="center"/>
    </xf>
    <xf numFmtId="168" fontId="20" fillId="0" borderId="2" xfId="543" applyNumberFormat="1" applyBorder="1" applyAlignment="1">
      <alignment horizontal="center" vertical="center"/>
    </xf>
    <xf numFmtId="168" fontId="20" fillId="0" borderId="7" xfId="543" applyNumberFormat="1" applyBorder="1" applyAlignment="1">
      <alignment horizontal="center" vertical="center"/>
    </xf>
    <xf numFmtId="168" fontId="20" fillId="0" borderId="8" xfId="543" applyNumberFormat="1" applyBorder="1" applyAlignment="1">
      <alignment horizontal="center" vertical="center"/>
    </xf>
    <xf numFmtId="168" fontId="20" fillId="0" borderId="0" xfId="543" applyNumberFormat="1" applyAlignment="1">
      <alignment horizontal="center" vertical="center"/>
    </xf>
    <xf numFmtId="168" fontId="20" fillId="0" borderId="12" xfId="543" applyNumberFormat="1" applyBorder="1" applyAlignment="1">
      <alignment horizontal="center" vertical="center"/>
    </xf>
    <xf numFmtId="168" fontId="20" fillId="0" borderId="9" xfId="543" applyNumberFormat="1" applyBorder="1" applyAlignment="1">
      <alignment horizontal="center" vertical="center"/>
    </xf>
    <xf numFmtId="168" fontId="20" fillId="0" borderId="6" xfId="543" applyNumberFormat="1" applyBorder="1" applyAlignment="1">
      <alignment horizontal="center" vertical="center"/>
    </xf>
    <xf numFmtId="168" fontId="20" fillId="0" borderId="10" xfId="543" applyNumberFormat="1" applyBorder="1" applyAlignment="1">
      <alignment horizontal="center" vertical="center"/>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20" fillId="0" borderId="0" xfId="0" applyFont="1" applyAlignment="1">
      <alignment horizontal="left" wrapText="1"/>
    </xf>
    <xf numFmtId="0" fontId="20" fillId="0" borderId="3" xfId="0" applyFont="1" applyBorder="1"/>
    <xf numFmtId="0" fontId="20" fillId="0" borderId="4" xfId="0" applyFont="1" applyBorder="1"/>
    <xf numFmtId="0" fontId="20" fillId="0" borderId="5" xfId="0" applyFont="1" applyBorder="1"/>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0" fillId="0" borderId="9" xfId="543" applyBorder="1" applyAlignment="1">
      <alignment horizontal="left" vertical="top" wrapText="1"/>
    </xf>
    <xf numFmtId="0" fontId="20" fillId="0" borderId="6" xfId="543" applyBorder="1" applyAlignment="1">
      <alignment horizontal="left" vertical="top" wrapText="1"/>
    </xf>
    <xf numFmtId="0" fontId="20" fillId="0" borderId="10" xfId="543" applyBorder="1" applyAlignment="1">
      <alignment horizontal="left" vertical="top" wrapText="1"/>
    </xf>
    <xf numFmtId="0" fontId="20" fillId="0" borderId="0" xfId="543" applyAlignment="1">
      <alignment wrapText="1"/>
    </xf>
    <xf numFmtId="0" fontId="56" fillId="5" borderId="3" xfId="0" applyFont="1" applyFill="1" applyBorder="1" applyAlignment="1" applyProtection="1">
      <alignment horizontal="right"/>
      <protection locked="0"/>
    </xf>
    <xf numFmtId="0" fontId="56" fillId="5" borderId="4" xfId="0" applyFont="1" applyFill="1" applyBorder="1" applyAlignment="1" applyProtection="1">
      <alignment horizontal="right"/>
      <protection locked="0"/>
    </xf>
    <xf numFmtId="0" fontId="56" fillId="5" borderId="5" xfId="0" applyFont="1" applyFill="1" applyBorder="1" applyAlignment="1" applyProtection="1">
      <alignment horizontal="right"/>
      <protection locked="0"/>
    </xf>
    <xf numFmtId="0" fontId="20" fillId="0" borderId="9" xfId="543" applyBorder="1" applyAlignment="1">
      <alignment horizontal="left" vertical="center" wrapText="1"/>
    </xf>
    <xf numFmtId="0" fontId="20" fillId="0" borderId="6" xfId="543" applyBorder="1" applyAlignment="1">
      <alignment horizontal="left" vertical="center" wrapText="1"/>
    </xf>
    <xf numFmtId="0" fontId="20" fillId="0" borderId="10" xfId="543" applyBorder="1" applyAlignment="1">
      <alignment horizontal="left" vertical="center" wrapText="1"/>
    </xf>
    <xf numFmtId="0" fontId="20" fillId="0" borderId="8" xfId="543" applyBorder="1" applyAlignment="1">
      <alignment horizontal="left" vertical="top" wrapText="1"/>
    </xf>
    <xf numFmtId="0" fontId="20" fillId="0" borderId="0" xfId="543" applyAlignment="1">
      <alignment horizontal="left" vertical="top" wrapText="1"/>
    </xf>
    <xf numFmtId="0" fontId="20" fillId="0" borderId="12" xfId="543" applyBorder="1" applyAlignment="1">
      <alignment horizontal="left" vertical="top" wrapText="1"/>
    </xf>
    <xf numFmtId="0" fontId="28" fillId="0" borderId="3" xfId="543" applyFont="1" applyBorder="1" applyAlignment="1">
      <alignment horizontal="center"/>
    </xf>
    <xf numFmtId="0" fontId="28" fillId="0" borderId="5" xfId="543" applyFont="1" applyBorder="1" applyAlignment="1">
      <alignment horizontal="center"/>
    </xf>
    <xf numFmtId="1" fontId="28" fillId="0" borderId="3" xfId="543" applyNumberFormat="1" applyFont="1" applyBorder="1" applyAlignment="1">
      <alignment horizontal="center"/>
    </xf>
    <xf numFmtId="1" fontId="28" fillId="0" borderId="5" xfId="543" applyNumberFormat="1" applyFont="1" applyBorder="1" applyAlignment="1">
      <alignment horizontal="center"/>
    </xf>
    <xf numFmtId="0" fontId="39" fillId="0" borderId="3" xfId="543" applyFont="1" applyBorder="1" applyAlignment="1">
      <alignment horizontal="center"/>
    </xf>
    <xf numFmtId="0" fontId="39" fillId="0" borderId="5" xfId="543" applyFont="1" applyBorder="1" applyAlignment="1">
      <alignment horizontal="center"/>
    </xf>
    <xf numFmtId="0" fontId="28" fillId="5" borderId="3" xfId="543" applyFont="1" applyFill="1" applyBorder="1" applyAlignment="1" applyProtection="1">
      <alignment horizontal="center"/>
      <protection locked="0"/>
    </xf>
    <xf numFmtId="0" fontId="39" fillId="5" borderId="5" xfId="543" applyFont="1" applyFill="1" applyBorder="1" applyAlignment="1" applyProtection="1">
      <alignment horizontal="center"/>
      <protection locked="0"/>
    </xf>
    <xf numFmtId="0" fontId="26" fillId="3" borderId="0" xfId="0" applyFont="1" applyFill="1" applyAlignment="1">
      <alignment horizontal="center" vertical="center"/>
    </xf>
    <xf numFmtId="0" fontId="29" fillId="5" borderId="3" xfId="0" applyFont="1" applyFill="1" applyBorder="1" applyAlignment="1" applyProtection="1">
      <alignment horizontal="center"/>
      <protection locked="0"/>
    </xf>
    <xf numFmtId="0" fontId="29" fillId="5" borderId="4" xfId="0" applyFont="1" applyFill="1" applyBorder="1" applyAlignment="1" applyProtection="1">
      <alignment horizontal="center"/>
      <protection locked="0"/>
    </xf>
    <xf numFmtId="0" fontId="29" fillId="5" borderId="5" xfId="0" applyFont="1" applyFill="1" applyBorder="1" applyAlignment="1" applyProtection="1">
      <alignment horizontal="center"/>
      <protection locked="0"/>
    </xf>
    <xf numFmtId="165" fontId="29" fillId="0" borderId="1" xfId="0" applyNumberFormat="1" applyFont="1" applyBorder="1" applyAlignment="1">
      <alignment horizontal="right"/>
    </xf>
    <xf numFmtId="165" fontId="29" fillId="0" borderId="2" xfId="0" applyNumberFormat="1" applyFont="1" applyBorder="1" applyAlignment="1">
      <alignment horizontal="right"/>
    </xf>
    <xf numFmtId="165" fontId="29" fillId="0" borderId="7" xfId="0" applyNumberFormat="1" applyFont="1" applyBorder="1" applyAlignment="1">
      <alignment horizontal="right"/>
    </xf>
    <xf numFmtId="1" fontId="29" fillId="5" borderId="3" xfId="0" applyNumberFormat="1" applyFont="1" applyFill="1" applyBorder="1" applyAlignment="1" applyProtection="1">
      <alignment horizontal="center"/>
      <protection locked="0"/>
    </xf>
    <xf numFmtId="1" fontId="29" fillId="5" borderId="4" xfId="0" applyNumberFormat="1" applyFont="1" applyFill="1" applyBorder="1" applyAlignment="1" applyProtection="1">
      <alignment horizontal="center"/>
      <protection locked="0"/>
    </xf>
    <xf numFmtId="1" fontId="29" fillId="5" borderId="5" xfId="0" applyNumberFormat="1" applyFont="1" applyFill="1" applyBorder="1" applyAlignment="1" applyProtection="1">
      <alignment horizontal="center"/>
      <protection locked="0"/>
    </xf>
    <xf numFmtId="0" fontId="27" fillId="0" borderId="0" xfId="0" applyFont="1" applyAlignment="1">
      <alignment horizontal="center"/>
    </xf>
    <xf numFmtId="0" fontId="160" fillId="0" borderId="8" xfId="543" applyFont="1" applyBorder="1" applyAlignment="1">
      <alignment horizontal="center" wrapText="1"/>
    </xf>
    <xf numFmtId="0" fontId="160" fillId="0" borderId="0" xfId="543" applyFont="1" applyAlignment="1">
      <alignment horizontal="center" wrapText="1"/>
    </xf>
    <xf numFmtId="0" fontId="160" fillId="0" borderId="12" xfId="543" applyFont="1" applyBorder="1" applyAlignment="1">
      <alignment horizontal="center" wrapText="1"/>
    </xf>
    <xf numFmtId="0" fontId="160" fillId="0" borderId="9" xfId="543" applyFont="1" applyBorder="1" applyAlignment="1">
      <alignment horizontal="center" wrapText="1"/>
    </xf>
    <xf numFmtId="0" fontId="160" fillId="0" borderId="6" xfId="543" applyFont="1" applyBorder="1" applyAlignment="1">
      <alignment horizontal="center" wrapText="1"/>
    </xf>
    <xf numFmtId="0" fontId="160" fillId="0" borderId="10" xfId="543" applyFont="1" applyBorder="1" applyAlignment="1">
      <alignment horizontal="center" wrapText="1"/>
    </xf>
    <xf numFmtId="0" fontId="160" fillId="0" borderId="8" xfId="543" applyFont="1" applyBorder="1" applyAlignment="1">
      <alignment horizontal="center" vertical="top" wrapText="1"/>
    </xf>
    <xf numFmtId="0" fontId="160" fillId="0" borderId="0" xfId="543" applyFont="1" applyAlignment="1">
      <alignment horizontal="center" vertical="top" wrapText="1"/>
    </xf>
    <xf numFmtId="0" fontId="160" fillId="0" borderId="12" xfId="543" applyFont="1" applyBorder="1" applyAlignment="1">
      <alignment horizontal="center" vertical="top" wrapText="1"/>
    </xf>
    <xf numFmtId="0" fontId="160" fillId="0" borderId="9" xfId="543" applyFont="1" applyBorder="1" applyAlignment="1">
      <alignment horizontal="center" vertical="top" wrapText="1"/>
    </xf>
    <xf numFmtId="0" fontId="160" fillId="0" borderId="6" xfId="543" applyFont="1" applyBorder="1" applyAlignment="1">
      <alignment horizontal="center" vertical="top" wrapText="1"/>
    </xf>
    <xf numFmtId="0" fontId="160" fillId="0" borderId="10" xfId="543" applyFont="1" applyBorder="1" applyAlignment="1">
      <alignment horizontal="center" vertical="top" wrapText="1"/>
    </xf>
    <xf numFmtId="0" fontId="157" fillId="0" borderId="0" xfId="0" applyFont="1" applyAlignment="1">
      <alignment horizontal="center" vertical="center" wrapText="1"/>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20" fillId="5" borderId="3" xfId="0" applyFont="1" applyFill="1" applyBorder="1" applyAlignment="1" applyProtection="1">
      <alignment horizontal="left"/>
      <protection locked="0"/>
    </xf>
    <xf numFmtId="0" fontId="20" fillId="5" borderId="4" xfId="0" applyFont="1" applyFill="1" applyBorder="1" applyAlignment="1" applyProtection="1">
      <alignment horizontal="left"/>
      <protection locked="0"/>
    </xf>
    <xf numFmtId="0" fontId="20" fillId="5" borderId="5" xfId="0" applyFont="1" applyFill="1" applyBorder="1" applyAlignment="1" applyProtection="1">
      <alignment horizontal="left"/>
      <protection locked="0"/>
    </xf>
    <xf numFmtId="164" fontId="39" fillId="5" borderId="3" xfId="0" applyNumberFormat="1" applyFont="1" applyFill="1" applyBorder="1" applyAlignment="1" applyProtection="1">
      <alignment horizontal="left"/>
      <protection locked="0"/>
    </xf>
    <xf numFmtId="164" fontId="39" fillId="5" borderId="4" xfId="0" applyNumberFormat="1" applyFont="1" applyFill="1" applyBorder="1" applyAlignment="1" applyProtection="1">
      <alignment horizontal="left"/>
      <protection locked="0"/>
    </xf>
    <xf numFmtId="164" fontId="39" fillId="5" borderId="5" xfId="0" applyNumberFormat="1" applyFont="1" applyFill="1" applyBorder="1" applyAlignment="1" applyProtection="1">
      <alignment horizontal="left"/>
      <protection locked="0"/>
    </xf>
    <xf numFmtId="168" fontId="29" fillId="5" borderId="3" xfId="0" applyNumberFormat="1" applyFont="1" applyFill="1" applyBorder="1" applyAlignment="1" applyProtection="1">
      <alignment horizontal="center"/>
      <protection locked="0"/>
    </xf>
    <xf numFmtId="168" fontId="29" fillId="5" borderId="4" xfId="0" applyNumberFormat="1" applyFont="1" applyFill="1" applyBorder="1" applyAlignment="1" applyProtection="1">
      <alignment horizontal="center"/>
      <protection locked="0"/>
    </xf>
    <xf numFmtId="168" fontId="29" fillId="5" borderId="5" xfId="0" applyNumberFormat="1" applyFont="1" applyFill="1" applyBorder="1" applyAlignment="1" applyProtection="1">
      <alignment horizontal="center"/>
      <protection locked="0"/>
    </xf>
    <xf numFmtId="9" fontId="29" fillId="5" borderId="3" xfId="0" applyNumberFormat="1" applyFont="1" applyFill="1" applyBorder="1" applyAlignment="1" applyProtection="1">
      <alignment horizontal="center"/>
      <protection locked="0"/>
    </xf>
    <xf numFmtId="9" fontId="29" fillId="5" borderId="4" xfId="0" applyNumberFormat="1" applyFont="1" applyFill="1" applyBorder="1" applyAlignment="1" applyProtection="1">
      <alignment horizontal="center"/>
      <protection locked="0"/>
    </xf>
    <xf numFmtId="9" fontId="29"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 fontId="20" fillId="0" borderId="3" xfId="543" applyNumberFormat="1" applyBorder="1" applyAlignment="1">
      <alignment horizontal="center"/>
    </xf>
    <xf numFmtId="1" fontId="20" fillId="0" borderId="4" xfId="543" applyNumberFormat="1" applyBorder="1" applyAlignment="1">
      <alignment horizontal="center"/>
    </xf>
    <xf numFmtId="1" fontId="20" fillId="0" borderId="5" xfId="543" applyNumberFormat="1" applyBorder="1" applyAlignment="1">
      <alignment horizontal="center"/>
    </xf>
    <xf numFmtId="0" fontId="20" fillId="0" borderId="3" xfId="543" applyBorder="1" applyAlignment="1">
      <alignment horizontal="center"/>
    </xf>
    <xf numFmtId="0" fontId="20" fillId="0" borderId="4" xfId="543" applyBorder="1" applyAlignment="1">
      <alignment horizontal="center"/>
    </xf>
    <xf numFmtId="0" fontId="20" fillId="0" borderId="5" xfId="543" applyBorder="1" applyAlignment="1">
      <alignment horizontal="center"/>
    </xf>
    <xf numFmtId="168" fontId="20" fillId="0" borderId="11" xfId="543" applyNumberFormat="1" applyBorder="1" applyAlignment="1">
      <alignment horizontal="center"/>
    </xf>
    <xf numFmtId="168" fontId="20" fillId="10" borderId="3" xfId="543" applyNumberFormat="1" applyFill="1" applyBorder="1" applyAlignment="1">
      <alignment horizontal="center"/>
    </xf>
    <xf numFmtId="168" fontId="20" fillId="10" borderId="4" xfId="543" applyNumberFormat="1" applyFill="1" applyBorder="1" applyAlignment="1">
      <alignment horizontal="center"/>
    </xf>
    <xf numFmtId="168" fontId="20" fillId="10" borderId="5" xfId="543" applyNumberFormat="1" applyFill="1" applyBorder="1" applyAlignment="1">
      <alignment horizontal="center"/>
    </xf>
    <xf numFmtId="0" fontId="28" fillId="5" borderId="3" xfId="543" applyFont="1" applyFill="1" applyBorder="1" applyAlignment="1" applyProtection="1">
      <alignment horizontal="left" vertical="top" wrapText="1"/>
      <protection locked="0"/>
    </xf>
    <xf numFmtId="0" fontId="28" fillId="5" borderId="4" xfId="543" applyFont="1" applyFill="1" applyBorder="1" applyAlignment="1" applyProtection="1">
      <alignment horizontal="left" vertical="top" wrapText="1"/>
      <protection locked="0"/>
    </xf>
    <xf numFmtId="0" fontId="28" fillId="5" borderId="5" xfId="543" applyFont="1" applyFill="1" applyBorder="1" applyAlignment="1" applyProtection="1">
      <alignment horizontal="left" vertical="top" wrapText="1"/>
      <protection locked="0"/>
    </xf>
    <xf numFmtId="0" fontId="20" fillId="2" borderId="3" xfId="543" applyFill="1" applyBorder="1" applyAlignment="1">
      <alignment horizontal="center"/>
    </xf>
    <xf numFmtId="0" fontId="20" fillId="2" borderId="4" xfId="543" applyFill="1" applyBorder="1" applyAlignment="1">
      <alignment horizontal="center"/>
    </xf>
    <xf numFmtId="0" fontId="20" fillId="2" borderId="5" xfId="543" applyFill="1" applyBorder="1" applyAlignment="1">
      <alignment horizontal="center"/>
    </xf>
    <xf numFmtId="0" fontId="20" fillId="43" borderId="11" xfId="0" applyFont="1" applyFill="1" applyBorder="1" applyAlignment="1" applyProtection="1">
      <alignment horizontal="center"/>
      <protection locked="0"/>
    </xf>
    <xf numFmtId="168" fontId="29" fillId="0" borderId="3" xfId="0" applyNumberFormat="1" applyFont="1" applyBorder="1" applyAlignment="1">
      <alignment horizontal="center"/>
    </xf>
    <xf numFmtId="168" fontId="29" fillId="0" borderId="4" xfId="0" applyNumberFormat="1" applyFont="1" applyBorder="1" applyAlignment="1">
      <alignment horizontal="center"/>
    </xf>
    <xf numFmtId="168" fontId="29" fillId="0" borderId="5" xfId="0" applyNumberFormat="1" applyFont="1" applyBorder="1" applyAlignment="1">
      <alignment horizontal="center"/>
    </xf>
    <xf numFmtId="0" fontId="0" fillId="5" borderId="4" xfId="0" applyFill="1" applyBorder="1" applyAlignment="1" applyProtection="1">
      <alignment horizontal="left"/>
      <protection locked="0"/>
    </xf>
    <xf numFmtId="0" fontId="29" fillId="5" borderId="9" xfId="0" applyFont="1" applyFill="1" applyBorder="1" applyAlignment="1" applyProtection="1">
      <alignment horizontal="center"/>
      <protection locked="0"/>
    </xf>
    <xf numFmtId="0" fontId="29" fillId="5" borderId="6" xfId="0" applyFont="1" applyFill="1" applyBorder="1" applyAlignment="1" applyProtection="1">
      <alignment horizontal="center"/>
      <protection locked="0"/>
    </xf>
    <xf numFmtId="0" fontId="20" fillId="5" borderId="11" xfId="0" applyFont="1" applyFill="1" applyBorder="1" applyAlignment="1" applyProtection="1">
      <alignment vertical="center" wrapText="1"/>
      <protection locked="0"/>
    </xf>
    <xf numFmtId="0" fontId="0" fillId="0" borderId="6" xfId="0" applyBorder="1" applyAlignment="1">
      <alignment horizontal="left"/>
    </xf>
    <xf numFmtId="168" fontId="20" fillId="43" borderId="3" xfId="0" applyNumberFormat="1" applyFont="1" applyFill="1" applyBorder="1" applyAlignment="1" applyProtection="1">
      <alignment horizontal="center" vertical="center"/>
      <protection locked="0"/>
    </xf>
    <xf numFmtId="168" fontId="20" fillId="43" borderId="4" xfId="0" applyNumberFormat="1" applyFont="1" applyFill="1" applyBorder="1" applyAlignment="1" applyProtection="1">
      <alignment horizontal="center" vertical="center"/>
      <protection locked="0"/>
    </xf>
    <xf numFmtId="168" fontId="20"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27" fillId="0" borderId="11" xfId="0" applyFont="1" applyBorder="1" applyAlignment="1">
      <alignment horizontal="center" vertical="center" wrapText="1"/>
    </xf>
    <xf numFmtId="180" fontId="28" fillId="43" borderId="3" xfId="0" applyNumberFormat="1" applyFont="1" applyFill="1" applyBorder="1" applyAlignment="1" applyProtection="1">
      <alignment horizontal="center" vertical="center"/>
      <protection locked="0"/>
    </xf>
    <xf numFmtId="180" fontId="28" fillId="43" borderId="4" xfId="0" applyNumberFormat="1" applyFont="1" applyFill="1" applyBorder="1" applyAlignment="1" applyProtection="1">
      <alignment horizontal="center" vertical="center"/>
      <protection locked="0"/>
    </xf>
    <xf numFmtId="180" fontId="28" fillId="43" borderId="5" xfId="0" applyNumberFormat="1" applyFont="1" applyFill="1" applyBorder="1" applyAlignment="1" applyProtection="1">
      <alignment horizontal="center" vertical="center"/>
      <protection locked="0"/>
    </xf>
    <xf numFmtId="0" fontId="29" fillId="5" borderId="4"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57" fillId="0" borderId="1" xfId="0" applyFont="1" applyBorder="1" applyAlignment="1">
      <alignment horizontal="center" vertical="center" wrapText="1"/>
    </xf>
    <xf numFmtId="0" fontId="57" fillId="0" borderId="2" xfId="0" applyFont="1" applyBorder="1" applyAlignment="1">
      <alignment horizontal="center" vertical="center" wrapText="1"/>
    </xf>
    <xf numFmtId="0" fontId="57" fillId="0" borderId="7" xfId="0" applyFont="1" applyBorder="1" applyAlignment="1">
      <alignment horizontal="center" vertical="center" wrapText="1"/>
    </xf>
    <xf numFmtId="0" fontId="57" fillId="0" borderId="8" xfId="0" applyFont="1" applyBorder="1" applyAlignment="1">
      <alignment horizontal="center" vertical="center" wrapText="1"/>
    </xf>
    <xf numFmtId="0" fontId="57" fillId="0" borderId="0" xfId="0" applyFont="1" applyAlignment="1">
      <alignment horizontal="center" vertical="center" wrapText="1"/>
    </xf>
    <xf numFmtId="0" fontId="57" fillId="0" borderId="12" xfId="0" applyFont="1" applyBorder="1" applyAlignment="1">
      <alignment horizontal="center" vertical="center" wrapText="1"/>
    </xf>
    <xf numFmtId="0" fontId="57" fillId="0" borderId="9" xfId="0" applyFont="1" applyBorder="1" applyAlignment="1">
      <alignment horizontal="center" vertical="center" wrapText="1"/>
    </xf>
    <xf numFmtId="0" fontId="57" fillId="0" borderId="6" xfId="0" applyFont="1" applyBorder="1" applyAlignment="1">
      <alignment horizontal="center" vertical="center" wrapText="1"/>
    </xf>
    <xf numFmtId="0" fontId="57" fillId="0" borderId="10" xfId="0" applyFont="1" applyBorder="1" applyAlignment="1">
      <alignment horizontal="center" vertical="center" wrapText="1"/>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6" fontId="20" fillId="5" borderId="4" xfId="0" applyNumberFormat="1" applyFont="1" applyFill="1" applyBorder="1" applyAlignment="1" applyProtection="1">
      <alignment horizontal="left"/>
      <protection locked="0"/>
    </xf>
    <xf numFmtId="166" fontId="29" fillId="5" borderId="4" xfId="0" applyNumberFormat="1" applyFont="1" applyFill="1" applyBorder="1" applyAlignment="1" applyProtection="1">
      <alignment horizontal="left"/>
      <protection locked="0"/>
    </xf>
    <xf numFmtId="0" fontId="53" fillId="0" borderId="0" xfId="0" applyFont="1" applyAlignment="1">
      <alignment horizontal="center"/>
    </xf>
    <xf numFmtId="0" fontId="20" fillId="0" borderId="0" xfId="0" applyFont="1" applyAlignment="1">
      <alignment horizontal="center"/>
    </xf>
    <xf numFmtId="0" fontId="35" fillId="0" borderId="0" xfId="0" applyFont="1" applyAlignment="1">
      <alignment horizontal="center"/>
    </xf>
    <xf numFmtId="0" fontId="20" fillId="0" borderId="0" xfId="0" applyFont="1" applyAlignment="1">
      <alignment wrapText="1"/>
    </xf>
    <xf numFmtId="0" fontId="20" fillId="0" borderId="0" xfId="0" applyFont="1" applyAlignment="1">
      <alignment horizontal="center" vertical="top"/>
    </xf>
    <xf numFmtId="0" fontId="20" fillId="0" borderId="0" xfId="0" applyFont="1" applyAlignment="1">
      <alignment horizontal="left" vertical="top" wrapText="1"/>
    </xf>
    <xf numFmtId="0" fontId="29" fillId="0" borderId="0" xfId="0" applyFont="1" applyAlignment="1">
      <alignment horizontal="left" vertical="top" wrapText="1"/>
    </xf>
    <xf numFmtId="0" fontId="20" fillId="5" borderId="6" xfId="0" applyFont="1" applyFill="1" applyBorder="1" applyAlignment="1" applyProtection="1">
      <alignment horizontal="left"/>
      <protection locked="0"/>
    </xf>
    <xf numFmtId="0" fontId="29" fillId="5" borderId="6" xfId="0" applyFont="1" applyFill="1" applyBorder="1" applyAlignment="1" applyProtection="1">
      <alignment horizontal="left"/>
      <protection locked="0"/>
    </xf>
    <xf numFmtId="168" fontId="29" fillId="0" borderId="6" xfId="0" applyNumberFormat="1" applyFont="1" applyBorder="1" applyAlignment="1">
      <alignment horizontal="center"/>
    </xf>
    <xf numFmtId="0" fontId="20" fillId="5" borderId="6" xfId="0" applyFont="1" applyFill="1" applyBorder="1" applyAlignment="1" applyProtection="1">
      <alignment horizontal="left" wrapText="1"/>
      <protection locked="0"/>
    </xf>
    <xf numFmtId="0" fontId="29" fillId="5" borderId="6" xfId="0" applyFont="1" applyFill="1" applyBorder="1" applyAlignment="1" applyProtection="1">
      <alignment horizontal="left" wrapText="1"/>
      <protection locked="0"/>
    </xf>
    <xf numFmtId="0" fontId="28" fillId="0" borderId="0" xfId="0" applyFont="1" applyAlignment="1">
      <alignment horizontal="center"/>
    </xf>
    <xf numFmtId="0" fontId="26" fillId="3" borderId="0" xfId="0" applyFont="1" applyFill="1" applyAlignment="1">
      <alignment horizontal="center" vertical="center" wrapText="1"/>
    </xf>
    <xf numFmtId="166" fontId="29" fillId="5" borderId="6" xfId="0" applyNumberFormat="1" applyFont="1" applyFill="1" applyBorder="1" applyAlignment="1" applyProtection="1">
      <alignment horizontal="left"/>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29" fillId="5" borderId="4" xfId="0" applyFont="1" applyFill="1" applyBorder="1" applyAlignment="1" applyProtection="1">
      <alignment wrapText="1"/>
      <protection locked="0"/>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Alignment="1">
      <alignment horizontal="center" vertical="center" wrapText="1"/>
    </xf>
    <xf numFmtId="0" fontId="27" fillId="0" borderId="12"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10" xfId="0" applyFont="1" applyBorder="1" applyAlignment="1">
      <alignment horizontal="center" vertical="center" wrapText="1"/>
    </xf>
    <xf numFmtId="175" fontId="20" fillId="43" borderId="3" xfId="0" applyNumberFormat="1" applyFont="1" applyFill="1" applyBorder="1" applyAlignment="1" applyProtection="1">
      <alignment horizontal="center"/>
      <protection locked="0"/>
    </xf>
    <xf numFmtId="175" fontId="20" fillId="43" borderId="4" xfId="0" applyNumberFormat="1" applyFont="1" applyFill="1" applyBorder="1" applyAlignment="1" applyProtection="1">
      <alignment horizontal="center"/>
      <protection locked="0"/>
    </xf>
    <xf numFmtId="175" fontId="20" fillId="43" borderId="5" xfId="0" applyNumberFormat="1" applyFont="1" applyFill="1" applyBorder="1" applyAlignment="1" applyProtection="1">
      <alignment horizontal="center"/>
      <protection locked="0"/>
    </xf>
    <xf numFmtId="0" fontId="28" fillId="5" borderId="3" xfId="0" applyFont="1" applyFill="1" applyBorder="1" applyAlignment="1" applyProtection="1">
      <alignment horizontal="center"/>
      <protection locked="0"/>
    </xf>
    <xf numFmtId="0" fontId="28" fillId="5" borderId="4" xfId="0" applyFont="1" applyFill="1" applyBorder="1" applyAlignment="1" applyProtection="1">
      <alignment horizontal="center"/>
      <protection locked="0"/>
    </xf>
    <xf numFmtId="0" fontId="28" fillId="5" borderId="5" xfId="0" applyFont="1" applyFill="1" applyBorder="1" applyAlignment="1" applyProtection="1">
      <alignment horizont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75" fontId="20" fillId="43" borderId="3" xfId="0" applyNumberFormat="1" applyFont="1" applyFill="1" applyBorder="1" applyAlignment="1" applyProtection="1">
      <alignment horizontal="center" vertical="center"/>
      <protection locked="0"/>
    </xf>
    <xf numFmtId="175" fontId="20" fillId="43" borderId="4" xfId="0" applyNumberFormat="1" applyFont="1" applyFill="1" applyBorder="1" applyAlignment="1" applyProtection="1">
      <alignment horizontal="center" vertical="center"/>
      <protection locked="0"/>
    </xf>
    <xf numFmtId="175" fontId="20" fillId="43" borderId="5" xfId="0" applyNumberFormat="1" applyFont="1" applyFill="1" applyBorder="1" applyAlignment="1" applyProtection="1">
      <alignment horizontal="center" vertical="center"/>
      <protection locked="0"/>
    </xf>
    <xf numFmtId="180" fontId="0" fillId="0" borderId="6" xfId="0" applyNumberFormat="1" applyBorder="1" applyAlignment="1">
      <alignment horizontal="center"/>
    </xf>
    <xf numFmtId="168" fontId="29" fillId="5" borderId="3" xfId="0" applyNumberFormat="1" applyFont="1" applyFill="1" applyBorder="1" applyAlignment="1" applyProtection="1">
      <alignment horizontal="left" vertical="top"/>
      <protection locked="0"/>
    </xf>
    <xf numFmtId="168" fontId="29" fillId="5" borderId="4" xfId="0" applyNumberFormat="1" applyFont="1" applyFill="1" applyBorder="1" applyAlignment="1" applyProtection="1">
      <alignment horizontal="left" vertical="top"/>
      <protection locked="0"/>
    </xf>
    <xf numFmtId="168" fontId="29" fillId="5" borderId="5" xfId="0" applyNumberFormat="1" applyFont="1" applyFill="1" applyBorder="1" applyAlignment="1" applyProtection="1">
      <alignment horizontal="left" vertical="top"/>
      <protection locked="0"/>
    </xf>
    <xf numFmtId="0" fontId="20" fillId="5" borderId="11" xfId="0" applyFont="1" applyFill="1" applyBorder="1" applyAlignment="1" applyProtection="1">
      <alignment horizontal="left" vertical="center" wrapText="1"/>
      <protection locked="0"/>
    </xf>
    <xf numFmtId="0" fontId="20" fillId="5" borderId="4" xfId="0" applyFont="1" applyFill="1" applyBorder="1" applyAlignment="1" applyProtection="1">
      <alignment wrapText="1"/>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9" fillId="2" borderId="11" xfId="0" applyFont="1" applyFill="1" applyBorder="1" applyAlignment="1">
      <alignment horizontal="center"/>
    </xf>
    <xf numFmtId="0" fontId="0" fillId="0" borderId="11" xfId="0" applyBorder="1" applyAlignment="1">
      <alignment horizontal="center"/>
    </xf>
    <xf numFmtId="0" fontId="27" fillId="0" borderId="3" xfId="0" applyFont="1" applyBorder="1" applyAlignment="1">
      <alignment horizontal="right"/>
    </xf>
    <xf numFmtId="0" fontId="27" fillId="0" borderId="4" xfId="0" applyFont="1" applyBorder="1" applyAlignment="1">
      <alignment horizontal="right"/>
    </xf>
    <xf numFmtId="0" fontId="27" fillId="0" borderId="5" xfId="0" applyFont="1" applyBorder="1" applyAlignment="1">
      <alignment horizontal="right"/>
    </xf>
    <xf numFmtId="0" fontId="20" fillId="0" borderId="1" xfId="0" applyFont="1" applyBorder="1" applyAlignment="1">
      <alignment horizontal="center" vertical="top" wrapText="1"/>
    </xf>
    <xf numFmtId="0" fontId="29" fillId="0" borderId="2" xfId="0" applyFont="1" applyBorder="1" applyAlignment="1">
      <alignment horizontal="center" vertical="top" wrapText="1"/>
    </xf>
    <xf numFmtId="0" fontId="29" fillId="0" borderId="7" xfId="0" applyFont="1" applyBorder="1" applyAlignment="1">
      <alignment horizontal="center" vertical="top" wrapText="1"/>
    </xf>
    <xf numFmtId="0" fontId="29" fillId="0" borderId="8" xfId="0" applyFont="1" applyBorder="1" applyAlignment="1">
      <alignment horizontal="center" vertical="top" wrapText="1"/>
    </xf>
    <xf numFmtId="0" fontId="29" fillId="0" borderId="0" xfId="0" applyFont="1" applyAlignment="1">
      <alignment horizontal="center" vertical="top" wrapText="1"/>
    </xf>
    <xf numFmtId="0" fontId="29" fillId="0" borderId="12" xfId="0" applyFont="1" applyBorder="1" applyAlignment="1">
      <alignment horizontal="center" vertical="top" wrapText="1"/>
    </xf>
    <xf numFmtId="0" fontId="29" fillId="0" borderId="9" xfId="0" applyFont="1" applyBorder="1" applyAlignment="1">
      <alignment horizontal="center" vertical="top" wrapText="1"/>
    </xf>
    <xf numFmtId="0" fontId="29" fillId="0" borderId="6" xfId="0" applyFont="1" applyBorder="1" applyAlignment="1">
      <alignment horizontal="center" vertical="top" wrapText="1"/>
    </xf>
    <xf numFmtId="0" fontId="29" fillId="0" borderId="10" xfId="0" applyFont="1" applyBorder="1" applyAlignment="1">
      <alignment horizontal="center" vertical="top" wrapText="1"/>
    </xf>
    <xf numFmtId="0" fontId="29" fillId="45" borderId="11" xfId="0" applyFont="1" applyFill="1" applyBorder="1" applyAlignment="1">
      <alignment horizontal="center"/>
    </xf>
    <xf numFmtId="0" fontId="29" fillId="45" borderId="3" xfId="0" applyFont="1" applyFill="1" applyBorder="1" applyAlignment="1">
      <alignment horizontal="center"/>
    </xf>
    <xf numFmtId="0" fontId="29" fillId="45" borderId="4" xfId="0" applyFont="1" applyFill="1" applyBorder="1" applyAlignment="1">
      <alignment horizontal="center"/>
    </xf>
    <xf numFmtId="0" fontId="29" fillId="45" borderId="5" xfId="0" applyFont="1" applyFill="1" applyBorder="1" applyAlignment="1">
      <alignment horizontal="center"/>
    </xf>
    <xf numFmtId="0" fontId="20" fillId="0" borderId="3" xfId="0" applyFont="1" applyBorder="1" applyAlignment="1">
      <alignment horizontal="center"/>
    </xf>
    <xf numFmtId="0" fontId="20" fillId="0" borderId="4" xfId="0" applyFont="1" applyBorder="1" applyAlignment="1">
      <alignment horizontal="center"/>
    </xf>
    <xf numFmtId="0" fontId="20" fillId="0" borderId="5" xfId="0" applyFont="1" applyBorder="1" applyAlignment="1">
      <alignment horizontal="center"/>
    </xf>
    <xf numFmtId="0" fontId="29" fillId="0" borderId="3" xfId="0" applyFont="1" applyBorder="1" applyAlignment="1">
      <alignment horizontal="center"/>
    </xf>
    <xf numFmtId="0" fontId="29" fillId="0" borderId="4" xfId="0" applyFont="1" applyBorder="1" applyAlignment="1">
      <alignment horizontal="center"/>
    </xf>
    <xf numFmtId="0" fontId="29" fillId="0" borderId="5" xfId="0" applyFont="1" applyBorder="1" applyAlignment="1">
      <alignment horizontal="center"/>
    </xf>
    <xf numFmtId="0" fontId="20" fillId="0" borderId="11" xfId="0" applyFont="1" applyBorder="1" applyAlignment="1">
      <alignment horizontal="center"/>
    </xf>
    <xf numFmtId="0" fontId="20" fillId="0" borderId="11" xfId="543" applyBorder="1" applyAlignment="1">
      <alignment horizontal="center"/>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7" fillId="0" borderId="1" xfId="543" applyFont="1" applyBorder="1" applyAlignment="1">
      <alignment horizontal="left" vertical="center" wrapText="1"/>
    </xf>
    <xf numFmtId="0" fontId="27" fillId="0" borderId="2" xfId="543" applyFont="1" applyBorder="1" applyAlignment="1">
      <alignment horizontal="left" vertical="center" wrapText="1"/>
    </xf>
    <xf numFmtId="0" fontId="27" fillId="0" borderId="7" xfId="543" applyFont="1" applyBorder="1" applyAlignment="1">
      <alignment horizontal="left" vertical="center" wrapText="1"/>
    </xf>
    <xf numFmtId="165" fontId="27" fillId="0" borderId="3" xfId="271" applyNumberFormat="1" applyFont="1" applyBorder="1" applyAlignment="1">
      <alignment horizontal="center"/>
    </xf>
    <xf numFmtId="165" fontId="27" fillId="0" borderId="4" xfId="271" applyNumberFormat="1" applyFont="1" applyBorder="1" applyAlignment="1">
      <alignment horizontal="center"/>
    </xf>
    <xf numFmtId="165" fontId="27" fillId="0" borderId="5" xfId="271" applyNumberFormat="1" applyFont="1" applyBorder="1" applyAlignment="1">
      <alignment horizontal="center"/>
    </xf>
    <xf numFmtId="1" fontId="29" fillId="5" borderId="11" xfId="0" applyNumberFormat="1" applyFont="1" applyFill="1" applyBorder="1" applyAlignment="1" applyProtection="1">
      <alignment horizontal="center"/>
      <protection locked="0"/>
    </xf>
    <xf numFmtId="0" fontId="20"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20" fillId="0" borderId="8" xfId="543" applyBorder="1" applyAlignment="1">
      <alignment horizontal="left" vertical="center" wrapText="1"/>
    </xf>
    <xf numFmtId="0" fontId="20" fillId="0" borderId="0" xfId="543" applyAlignment="1">
      <alignment horizontal="left" vertical="center" wrapText="1"/>
    </xf>
    <xf numFmtId="0" fontId="20" fillId="0" borderId="12" xfId="543" applyBorder="1" applyAlignment="1">
      <alignment horizontal="left" vertical="center" wrapText="1"/>
    </xf>
    <xf numFmtId="168" fontId="0" fillId="0" borderId="11" xfId="0" applyNumberFormat="1" applyBorder="1"/>
    <xf numFmtId="168" fontId="0" fillId="5" borderId="11" xfId="0" applyNumberFormat="1" applyFill="1" applyBorder="1" applyProtection="1">
      <protection locked="0"/>
    </xf>
    <xf numFmtId="182" fontId="28" fillId="43" borderId="11" xfId="8721" applyNumberFormat="1" applyFont="1" applyFill="1" applyBorder="1" applyAlignment="1" applyProtection="1">
      <alignment horizontal="center" vertical="center" wrapText="1"/>
      <protection locked="0"/>
    </xf>
    <xf numFmtId="0" fontId="28" fillId="5" borderId="3" xfId="0" applyFont="1" applyFill="1" applyBorder="1" applyAlignment="1" applyProtection="1">
      <alignment horizontal="left"/>
      <protection locked="0"/>
    </xf>
    <xf numFmtId="0" fontId="28" fillId="5" borderId="4" xfId="0" applyFont="1" applyFill="1" applyBorder="1" applyAlignment="1" applyProtection="1">
      <alignment horizontal="left"/>
      <protection locked="0"/>
    </xf>
    <xf numFmtId="0" fontId="28" fillId="5" borderId="5" xfId="0" applyFont="1" applyFill="1" applyBorder="1" applyAlignment="1" applyProtection="1">
      <alignment horizontal="left"/>
      <protection locked="0"/>
    </xf>
    <xf numFmtId="0" fontId="39" fillId="5" borderId="3" xfId="543" applyFont="1" applyFill="1" applyBorder="1" applyAlignment="1" applyProtection="1">
      <alignment horizontal="center"/>
      <protection locked="0"/>
    </xf>
    <xf numFmtId="0" fontId="20" fillId="5" borderId="3" xfId="543" applyFill="1" applyBorder="1" applyAlignment="1" applyProtection="1">
      <alignment horizontal="left" vertical="top" wrapText="1"/>
      <protection locked="0"/>
    </xf>
    <xf numFmtId="0" fontId="29" fillId="5" borderId="4" xfId="543" applyFont="1" applyFill="1" applyBorder="1" applyAlignment="1" applyProtection="1">
      <alignment horizontal="left" vertical="top" wrapText="1"/>
      <protection locked="0"/>
    </xf>
    <xf numFmtId="0" fontId="29" fillId="5" borderId="5" xfId="543" applyFont="1" applyFill="1" applyBorder="1" applyAlignment="1" applyProtection="1">
      <alignment horizontal="left" vertical="top" wrapText="1"/>
      <protection locked="0"/>
    </xf>
    <xf numFmtId="0" fontId="0" fillId="0" borderId="9" xfId="0" applyBorder="1" applyAlignment="1">
      <alignment horizontal="left"/>
    </xf>
    <xf numFmtId="168" fontId="27" fillId="0" borderId="3" xfId="543" applyNumberFormat="1" applyFont="1" applyBorder="1" applyAlignment="1">
      <alignment horizontal="center" vertical="center"/>
    </xf>
    <xf numFmtId="168" fontId="27" fillId="0" borderId="4" xfId="543" applyNumberFormat="1" applyFont="1" applyBorder="1" applyAlignment="1">
      <alignment horizontal="center" vertical="center"/>
    </xf>
    <xf numFmtId="168" fontId="27" fillId="0" borderId="5" xfId="543" applyNumberFormat="1" applyFont="1" applyBorder="1" applyAlignment="1">
      <alignment horizontal="center" vertical="center"/>
    </xf>
    <xf numFmtId="0" fontId="20" fillId="0" borderId="8" xfId="0" applyFont="1" applyBorder="1" applyAlignment="1">
      <alignment horizontal="left" wrapText="1"/>
    </xf>
    <xf numFmtId="0" fontId="20" fillId="0" borderId="12" xfId="0" applyFont="1" applyBorder="1" applyAlignment="1">
      <alignment horizontal="left" wrapText="1"/>
    </xf>
    <xf numFmtId="0" fontId="20" fillId="0" borderId="9" xfId="0" applyFont="1" applyBorder="1" applyAlignment="1">
      <alignment horizontal="left" wrapText="1"/>
    </xf>
    <xf numFmtId="0" fontId="20" fillId="0" borderId="6" xfId="0" applyFont="1" applyBorder="1" applyAlignment="1">
      <alignment horizontal="left" wrapText="1"/>
    </xf>
    <xf numFmtId="0" fontId="20" fillId="0" borderId="10" xfId="0" applyFont="1" applyBorder="1" applyAlignment="1">
      <alignment horizontal="left" wrapText="1"/>
    </xf>
    <xf numFmtId="0" fontId="39" fillId="5" borderId="9" xfId="543" applyFont="1" applyFill="1" applyBorder="1" applyAlignment="1" applyProtection="1">
      <alignment horizontal="center"/>
      <protection locked="0"/>
    </xf>
    <xf numFmtId="0" fontId="39" fillId="5" borderId="10" xfId="543" applyFont="1" applyFill="1" applyBorder="1" applyAlignment="1" applyProtection="1">
      <alignment horizontal="center"/>
      <protection locked="0"/>
    </xf>
    <xf numFmtId="0" fontId="27" fillId="0" borderId="1" xfId="0" applyFont="1" applyBorder="1" applyAlignment="1">
      <alignment horizontal="center" wrapText="1"/>
    </xf>
    <xf numFmtId="0" fontId="27" fillId="0" borderId="2" xfId="0" applyFont="1" applyBorder="1" applyAlignment="1">
      <alignment horizontal="center" wrapText="1"/>
    </xf>
    <xf numFmtId="0" fontId="27" fillId="0" borderId="8" xfId="0" applyFont="1" applyBorder="1" applyAlignment="1">
      <alignment horizontal="center" wrapText="1"/>
    </xf>
    <xf numFmtId="0" fontId="27" fillId="0" borderId="0" xfId="0" applyFont="1" applyAlignment="1">
      <alignment horizontal="center" wrapText="1"/>
    </xf>
    <xf numFmtId="0" fontId="27" fillId="0" borderId="9" xfId="0" applyFont="1" applyBorder="1" applyAlignment="1">
      <alignment horizontal="center" wrapText="1"/>
    </xf>
    <xf numFmtId="0" fontId="27" fillId="0" borderId="6" xfId="0" applyFont="1" applyBorder="1" applyAlignment="1">
      <alignment horizontal="center" wrapText="1"/>
    </xf>
    <xf numFmtId="168" fontId="20"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7" fillId="10" borderId="3" xfId="543" applyFont="1" applyFill="1" applyBorder="1" applyAlignment="1">
      <alignment horizontal="center"/>
    </xf>
    <xf numFmtId="0" fontId="27" fillId="10" borderId="4" xfId="543" applyFont="1" applyFill="1" applyBorder="1" applyAlignment="1">
      <alignment horizontal="center"/>
    </xf>
    <xf numFmtId="0" fontId="27" fillId="10" borderId="5" xfId="543" applyFont="1" applyFill="1" applyBorder="1" applyAlignment="1">
      <alignment horizontal="center"/>
    </xf>
    <xf numFmtId="0" fontId="39" fillId="5" borderId="3" xfId="543" applyFont="1" applyFill="1" applyBorder="1" applyAlignment="1" applyProtection="1">
      <alignment horizontal="center" vertical="top"/>
      <protection locked="0"/>
    </xf>
    <xf numFmtId="0" fontId="39" fillId="5" borderId="5" xfId="543" applyFont="1" applyFill="1" applyBorder="1" applyAlignment="1" applyProtection="1">
      <alignment horizontal="center" vertical="top"/>
      <protection locked="0"/>
    </xf>
    <xf numFmtId="0" fontId="27" fillId="0" borderId="3" xfId="543" applyFont="1" applyBorder="1" applyAlignment="1">
      <alignment horizontal="right"/>
    </xf>
    <xf numFmtId="0" fontId="27" fillId="0" borderId="4" xfId="543" applyFont="1" applyBorder="1" applyAlignment="1">
      <alignment horizontal="right"/>
    </xf>
    <xf numFmtId="0" fontId="27" fillId="0" borderId="5" xfId="543" applyFont="1" applyBorder="1" applyAlignment="1">
      <alignment horizontal="right"/>
    </xf>
    <xf numFmtId="0" fontId="47" fillId="0" borderId="8" xfId="543" applyFont="1" applyBorder="1" applyAlignment="1">
      <alignment horizontal="center" vertical="center" wrapText="1"/>
    </xf>
    <xf numFmtId="0" fontId="47" fillId="0" borderId="0" xfId="543" applyFont="1" applyAlignment="1">
      <alignment horizontal="center" vertical="center" wrapText="1"/>
    </xf>
    <xf numFmtId="0" fontId="47" fillId="0" borderId="12" xfId="543" applyFont="1" applyBorder="1" applyAlignment="1">
      <alignment horizontal="center" vertical="center" wrapText="1"/>
    </xf>
    <xf numFmtId="164" fontId="28" fillId="5" borderId="3" xfId="0" applyNumberFormat="1" applyFont="1" applyFill="1" applyBorder="1" applyAlignment="1" applyProtection="1">
      <alignment horizontal="left"/>
      <protection locked="0"/>
    </xf>
    <xf numFmtId="164" fontId="28" fillId="5" borderId="4" xfId="0" applyNumberFormat="1" applyFont="1" applyFill="1" applyBorder="1" applyAlignment="1" applyProtection="1">
      <alignment horizontal="left"/>
      <protection locked="0"/>
    </xf>
    <xf numFmtId="164" fontId="28"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7" fillId="5" borderId="3" xfId="0" applyFon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27" fillId="5" borderId="5" xfId="0" applyFont="1" applyFill="1" applyBorder="1" applyAlignment="1" applyProtection="1">
      <alignment horizontal="righ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29" fillId="0" borderId="11" xfId="0" applyFont="1" applyBorder="1" applyAlignment="1">
      <alignment horizontal="center" vertical="top" wrapText="1"/>
    </xf>
    <xf numFmtId="168" fontId="20" fillId="5" borderId="3" xfId="0" applyNumberFormat="1" applyFont="1" applyFill="1" applyBorder="1" applyAlignment="1" applyProtection="1">
      <alignment horizontal="left"/>
      <protection locked="0"/>
    </xf>
    <xf numFmtId="168" fontId="20" fillId="5" borderId="4" xfId="0" applyNumberFormat="1" applyFont="1" applyFill="1" applyBorder="1" applyAlignment="1" applyProtection="1">
      <alignment horizontal="left"/>
      <protection locked="0"/>
    </xf>
    <xf numFmtId="168" fontId="20" fillId="5" borderId="5" xfId="0" applyNumberFormat="1" applyFont="1" applyFill="1" applyBorder="1" applyAlignment="1" applyProtection="1">
      <alignment horizontal="left"/>
      <protection locked="0"/>
    </xf>
    <xf numFmtId="0" fontId="40" fillId="0" borderId="1" xfId="543" applyFont="1" applyBorder="1" applyAlignment="1">
      <alignment horizontal="right"/>
    </xf>
    <xf numFmtId="0" fontId="40" fillId="0" borderId="2" xfId="543" applyFont="1" applyBorder="1" applyAlignment="1">
      <alignment horizontal="right"/>
    </xf>
    <xf numFmtId="0" fontId="40" fillId="0" borderId="7" xfId="543" applyFont="1" applyBorder="1" applyAlignment="1">
      <alignment horizontal="right"/>
    </xf>
    <xf numFmtId="168" fontId="0" fillId="5" borderId="11" xfId="0" applyNumberFormat="1" applyFill="1" applyBorder="1" applyAlignment="1" applyProtection="1">
      <alignment horizontal="right"/>
      <protection locked="0"/>
    </xf>
    <xf numFmtId="0" fontId="29" fillId="0" borderId="1" xfId="0" applyFont="1" applyBorder="1" applyAlignment="1">
      <alignment horizontal="center" vertical="top" wrapText="1"/>
    </xf>
    <xf numFmtId="0" fontId="29" fillId="5" borderId="6" xfId="271" applyFill="1" applyBorder="1" applyProtection="1">
      <protection locked="0"/>
    </xf>
    <xf numFmtId="168" fontId="157" fillId="0" borderId="0" xfId="0" applyNumberFormat="1" applyFont="1" applyAlignment="1">
      <alignment horizontal="center" vertical="center" wrapText="1"/>
    </xf>
    <xf numFmtId="0" fontId="27" fillId="5" borderId="11" xfId="0" applyFont="1" applyFill="1" applyBorder="1" applyAlignment="1" applyProtection="1">
      <alignment horizontal="center"/>
      <protection locked="0"/>
    </xf>
    <xf numFmtId="0" fontId="27" fillId="0" borderId="11" xfId="0" applyFont="1" applyBorder="1" applyAlignment="1">
      <alignment horizontal="center"/>
    </xf>
    <xf numFmtId="168" fontId="0" fillId="0" borderId="11" xfId="0" applyNumberFormat="1" applyBorder="1" applyAlignment="1">
      <alignment horizontal="right"/>
    </xf>
    <xf numFmtId="0" fontId="27" fillId="0" borderId="7" xfId="0" applyFont="1" applyBorder="1" applyAlignment="1">
      <alignment horizontal="center" wrapText="1"/>
    </xf>
    <xf numFmtId="0" fontId="27" fillId="0" borderId="10" xfId="0" applyFont="1" applyBorder="1" applyAlignment="1">
      <alignment horizontal="center" wrapText="1"/>
    </xf>
    <xf numFmtId="1" fontId="20" fillId="0" borderId="3" xfId="0" applyNumberFormat="1" applyFont="1" applyBorder="1" applyAlignment="1">
      <alignment horizontal="center"/>
    </xf>
    <xf numFmtId="1" fontId="29" fillId="0" borderId="4" xfId="0" applyNumberFormat="1" applyFont="1" applyBorder="1" applyAlignment="1">
      <alignment horizontal="center"/>
    </xf>
    <xf numFmtId="1" fontId="29" fillId="0" borderId="5" xfId="0" applyNumberFormat="1" applyFont="1" applyBorder="1" applyAlignment="1">
      <alignment horizontal="center"/>
    </xf>
    <xf numFmtId="9" fontId="20" fillId="5" borderId="3" xfId="0" applyNumberFormat="1" applyFont="1" applyFill="1" applyBorder="1" applyAlignment="1" applyProtection="1">
      <alignment horizontal="right"/>
      <protection locked="0"/>
    </xf>
    <xf numFmtId="0" fontId="20" fillId="0" borderId="0" xfId="543" applyAlignment="1">
      <alignment horizontal="center"/>
    </xf>
    <xf numFmtId="2" fontId="20" fillId="0" borderId="0" xfId="543" applyNumberFormat="1" applyAlignment="1">
      <alignment horizontal="center"/>
    </xf>
    <xf numFmtId="168" fontId="0" fillId="0" borderId="11" xfId="0" applyNumberFormat="1" applyBorder="1" applyAlignment="1">
      <alignment horizontal="center"/>
    </xf>
    <xf numFmtId="171" fontId="20" fillId="0" borderId="0" xfId="543" applyNumberFormat="1" applyAlignment="1">
      <alignment horizontal="center"/>
    </xf>
    <xf numFmtId="0" fontId="27" fillId="0" borderId="1" xfId="0" applyFont="1" applyBorder="1" applyAlignment="1">
      <alignment horizontal="center"/>
    </xf>
    <xf numFmtId="0" fontId="27" fillId="0" borderId="2" xfId="0" applyFont="1" applyBorder="1" applyAlignment="1">
      <alignment horizontal="center"/>
    </xf>
    <xf numFmtId="0" fontId="27" fillId="0" borderId="7" xfId="0" applyFont="1" applyBorder="1" applyAlignment="1">
      <alignment horizontal="center"/>
    </xf>
    <xf numFmtId="0" fontId="29" fillId="0" borderId="3" xfId="0" applyFont="1" applyBorder="1" applyAlignment="1">
      <alignment horizontal="left"/>
    </xf>
    <xf numFmtId="0" fontId="0" fillId="0" borderId="4" xfId="0" applyBorder="1" applyAlignment="1">
      <alignment horizontal="left"/>
    </xf>
    <xf numFmtId="0" fontId="27" fillId="0" borderId="12" xfId="0" applyFont="1" applyBorder="1" applyAlignment="1">
      <alignment horizontal="center" wrapText="1"/>
    </xf>
    <xf numFmtId="14" fontId="0" fillId="5" borderId="3" xfId="0" quotePrefix="1" applyNumberFormat="1" applyFill="1" applyBorder="1" applyAlignment="1" applyProtection="1">
      <alignment horizontal="right"/>
      <protection locked="0"/>
    </xf>
    <xf numFmtId="171" fontId="20" fillId="0" borderId="0" xfId="543" applyNumberFormat="1" applyAlignment="1">
      <alignment horizontal="right"/>
    </xf>
    <xf numFmtId="0" fontId="0" fillId="0" borderId="3" xfId="0" applyBorder="1" applyAlignment="1">
      <alignment horizontal="left"/>
    </xf>
    <xf numFmtId="0" fontId="43" fillId="0" borderId="3" xfId="0" applyFont="1" applyBorder="1" applyAlignment="1">
      <alignment horizontal="center"/>
    </xf>
    <xf numFmtId="0" fontId="43" fillId="0" borderId="4" xfId="0" applyFont="1" applyBorder="1" applyAlignment="1">
      <alignment horizontal="center"/>
    </xf>
    <xf numFmtId="0" fontId="43" fillId="0" borderId="5" xfId="0" applyFont="1" applyBorder="1" applyAlignment="1">
      <alignment horizontal="center"/>
    </xf>
    <xf numFmtId="0" fontId="39" fillId="5" borderId="3" xfId="543" applyFont="1" applyFill="1" applyBorder="1" applyAlignment="1">
      <alignment horizontal="center"/>
    </xf>
    <xf numFmtId="0" fontId="39" fillId="5" borderId="4" xfId="543" applyFont="1" applyFill="1" applyBorder="1" applyAlignment="1">
      <alignment horizontal="center"/>
    </xf>
    <xf numFmtId="0" fontId="39" fillId="5" borderId="5" xfId="543" applyFont="1" applyFill="1" applyBorder="1" applyAlignment="1">
      <alignment horizontal="center"/>
    </xf>
    <xf numFmtId="49" fontId="20" fillId="5" borderId="3" xfId="543" applyNumberFormat="1" applyFill="1" applyBorder="1" applyAlignment="1">
      <alignment horizontal="center"/>
    </xf>
    <xf numFmtId="49" fontId="20" fillId="5" borderId="5" xfId="543" applyNumberFormat="1" applyFill="1" applyBorder="1" applyAlignment="1">
      <alignment horizontal="center"/>
    </xf>
    <xf numFmtId="14" fontId="0" fillId="5" borderId="4" xfId="0" applyNumberFormat="1" applyFill="1" applyBorder="1" applyAlignment="1" applyProtection="1">
      <alignment horizontal="center"/>
      <protection locked="0"/>
    </xf>
    <xf numFmtId="0" fontId="20" fillId="5" borderId="11" xfId="0" applyFont="1" applyFill="1" applyBorder="1" applyAlignment="1" applyProtection="1">
      <alignment horizontal="left" wrapText="1"/>
      <protection locked="0"/>
    </xf>
    <xf numFmtId="0" fontId="27" fillId="0" borderId="1"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10" fontId="0" fillId="5" borderId="4" xfId="0" applyNumberForma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27" fillId="0" borderId="11" xfId="0" applyFont="1" applyBorder="1" applyAlignment="1">
      <alignment horizontal="center" vertical="center"/>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0" xfId="0" applyFont="1" applyAlignment="1">
      <alignment horizontal="center" vertical="center" wrapText="1"/>
    </xf>
    <xf numFmtId="0" fontId="36" fillId="0" borderId="12"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10" xfId="0" applyFont="1" applyBorder="1" applyAlignment="1">
      <alignment horizontal="center" vertical="center" wrapText="1"/>
    </xf>
    <xf numFmtId="3" fontId="29" fillId="5" borderId="11" xfId="0" applyNumberFormat="1" applyFont="1" applyFill="1" applyBorder="1" applyAlignment="1" applyProtection="1">
      <alignment horizontal="center"/>
      <protection locked="0"/>
    </xf>
    <xf numFmtId="0" fontId="20" fillId="0" borderId="3" xfId="0" applyFont="1" applyBorder="1" applyAlignment="1">
      <alignment horizontal="left"/>
    </xf>
    <xf numFmtId="0" fontId="20" fillId="0" borderId="4" xfId="0" applyFont="1" applyBorder="1" applyAlignment="1">
      <alignment horizontal="left"/>
    </xf>
    <xf numFmtId="0" fontId="20" fillId="0" borderId="5" xfId="0" applyFont="1" applyBorder="1" applyAlignment="1">
      <alignment horizontal="left"/>
    </xf>
    <xf numFmtId="168" fontId="56" fillId="0" borderId="2" xfId="0" applyNumberFormat="1" applyFont="1" applyBorder="1" applyAlignment="1">
      <alignment horizontal="left" vertical="top" wrapText="1"/>
    </xf>
    <xf numFmtId="168" fontId="56" fillId="0" borderId="0" xfId="0" applyNumberFormat="1" applyFont="1" applyAlignment="1">
      <alignment horizontal="left" vertical="top" wrapText="1"/>
    </xf>
    <xf numFmtId="168" fontId="29" fillId="5" borderId="6" xfId="0" applyNumberFormat="1" applyFont="1" applyFill="1" applyBorder="1" applyAlignment="1" applyProtection="1">
      <alignment horizontal="right"/>
      <protection locked="0"/>
    </xf>
    <xf numFmtId="168" fontId="29" fillId="5" borderId="4" xfId="0" applyNumberFormat="1" applyFont="1" applyFill="1" applyBorder="1" applyAlignment="1" applyProtection="1">
      <alignment horizontal="right"/>
      <protection locked="0"/>
    </xf>
    <xf numFmtId="178" fontId="29" fillId="5" borderId="4" xfId="0" applyNumberFormat="1" applyFont="1" applyFill="1" applyBorder="1" applyAlignment="1" applyProtection="1">
      <alignment horizontal="right"/>
      <protection locked="0"/>
    </xf>
    <xf numFmtId="0" fontId="28" fillId="43" borderId="6" xfId="0" applyFont="1" applyFill="1" applyBorder="1" applyAlignment="1" applyProtection="1">
      <alignment horizontal="left"/>
      <protection locked="0"/>
    </xf>
    <xf numFmtId="1" fontId="29" fillId="5" borderId="3" xfId="0" applyNumberFormat="1" applyFont="1" applyFill="1" applyBorder="1" applyAlignment="1" applyProtection="1">
      <alignment horizontal="right" vertical="top"/>
      <protection locked="0"/>
    </xf>
    <xf numFmtId="1" fontId="29" fillId="5" borderId="4" xfId="0" applyNumberFormat="1" applyFont="1" applyFill="1" applyBorder="1" applyAlignment="1" applyProtection="1">
      <alignment horizontal="right" vertical="top"/>
      <protection locked="0"/>
    </xf>
    <xf numFmtId="1" fontId="29" fillId="5" borderId="5" xfId="0" applyNumberFormat="1" applyFont="1" applyFill="1" applyBorder="1" applyAlignment="1" applyProtection="1">
      <alignment horizontal="right" vertical="top"/>
      <protection locked="0"/>
    </xf>
    <xf numFmtId="0" fontId="20" fillId="0" borderId="3" xfId="271" applyFont="1" applyBorder="1" applyAlignment="1">
      <alignment horizontal="left"/>
    </xf>
    <xf numFmtId="0" fontId="20" fillId="0" borderId="4" xfId="271" applyFont="1" applyBorder="1" applyAlignment="1">
      <alignment horizontal="left"/>
    </xf>
    <xf numFmtId="0" fontId="20" fillId="0" borderId="5" xfId="271" applyFont="1" applyBorder="1" applyAlignment="1">
      <alignment horizontal="left"/>
    </xf>
    <xf numFmtId="0" fontId="27" fillId="0" borderId="4" xfId="0" applyFont="1" applyBorder="1" applyAlignment="1">
      <alignment horizontal="center"/>
    </xf>
    <xf numFmtId="0" fontId="27" fillId="0" borderId="5" xfId="0" applyFont="1" applyBorder="1" applyAlignment="1">
      <alignment horizontal="center"/>
    </xf>
    <xf numFmtId="14" fontId="29"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0" fontId="29" fillId="0" borderId="11" xfId="0" applyNumberFormat="1" applyFont="1" applyBorder="1" applyAlignment="1">
      <alignment horizontal="center"/>
    </xf>
    <xf numFmtId="168" fontId="0" fillId="43" borderId="6" xfId="0" applyNumberFormat="1" applyFill="1" applyBorder="1" applyAlignment="1" applyProtection="1">
      <alignment horizontal="right"/>
      <protection locked="0"/>
    </xf>
    <xf numFmtId="0" fontId="0" fillId="0" borderId="5" xfId="0" applyBorder="1" applyAlignment="1">
      <alignment horizontal="left"/>
    </xf>
    <xf numFmtId="0" fontId="27" fillId="0" borderId="3" xfId="0" applyFont="1" applyBorder="1" applyAlignment="1">
      <alignment horizontal="center"/>
    </xf>
    <xf numFmtId="172" fontId="27" fillId="0" borderId="11" xfId="0" applyNumberFormat="1" applyFont="1" applyBorder="1" applyAlignment="1">
      <alignment horizontal="center" vertical="center" wrapText="1"/>
    </xf>
    <xf numFmtId="0" fontId="0" fillId="0" borderId="6" xfId="0" applyBorder="1" applyAlignment="1" applyProtection="1">
      <alignment horizontal="center"/>
      <protection locked="0"/>
    </xf>
    <xf numFmtId="0" fontId="29" fillId="5" borderId="11" xfId="0" applyFont="1" applyFill="1" applyBorder="1" applyAlignment="1" applyProtection="1">
      <alignment horizontal="center"/>
      <protection locked="0"/>
    </xf>
    <xf numFmtId="0" fontId="20"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2" fontId="0" fillId="5" borderId="6" xfId="0" applyNumberFormat="1" applyFill="1" applyBorder="1" applyAlignment="1" applyProtection="1">
      <alignment horizontal="center"/>
      <protection locked="0"/>
    </xf>
    <xf numFmtId="168" fontId="29" fillId="0" borderId="11" xfId="0" applyNumberFormat="1" applyFont="1" applyBorder="1" applyAlignment="1">
      <alignment horizontal="center"/>
    </xf>
    <xf numFmtId="168" fontId="29" fillId="0" borderId="3" xfId="0" applyNumberFormat="1" applyFont="1" applyBorder="1" applyAlignment="1">
      <alignment horizontal="left" vertical="top"/>
    </xf>
    <xf numFmtId="168" fontId="29" fillId="0" borderId="4" xfId="0" applyNumberFormat="1" applyFont="1" applyBorder="1" applyAlignment="1">
      <alignment horizontal="left" vertical="top"/>
    </xf>
    <xf numFmtId="168" fontId="29" fillId="0" borderId="5" xfId="0" applyNumberFormat="1" applyFont="1" applyBorder="1" applyAlignment="1">
      <alignment horizontal="left" vertical="top"/>
    </xf>
    <xf numFmtId="0" fontId="27" fillId="0" borderId="9" xfId="0" applyFont="1" applyBorder="1" applyAlignment="1">
      <alignment horizontal="right"/>
    </xf>
    <xf numFmtId="0" fontId="27" fillId="0" borderId="6" xfId="0" applyFont="1" applyBorder="1" applyAlignment="1">
      <alignment horizontal="right"/>
    </xf>
    <xf numFmtId="0" fontId="27" fillId="0" borderId="10" xfId="0" applyFont="1" applyBorder="1" applyAlignment="1">
      <alignment horizontal="right"/>
    </xf>
    <xf numFmtId="14" fontId="0" fillId="5" borderId="6" xfId="0" applyNumberFormat="1" applyFill="1" applyBorder="1" applyAlignment="1" applyProtection="1">
      <alignment horizontal="center"/>
      <protection locked="0"/>
    </xf>
    <xf numFmtId="0" fontId="29" fillId="0" borderId="11" xfId="0" applyFont="1" applyBorder="1" applyAlignment="1">
      <alignment horizontal="center"/>
    </xf>
    <xf numFmtId="9" fontId="20" fillId="0" borderId="0" xfId="543" applyNumberFormat="1" applyAlignment="1">
      <alignment horizontal="center" vertical="center"/>
    </xf>
    <xf numFmtId="0" fontId="0" fillId="5" borderId="3" xfId="0" quotePrefix="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0" fontId="27" fillId="0" borderId="2" xfId="0" applyFont="1" applyBorder="1" applyAlignment="1">
      <alignment horizontal="right"/>
    </xf>
    <xf numFmtId="0" fontId="27" fillId="0" borderId="7" xfId="0" applyFont="1" applyBorder="1" applyAlignment="1">
      <alignment horizontal="right"/>
    </xf>
    <xf numFmtId="168" fontId="20" fillId="5" borderId="10" xfId="0" applyNumberFormat="1" applyFont="1" applyFill="1" applyBorder="1" applyAlignment="1" applyProtection="1">
      <alignment horizontal="right"/>
      <protection locked="0"/>
    </xf>
    <xf numFmtId="168" fontId="20" fillId="5" borderId="13" xfId="0" applyNumberFormat="1" applyFont="1" applyFill="1" applyBorder="1" applyAlignment="1" applyProtection="1">
      <alignment horizontal="right"/>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0" fillId="5" borderId="3" xfId="0" applyFont="1" applyFill="1" applyBorder="1" applyProtection="1">
      <protection locked="0"/>
    </xf>
    <xf numFmtId="0" fontId="29" fillId="0" borderId="4" xfId="0" applyFont="1" applyBorder="1" applyProtection="1">
      <protection locked="0"/>
    </xf>
    <xf numFmtId="0" fontId="29" fillId="0" borderId="5" xfId="0" applyFont="1" applyBorder="1" applyProtection="1">
      <protection locked="0"/>
    </xf>
    <xf numFmtId="0" fontId="0" fillId="43" borderId="3" xfId="0" applyFill="1" applyBorder="1" applyAlignment="1" applyProtection="1">
      <alignment horizontal="center"/>
      <protection locked="0"/>
    </xf>
    <xf numFmtId="0" fontId="0" fillId="43" borderId="4" xfId="0" applyFill="1" applyBorder="1" applyAlignment="1" applyProtection="1">
      <alignment horizontal="center"/>
      <protection locked="0"/>
    </xf>
    <xf numFmtId="0" fontId="0" fillId="43" borderId="5" xfId="0" applyFill="1" applyBorder="1" applyAlignment="1" applyProtection="1">
      <alignment horizontal="center"/>
      <protection locked="0"/>
    </xf>
    <xf numFmtId="0" fontId="27" fillId="0" borderId="6" xfId="0" applyFont="1" applyBorder="1" applyAlignment="1">
      <alignment horizontal="center"/>
    </xf>
    <xf numFmtId="0" fontId="27" fillId="0" borderId="0" xfId="0" applyFont="1" applyAlignment="1">
      <alignment horizontal="center" vertical="center"/>
    </xf>
    <xf numFmtId="0" fontId="20" fillId="5" borderId="3" xfId="0" applyFont="1" applyFill="1" applyBorder="1" applyAlignment="1" applyProtection="1">
      <alignment horizontal="center"/>
      <protection locked="0"/>
    </xf>
    <xf numFmtId="49" fontId="0" fillId="5" borderId="6" xfId="0" applyNumberFormat="1" applyFill="1" applyBorder="1" applyAlignment="1" applyProtection="1">
      <alignment horizontal="center"/>
      <protection locked="0"/>
    </xf>
    <xf numFmtId="0" fontId="29" fillId="5" borderId="4" xfId="0" applyFon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1" fontId="29" fillId="5" borderId="6" xfId="0" applyNumberFormat="1" applyFont="1" applyFill="1" applyBorder="1" applyAlignment="1" applyProtection="1">
      <alignment horizontal="right"/>
      <protection locked="0"/>
    </xf>
    <xf numFmtId="0" fontId="20"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66" fontId="20" fillId="5" borderId="6" xfId="0" applyNumberFormat="1" applyFont="1" applyFill="1" applyBorder="1" applyAlignment="1" applyProtection="1">
      <alignment horizontal="left"/>
      <protection locked="0"/>
    </xf>
    <xf numFmtId="2" fontId="0" fillId="0" borderId="6" xfId="0" applyNumberFormat="1" applyBorder="1" applyAlignment="1">
      <alignment horizontal="center"/>
    </xf>
    <xf numFmtId="0" fontId="0" fillId="43" borderId="6" xfId="0" applyFill="1" applyBorder="1" applyAlignment="1" applyProtection="1">
      <alignment horizontal="center"/>
      <protection locked="0"/>
    </xf>
    <xf numFmtId="0" fontId="29" fillId="0" borderId="6" xfId="0" applyFont="1" applyBorder="1" applyAlignment="1">
      <alignment horizontal="left"/>
    </xf>
    <xf numFmtId="0" fontId="20" fillId="5" borderId="6" xfId="244" applyFont="1" applyFill="1" applyBorder="1" applyAlignment="1" applyProtection="1">
      <alignment horizontal="left"/>
      <protection locked="0"/>
    </xf>
    <xf numFmtId="0" fontId="20" fillId="5" borderId="0" xfId="244"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9" fillId="5" borderId="6" xfId="271" applyNumberForma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20" fillId="0" borderId="0" xfId="271" applyFont="1" applyAlignment="1">
      <alignment horizontal="left" vertical="top" wrapText="1"/>
    </xf>
    <xf numFmtId="0" fontId="20"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9"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0" fillId="5" borderId="6" xfId="271" applyNumberFormat="1" applyFont="1" applyFill="1" applyBorder="1" applyAlignment="1" applyProtection="1">
      <alignment horizontal="left"/>
      <protection locked="0"/>
    </xf>
    <xf numFmtId="0" fontId="20" fillId="0" borderId="0" xfId="0" applyFont="1" applyAlignment="1" applyProtection="1">
      <alignment horizontal="left"/>
      <protection locked="0"/>
    </xf>
    <xf numFmtId="9" fontId="28" fillId="0" borderId="3" xfId="4494" applyFont="1" applyBorder="1" applyAlignment="1" applyProtection="1">
      <alignment horizontal="center"/>
    </xf>
    <xf numFmtId="9" fontId="28" fillId="0" borderId="5" xfId="4494" applyFont="1" applyBorder="1" applyAlignment="1" applyProtection="1">
      <alignment horizontal="center"/>
    </xf>
    <xf numFmtId="0" fontId="0" fillId="5" borderId="6" xfId="0" applyFill="1" applyBorder="1" applyProtection="1">
      <protection locked="0"/>
    </xf>
    <xf numFmtId="0" fontId="154" fillId="0" borderId="0" xfId="0" applyFont="1" applyAlignment="1" applyProtection="1">
      <alignment horizontal="left" vertical="top" wrapText="1"/>
      <protection locked="0"/>
    </xf>
    <xf numFmtId="0" fontId="20" fillId="0" borderId="6" xfId="0" applyFont="1" applyBorder="1" applyAlignment="1" applyProtection="1">
      <alignment horizontal="left"/>
      <protection locked="0"/>
    </xf>
    <xf numFmtId="0" fontId="21" fillId="0" borderId="0" xfId="244" applyFill="1" applyAlignment="1" applyProtection="1">
      <alignment horizontal="left"/>
      <protection locked="0"/>
    </xf>
    <xf numFmtId="168" fontId="20"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166" fontId="29" fillId="5" borderId="4" xfId="271" applyNumberFormat="1" applyFill="1" applyBorder="1" applyAlignment="1" applyProtection="1">
      <alignment horizontal="left"/>
      <protection locked="0"/>
    </xf>
    <xf numFmtId="0" fontId="29" fillId="0" borderId="4" xfId="0" applyFont="1" applyBorder="1" applyAlignment="1" applyProtection="1">
      <alignment horizontal="left"/>
      <protection locked="0"/>
    </xf>
    <xf numFmtId="0" fontId="20" fillId="43" borderId="6" xfId="0" applyFont="1" applyFill="1" applyBorder="1" applyAlignment="1" applyProtection="1">
      <alignment vertical="center"/>
      <protection locked="0"/>
    </xf>
    <xf numFmtId="0" fontId="29" fillId="43" borderId="6" xfId="0" applyFont="1" applyFill="1" applyBorder="1" applyAlignment="1" applyProtection="1">
      <alignment horizontal="left"/>
      <protection locked="0"/>
    </xf>
    <xf numFmtId="0" fontId="20" fillId="0" borderId="6" xfId="0" applyFont="1" applyBorder="1" applyAlignment="1">
      <alignment horizontal="left"/>
    </xf>
    <xf numFmtId="0" fontId="29" fillId="5" borderId="0" xfId="0" applyFont="1" applyFill="1" applyAlignment="1" applyProtection="1">
      <alignment horizontal="left" vertical="top" wrapText="1"/>
      <protection locked="0"/>
    </xf>
    <xf numFmtId="0" fontId="29" fillId="5" borderId="6" xfId="0" applyFont="1" applyFill="1" applyBorder="1" applyAlignment="1" applyProtection="1">
      <alignment horizontal="left" vertical="top" wrapText="1"/>
      <protection locked="0"/>
    </xf>
    <xf numFmtId="165" fontId="29" fillId="5" borderId="3" xfId="0" applyNumberFormat="1" applyFont="1" applyFill="1" applyBorder="1" applyAlignment="1" applyProtection="1">
      <alignment horizontal="center"/>
      <protection locked="0"/>
    </xf>
    <xf numFmtId="165" fontId="29" fillId="5" borderId="4" xfId="0" applyNumberFormat="1" applyFont="1" applyFill="1" applyBorder="1" applyAlignment="1" applyProtection="1">
      <alignment horizontal="center"/>
      <protection locked="0"/>
    </xf>
    <xf numFmtId="165" fontId="29" fillId="5" borderId="5" xfId="0" applyNumberFormat="1" applyFont="1" applyFill="1" applyBorder="1" applyAlignment="1" applyProtection="1">
      <alignment horizontal="center"/>
      <protection locked="0"/>
    </xf>
    <xf numFmtId="168" fontId="20" fillId="0" borderId="3" xfId="0" applyNumberFormat="1" applyFont="1" applyBorder="1" applyAlignment="1">
      <alignment horizontal="left" vertical="top"/>
    </xf>
    <xf numFmtId="1" fontId="29" fillId="5" borderId="11" xfId="0" quotePrefix="1" applyNumberFormat="1" applyFont="1" applyFill="1" applyBorder="1" applyAlignment="1" applyProtection="1">
      <alignment horizontal="center"/>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68" fontId="20" fillId="0" borderId="4" xfId="0" applyNumberFormat="1" applyFont="1" applyBorder="1" applyAlignment="1">
      <alignment horizontal="left" vertical="top"/>
    </xf>
    <xf numFmtId="168" fontId="20" fillId="0" borderId="5" xfId="0" applyNumberFormat="1" applyFont="1" applyBorder="1" applyAlignment="1">
      <alignment horizontal="left" vertical="top"/>
    </xf>
    <xf numFmtId="0" fontId="0" fillId="0" borderId="12" xfId="0"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0" fontId="29" fillId="5" borderId="4" xfId="0" applyNumberFormat="1" applyFont="1" applyFill="1" applyBorder="1" applyAlignment="1" applyProtection="1">
      <alignment horizontal="right"/>
      <protection locked="0"/>
    </xf>
    <xf numFmtId="0" fontId="28"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7" fillId="0" borderId="9" xfId="0" applyFont="1" applyBorder="1" applyAlignment="1">
      <alignment horizontal="center"/>
    </xf>
    <xf numFmtId="0" fontId="39" fillId="5" borderId="6" xfId="0" applyFont="1" applyFill="1" applyBorder="1" applyAlignment="1" applyProtection="1">
      <alignment horizontal="left"/>
      <protection locked="0"/>
    </xf>
    <xf numFmtId="3" fontId="29" fillId="0" borderId="11" xfId="0" applyNumberFormat="1" applyFont="1" applyBorder="1" applyAlignment="1">
      <alignment horizontal="center"/>
    </xf>
    <xf numFmtId="0" fontId="27" fillId="0" borderId="10" xfId="0" applyFont="1" applyBorder="1" applyAlignment="1">
      <alignment horizontal="center"/>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168" fontId="185" fillId="0" borderId="105" xfId="543" applyNumberFormat="1" applyFont="1" applyBorder="1" applyAlignment="1">
      <alignment horizontal="right" vertical="center" wrapText="1"/>
    </xf>
    <xf numFmtId="175" fontId="185" fillId="0" borderId="107" xfId="543" applyNumberFormat="1" applyFont="1" applyBorder="1" applyAlignment="1">
      <alignment horizontal="center" vertical="center" wrapText="1"/>
    </xf>
    <xf numFmtId="175" fontId="185" fillId="0" borderId="108" xfId="543" applyNumberFormat="1" applyFont="1" applyBorder="1" applyAlignment="1">
      <alignment horizontal="center" vertical="center" wrapText="1"/>
    </xf>
    <xf numFmtId="175" fontId="185" fillId="0" borderId="109" xfId="543" applyNumberFormat="1" applyFont="1" applyBorder="1" applyAlignment="1">
      <alignment horizontal="center" vertical="center" wrapText="1"/>
    </xf>
    <xf numFmtId="0" fontId="184"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6" fillId="3" borderId="16" xfId="0" applyFont="1" applyFill="1" applyBorder="1" applyAlignment="1">
      <alignment horizontal="center" vertical="center" wrapText="1"/>
    </xf>
    <xf numFmtId="0" fontId="107" fillId="0" borderId="0" xfId="0" applyFont="1" applyAlignment="1">
      <alignment horizontal="left" vertical="top" wrapText="1"/>
    </xf>
    <xf numFmtId="0" fontId="21" fillId="0" borderId="0" xfId="244" applyAlignment="1">
      <alignment horizontal="left" vertical="top"/>
    </xf>
    <xf numFmtId="0" fontId="49" fillId="0" borderId="0" xfId="0" applyFont="1" applyAlignment="1">
      <alignment horizontal="left" vertical="top" wrapText="1"/>
    </xf>
    <xf numFmtId="0" fontId="115" fillId="0" borderId="0" xfId="0" applyFont="1" applyAlignment="1">
      <alignment horizontal="left" wrapText="1"/>
    </xf>
    <xf numFmtId="0" fontId="29" fillId="0" borderId="0" xfId="0" applyFont="1" applyAlignment="1">
      <alignment horizontal="left" wrapText="1"/>
    </xf>
    <xf numFmtId="0" fontId="21" fillId="0" borderId="0" xfId="244" applyAlignment="1" applyProtection="1">
      <alignment horizontal="left"/>
    </xf>
    <xf numFmtId="0" fontId="21" fillId="0" borderId="0" xfId="244"/>
    <xf numFmtId="0" fontId="0" fillId="0" borderId="0" xfId="0"/>
    <xf numFmtId="0" fontId="20" fillId="0" borderId="0" xfId="1192" applyAlignment="1">
      <alignment horizontal="left" vertical="top" wrapText="1"/>
    </xf>
    <xf numFmtId="0" fontId="27" fillId="0" borderId="0" xfId="0" applyFont="1" applyAlignment="1">
      <alignment horizontal="left" vertical="top" wrapText="1"/>
    </xf>
    <xf numFmtId="0" fontId="116" fillId="0" borderId="0" xfId="569" applyFont="1" applyAlignment="1">
      <alignment horizontal="center"/>
    </xf>
    <xf numFmtId="0" fontId="117" fillId="0" borderId="0" xfId="569" applyFont="1"/>
    <xf numFmtId="0" fontId="20" fillId="0" borderId="0" xfId="569" applyAlignment="1">
      <alignment wrapText="1"/>
    </xf>
    <xf numFmtId="0" fontId="27" fillId="0" borderId="0" xfId="569" applyFont="1" applyAlignment="1">
      <alignment wrapText="1"/>
    </xf>
    <xf numFmtId="0" fontId="35" fillId="0" borderId="0" xfId="569" applyFont="1" applyAlignment="1">
      <alignment horizontal="center"/>
    </xf>
    <xf numFmtId="0" fontId="20" fillId="0" borderId="0" xfId="569"/>
    <xf numFmtId="0" fontId="20" fillId="0" borderId="0" xfId="1192" applyAlignment="1">
      <alignment vertical="top" wrapText="1"/>
    </xf>
    <xf numFmtId="0" fontId="20" fillId="0" borderId="0" xfId="0" applyFont="1" applyAlignment="1">
      <alignment horizontal="left"/>
    </xf>
    <xf numFmtId="0" fontId="20" fillId="0" borderId="0" xfId="569" applyAlignment="1">
      <alignment vertical="top" wrapText="1"/>
    </xf>
    <xf numFmtId="0" fontId="20" fillId="0" borderId="0" xfId="0" applyFont="1" applyAlignment="1">
      <alignment horizontal="left" vertical="top"/>
    </xf>
    <xf numFmtId="0" fontId="38" fillId="0" borderId="0" xfId="0" applyFont="1" applyAlignment="1">
      <alignment horizontal="left"/>
    </xf>
    <xf numFmtId="49" fontId="20" fillId="0" borderId="0" xfId="0" applyNumberFormat="1" applyFont="1" applyAlignment="1">
      <alignment horizontal="left" vertical="top" wrapText="1"/>
    </xf>
    <xf numFmtId="49" fontId="20" fillId="0" borderId="0" xfId="1192" applyNumberFormat="1" applyAlignment="1">
      <alignment horizontal="left" vertical="top" wrapText="1"/>
    </xf>
    <xf numFmtId="0" fontId="27" fillId="0" borderId="4" xfId="0" applyFont="1" applyBorder="1" applyAlignment="1">
      <alignment horizontal="left"/>
    </xf>
    <xf numFmtId="4" fontId="38" fillId="0" borderId="0" xfId="0" applyNumberFormat="1" applyFont="1" applyAlignment="1">
      <alignment horizontal="left"/>
    </xf>
    <xf numFmtId="0" fontId="27" fillId="0" borderId="0" xfId="1192" applyFont="1" applyAlignment="1">
      <alignment horizontal="left" vertical="top" wrapText="1"/>
    </xf>
    <xf numFmtId="4" fontId="20" fillId="0" borderId="0" xfId="569" applyNumberFormat="1" applyAlignment="1">
      <alignment horizontal="left" vertical="top" wrapText="1"/>
    </xf>
    <xf numFmtId="4" fontId="20" fillId="0" borderId="0" xfId="569" applyNumberFormat="1" applyAlignment="1">
      <alignment horizontal="left"/>
    </xf>
    <xf numFmtId="0" fontId="38" fillId="0" borderId="0" xfId="569" applyFont="1" applyAlignment="1">
      <alignment horizontal="left" vertical="top"/>
    </xf>
    <xf numFmtId="4" fontId="20" fillId="0" borderId="0" xfId="0" applyNumberFormat="1" applyFont="1" applyAlignment="1">
      <alignment horizontal="left"/>
    </xf>
    <xf numFmtId="0" fontId="38" fillId="0" borderId="0" xfId="0" applyFont="1" applyAlignment="1">
      <alignment horizontal="left" vertical="top"/>
    </xf>
    <xf numFmtId="0" fontId="27" fillId="0" borderId="0" xfId="0" applyFont="1" applyAlignment="1">
      <alignment vertical="top" wrapText="1"/>
    </xf>
    <xf numFmtId="4" fontId="20" fillId="0" borderId="0" xfId="0" applyNumberFormat="1" applyFont="1" applyAlignment="1">
      <alignment horizontal="left" vertical="top" wrapText="1"/>
    </xf>
    <xf numFmtId="0" fontId="20" fillId="0" borderId="0" xfId="0" applyFont="1" applyAlignment="1">
      <alignment horizontal="left" vertical="center" wrapText="1"/>
    </xf>
    <xf numFmtId="0" fontId="20" fillId="0" borderId="0" xfId="569" applyAlignment="1">
      <alignment horizontal="left" wrapText="1"/>
    </xf>
    <xf numFmtId="0" fontId="21" fillId="0" borderId="0" xfId="244" applyFill="1" applyBorder="1" applyAlignment="1">
      <alignment horizontal="left" vertical="top" wrapText="1"/>
    </xf>
    <xf numFmtId="0" fontId="20" fillId="0" borderId="0" xfId="569" applyAlignment="1">
      <alignment horizontal="left" vertical="top" wrapText="1"/>
    </xf>
    <xf numFmtId="0" fontId="27" fillId="0" borderId="4" xfId="569" applyFont="1" applyBorder="1" applyAlignment="1">
      <alignment horizontal="left"/>
    </xf>
    <xf numFmtId="0" fontId="20" fillId="0" borderId="0" xfId="569" applyAlignment="1">
      <alignment horizontal="left"/>
    </xf>
    <xf numFmtId="0" fontId="38" fillId="0" borderId="0" xfId="569" applyFont="1" applyAlignment="1">
      <alignment horizontal="left"/>
    </xf>
    <xf numFmtId="0" fontId="27" fillId="0" borderId="4" xfId="569" applyFont="1" applyBorder="1" applyAlignment="1">
      <alignment horizontal="left" vertical="top"/>
    </xf>
    <xf numFmtId="0" fontId="21" fillId="0" borderId="0" xfId="244" quotePrefix="1" applyAlignment="1" applyProtection="1">
      <alignment horizontal="left"/>
    </xf>
    <xf numFmtId="0" fontId="20" fillId="0" borderId="0" xfId="569" applyAlignment="1">
      <alignment horizontal="left" vertical="top"/>
    </xf>
    <xf numFmtId="0" fontId="20" fillId="0" borderId="0" xfId="0" quotePrefix="1" applyFont="1" applyAlignment="1">
      <alignment horizontal="left" vertical="top"/>
    </xf>
    <xf numFmtId="0" fontId="38" fillId="0" borderId="0" xfId="0" applyFont="1" applyAlignment="1">
      <alignment horizontal="left" vertical="top" wrapText="1"/>
    </xf>
    <xf numFmtId="0" fontId="20" fillId="0" borderId="0" xfId="0" quotePrefix="1" applyFont="1" applyAlignment="1">
      <alignment horizontal="left" vertical="top" wrapText="1"/>
    </xf>
    <xf numFmtId="0" fontId="20" fillId="0" borderId="0" xfId="1192" applyAlignment="1">
      <alignment horizontal="left"/>
    </xf>
    <xf numFmtId="0" fontId="27" fillId="0" borderId="16" xfId="569" applyFont="1" applyBorder="1" applyAlignment="1">
      <alignment horizontal="left"/>
    </xf>
    <xf numFmtId="4" fontId="38" fillId="0" borderId="0" xfId="569" applyNumberFormat="1" applyFont="1" applyAlignment="1">
      <alignment horizontal="left" vertical="top" wrapText="1"/>
    </xf>
    <xf numFmtId="0" fontId="20" fillId="0" borderId="0" xfId="1192" applyAlignment="1" applyProtection="1">
      <alignment horizontal="left" vertical="top" wrapText="1"/>
      <protection locked="0"/>
    </xf>
    <xf numFmtId="0" fontId="0" fillId="0" borderId="0" xfId="0" applyAlignment="1">
      <alignment horizontal="left" vertical="top" wrapText="1"/>
    </xf>
    <xf numFmtId="0" fontId="38" fillId="0" borderId="0" xfId="1192" applyFont="1" applyAlignment="1">
      <alignment horizontal="left" vertical="top" wrapText="1"/>
    </xf>
    <xf numFmtId="4" fontId="20" fillId="0" borderId="0" xfId="1192" applyNumberFormat="1" applyAlignment="1">
      <alignment horizontal="left" vertical="top" wrapText="1"/>
    </xf>
    <xf numFmtId="4" fontId="38" fillId="0" borderId="0" xfId="0" applyNumberFormat="1" applyFont="1" applyAlignment="1">
      <alignment horizontal="left" vertical="top" wrapText="1"/>
    </xf>
    <xf numFmtId="0" fontId="27" fillId="0" borderId="4" xfId="0" applyFont="1" applyBorder="1" applyAlignment="1">
      <alignment horizontal="left" vertical="top"/>
    </xf>
    <xf numFmtId="0" fontId="38" fillId="0" borderId="0" xfId="569" applyFont="1" applyAlignment="1">
      <alignment horizontal="left" vertical="top" wrapText="1"/>
    </xf>
    <xf numFmtId="0" fontId="20" fillId="0" borderId="27" xfId="569" applyBorder="1" applyAlignment="1">
      <alignment horizontal="left"/>
    </xf>
    <xf numFmtId="0" fontId="27" fillId="0" borderId="0" xfId="569" applyFont="1" applyAlignment="1">
      <alignment horizontal="center"/>
    </xf>
    <xf numFmtId="0" fontId="21" fillId="0" borderId="0" xfId="244" applyNumberFormat="1" applyFill="1" applyAlignment="1" applyProtection="1">
      <alignment horizontal="left"/>
    </xf>
    <xf numFmtId="0" fontId="38" fillId="0" borderId="0" xfId="569" applyFont="1" applyAlignment="1">
      <alignment horizontal="left" wrapText="1"/>
    </xf>
    <xf numFmtId="0" fontId="38" fillId="0" borderId="0" xfId="569" applyFont="1" applyAlignment="1">
      <alignment horizontal="center" wrapText="1"/>
    </xf>
    <xf numFmtId="0" fontId="20" fillId="0" borderId="0" xfId="569" applyAlignment="1">
      <alignment horizontal="left" vertical="center" wrapText="1"/>
    </xf>
    <xf numFmtId="0" fontId="27" fillId="0" borderId="0" xfId="0" applyFont="1" applyAlignment="1">
      <alignment horizontal="left" vertical="top"/>
    </xf>
    <xf numFmtId="0" fontId="27" fillId="0" borderId="0" xfId="569" applyFont="1" applyAlignment="1">
      <alignment horizontal="left"/>
    </xf>
    <xf numFmtId="0" fontId="38" fillId="0" borderId="0" xfId="1192" applyFont="1" applyAlignment="1">
      <alignment horizontal="left"/>
    </xf>
    <xf numFmtId="0" fontId="21" fillId="0" borderId="0" xfId="244" applyAlignment="1" applyProtection="1">
      <alignment horizontal="left" vertical="top" wrapText="1"/>
    </xf>
    <xf numFmtId="0" fontId="38" fillId="0" borderId="0" xfId="569" applyFont="1" applyAlignment="1">
      <alignment horizontal="center"/>
    </xf>
    <xf numFmtId="0" fontId="61" fillId="2" borderId="3" xfId="0" applyFont="1" applyFill="1" applyBorder="1" applyAlignment="1">
      <alignment horizontal="center" vertical="top"/>
    </xf>
    <xf numFmtId="0" fontId="61" fillId="2" borderId="4" xfId="0" applyFont="1" applyFill="1" applyBorder="1" applyAlignment="1">
      <alignment horizontal="center" vertical="top"/>
    </xf>
    <xf numFmtId="0" fontId="61" fillId="2" borderId="5" xfId="0" applyFont="1" applyFill="1" applyBorder="1" applyAlignment="1">
      <alignment horizontal="center" vertical="top"/>
    </xf>
    <xf numFmtId="0" fontId="29" fillId="0" borderId="6" xfId="0" applyFont="1" applyBorder="1" applyAlignment="1">
      <alignment vertical="top" wrapText="1"/>
    </xf>
    <xf numFmtId="177" fontId="29" fillId="5" borderId="6" xfId="0" applyNumberFormat="1" applyFont="1" applyFill="1" applyBorder="1" applyAlignment="1" applyProtection="1">
      <alignment horizontal="left" vertical="top" wrapText="1"/>
      <protection locked="0"/>
    </xf>
    <xf numFmtId="0" fontId="29" fillId="0" borderId="2" xfId="0" applyFont="1" applyBorder="1" applyAlignment="1">
      <alignment vertical="top" wrapText="1"/>
    </xf>
    <xf numFmtId="0" fontId="56" fillId="0" borderId="0" xfId="0" applyFont="1" applyAlignment="1">
      <alignment vertical="top" wrapText="1"/>
    </xf>
    <xf numFmtId="0" fontId="29" fillId="0" borderId="2" xfId="0" applyFont="1" applyBorder="1" applyAlignment="1">
      <alignment horizontal="left" vertical="top" wrapText="1"/>
    </xf>
    <xf numFmtId="0" fontId="57" fillId="0" borderId="0" xfId="0" applyFont="1" applyAlignment="1">
      <alignment vertical="top" wrapText="1"/>
    </xf>
    <xf numFmtId="0" fontId="29" fillId="0" borderId="0" xfId="0" applyFont="1" applyAlignment="1">
      <alignment vertical="top" wrapText="1"/>
    </xf>
    <xf numFmtId="0" fontId="29" fillId="0" borderId="6" xfId="0" applyFont="1" applyBorder="1" applyAlignment="1">
      <alignment horizontal="right" vertical="top" wrapText="1"/>
    </xf>
    <xf numFmtId="0" fontId="57" fillId="0" borderId="0" xfId="569" applyFont="1" applyAlignment="1">
      <alignment vertical="top" wrapText="1"/>
    </xf>
    <xf numFmtId="0" fontId="20" fillId="0" borderId="0" xfId="569" applyAlignment="1">
      <alignment horizontal="right" vertical="top" wrapText="1"/>
    </xf>
    <xf numFmtId="0" fontId="26" fillId="3" borderId="3" xfId="0" applyFont="1" applyFill="1" applyBorder="1" applyAlignment="1">
      <alignment horizontal="left" vertical="top"/>
    </xf>
    <xf numFmtId="0" fontId="26" fillId="3" borderId="4" xfId="0" applyFont="1" applyFill="1" applyBorder="1" applyAlignment="1">
      <alignment horizontal="left" vertical="top"/>
    </xf>
    <xf numFmtId="0" fontId="26" fillId="3" borderId="5" xfId="0" applyFont="1" applyFill="1" applyBorder="1" applyAlignment="1">
      <alignment horizontal="left" vertical="top"/>
    </xf>
    <xf numFmtId="0" fontId="4" fillId="45" borderId="3" xfId="8736" applyFill="1" applyBorder="1" applyAlignment="1">
      <alignment horizontal="center"/>
    </xf>
    <xf numFmtId="0" fontId="4" fillId="45" borderId="4" xfId="8736" applyFill="1" applyBorder="1" applyAlignment="1">
      <alignment horizontal="center"/>
    </xf>
    <xf numFmtId="0" fontId="4" fillId="45" borderId="5" xfId="8736" applyFill="1" applyBorder="1" applyAlignment="1">
      <alignment horizontal="center"/>
    </xf>
    <xf numFmtId="0" fontId="170" fillId="44" borderId="80" xfId="8736" applyFont="1" applyFill="1" applyBorder="1" applyAlignment="1">
      <alignment horizontal="left"/>
    </xf>
    <xf numFmtId="0" fontId="170" fillId="44" borderId="79" xfId="8736" applyFont="1" applyFill="1" applyBorder="1" applyAlignment="1">
      <alignment horizontal="left"/>
    </xf>
    <xf numFmtId="0" fontId="170" fillId="44" borderId="78" xfId="8736" applyFont="1" applyFill="1" applyBorder="1" applyAlignment="1">
      <alignment horizontal="left"/>
    </xf>
    <xf numFmtId="0" fontId="171" fillId="45" borderId="11" xfId="8736" applyFont="1" applyFill="1" applyBorder="1" applyAlignment="1">
      <alignment horizontal="right"/>
    </xf>
    <xf numFmtId="1" fontId="170" fillId="48" borderId="11" xfId="8736" applyNumberFormat="1" applyFont="1" applyFill="1" applyBorder="1" applyAlignment="1" applyProtection="1">
      <alignment horizontal="center"/>
      <protection locked="0"/>
    </xf>
    <xf numFmtId="0" fontId="182" fillId="51" borderId="65" xfId="8736" applyFont="1" applyFill="1" applyBorder="1" applyAlignment="1">
      <alignment horizontal="center"/>
    </xf>
    <xf numFmtId="0" fontId="182" fillId="51" borderId="29" xfId="8736" applyFont="1" applyFill="1" applyBorder="1" applyAlignment="1">
      <alignment horizontal="center"/>
    </xf>
    <xf numFmtId="0" fontId="182" fillId="51" borderId="31" xfId="8736" applyFont="1" applyFill="1" applyBorder="1" applyAlignment="1">
      <alignment horizontal="center"/>
    </xf>
    <xf numFmtId="0" fontId="167" fillId="48" borderId="66" xfId="8736" applyFont="1" applyFill="1" applyBorder="1" applyAlignment="1">
      <alignment horizontal="center"/>
    </xf>
    <xf numFmtId="0" fontId="167" fillId="48" borderId="0" xfId="8736" applyFont="1" applyFill="1" applyAlignment="1">
      <alignment horizontal="center"/>
    </xf>
    <xf numFmtId="0" fontId="167" fillId="48" borderId="41" xfId="8736" applyFont="1" applyFill="1" applyBorder="1" applyAlignment="1">
      <alignment horizontal="center"/>
    </xf>
    <xf numFmtId="0" fontId="167" fillId="45" borderId="3" xfId="8736" applyFont="1" applyFill="1" applyBorder="1" applyAlignment="1">
      <alignment horizontal="center"/>
    </xf>
    <xf numFmtId="0" fontId="167" fillId="45" borderId="4" xfId="8736" applyFont="1" applyFill="1" applyBorder="1" applyAlignment="1">
      <alignment horizontal="center"/>
    </xf>
    <xf numFmtId="0" fontId="167" fillId="45" borderId="5" xfId="8736" applyFont="1" applyFill="1" applyBorder="1" applyAlignment="1">
      <alignment horizontal="center"/>
    </xf>
    <xf numFmtId="0" fontId="177" fillId="45" borderId="11" xfId="8736" applyFont="1" applyFill="1" applyBorder="1" applyAlignment="1">
      <alignment horizontal="right"/>
    </xf>
    <xf numFmtId="14" fontId="170" fillId="48" borderId="11" xfId="8736" applyNumberFormat="1" applyFont="1" applyFill="1" applyBorder="1" applyAlignment="1" applyProtection="1">
      <alignment horizontal="center"/>
      <protection locked="0"/>
    </xf>
    <xf numFmtId="0" fontId="170" fillId="48" borderId="11" xfId="8736" applyFont="1" applyFill="1" applyBorder="1" applyAlignment="1" applyProtection="1">
      <alignment horizontal="center"/>
      <protection locked="0"/>
    </xf>
    <xf numFmtId="0" fontId="4" fillId="44" borderId="80" xfId="8736" applyFill="1" applyBorder="1" applyAlignment="1">
      <alignment horizontal="center"/>
    </xf>
    <xf numFmtId="0" fontId="4" fillId="44" borderId="79" xfId="8736" applyFill="1" applyBorder="1" applyAlignment="1">
      <alignment horizontal="center"/>
    </xf>
    <xf numFmtId="0" fontId="4" fillId="44" borderId="78" xfId="8736" applyFill="1" applyBorder="1" applyAlignment="1">
      <alignment horizontal="center"/>
    </xf>
    <xf numFmtId="0" fontId="104" fillId="45" borderId="80" xfId="8736" applyFont="1" applyFill="1" applyBorder="1" applyAlignment="1">
      <alignment horizontal="center"/>
    </xf>
    <xf numFmtId="0" fontId="104" fillId="45" borderId="79" xfId="8736" applyFont="1" applyFill="1" applyBorder="1" applyAlignment="1">
      <alignment horizontal="center"/>
    </xf>
    <xf numFmtId="0" fontId="104" fillId="45" borderId="78" xfId="8736" applyFont="1" applyFill="1" applyBorder="1" applyAlignment="1">
      <alignment horizontal="center"/>
    </xf>
    <xf numFmtId="0" fontId="170" fillId="48" borderId="80" xfId="8736" applyFont="1" applyFill="1" applyBorder="1" applyAlignment="1" applyProtection="1">
      <alignment horizontal="center"/>
      <protection locked="0"/>
    </xf>
    <xf numFmtId="0" fontId="170" fillId="48" borderId="79" xfId="8736" applyFont="1" applyFill="1" applyBorder="1" applyAlignment="1" applyProtection="1">
      <alignment horizontal="center"/>
      <protection locked="0"/>
    </xf>
    <xf numFmtId="0" fontId="170" fillId="48" borderId="78" xfId="8736" applyFont="1" applyFill="1" applyBorder="1" applyAlignment="1" applyProtection="1">
      <alignment horizontal="center"/>
      <protection locked="0"/>
    </xf>
    <xf numFmtId="0" fontId="174" fillId="45" borderId="11" xfId="8736" applyFont="1" applyFill="1" applyBorder="1" applyAlignment="1">
      <alignment horizontal="right"/>
    </xf>
    <xf numFmtId="1" fontId="4" fillId="44" borderId="11" xfId="8736" applyNumberFormat="1" applyFill="1" applyBorder="1" applyAlignment="1">
      <alignment horizontal="center"/>
    </xf>
    <xf numFmtId="0" fontId="4" fillId="44" borderId="11" xfId="8736" applyFill="1" applyBorder="1" applyAlignment="1">
      <alignment horizontal="center"/>
    </xf>
    <xf numFmtId="0" fontId="171" fillId="45" borderId="11" xfId="8736" applyFont="1" applyFill="1" applyBorder="1" applyAlignment="1">
      <alignment horizontal="right" wrapText="1"/>
    </xf>
    <xf numFmtId="14" fontId="170" fillId="48" borderId="11" xfId="8736" applyNumberFormat="1" applyFont="1" applyFill="1" applyBorder="1" applyAlignment="1" applyProtection="1">
      <alignment horizontal="center" vertical="center"/>
      <protection locked="0"/>
    </xf>
    <xf numFmtId="0" fontId="170" fillId="48" borderId="11" xfId="8736" applyFont="1" applyFill="1" applyBorder="1" applyAlignment="1" applyProtection="1">
      <alignment horizontal="center" vertical="center"/>
      <protection locked="0"/>
    </xf>
    <xf numFmtId="168" fontId="175" fillId="44" borderId="11" xfId="8737" applyNumberFormat="1" applyFont="1" applyFill="1" applyBorder="1" applyAlignment="1" applyProtection="1">
      <alignment horizontal="left"/>
    </xf>
    <xf numFmtId="0" fontId="104" fillId="45" borderId="80" xfId="8736" applyFont="1" applyFill="1" applyBorder="1" applyAlignment="1">
      <alignment horizontal="right"/>
    </xf>
    <xf numFmtId="0" fontId="104" fillId="45" borderId="79" xfId="8736" applyFont="1" applyFill="1" applyBorder="1" applyAlignment="1">
      <alignment horizontal="right"/>
    </xf>
    <xf numFmtId="0" fontId="104" fillId="45" borderId="103" xfId="8736" applyFont="1" applyFill="1" applyBorder="1" applyAlignment="1">
      <alignment horizontal="right"/>
    </xf>
    <xf numFmtId="0" fontId="4" fillId="44" borderId="84" xfId="8736" applyFill="1" applyBorder="1" applyAlignment="1">
      <alignment horizontal="center"/>
    </xf>
    <xf numFmtId="0" fontId="4" fillId="44" borderId="102" xfId="8736" applyFill="1" applyBorder="1" applyAlignment="1">
      <alignment horizontal="center"/>
    </xf>
    <xf numFmtId="0" fontId="167" fillId="45" borderId="93" xfId="8736" applyFont="1" applyFill="1" applyBorder="1" applyAlignment="1">
      <alignment horizontal="center"/>
    </xf>
    <xf numFmtId="0" fontId="167" fillId="45" borderId="92" xfId="8736" applyFont="1" applyFill="1" applyBorder="1" applyAlignment="1">
      <alignment horizontal="center"/>
    </xf>
    <xf numFmtId="0" fontId="167" fillId="45" borderId="91" xfId="8736" applyFont="1" applyFill="1" applyBorder="1" applyAlignment="1">
      <alignment horizontal="center"/>
    </xf>
    <xf numFmtId="0" fontId="174" fillId="45" borderId="97" xfId="8736" applyFont="1" applyFill="1" applyBorder="1" applyAlignment="1">
      <alignment horizontal="center"/>
    </xf>
    <xf numFmtId="0" fontId="174" fillId="45" borderId="2" xfId="8736" applyFont="1" applyFill="1" applyBorder="1" applyAlignment="1">
      <alignment horizontal="center"/>
    </xf>
    <xf numFmtId="0" fontId="174" fillId="45" borderId="7" xfId="8736" applyFont="1" applyFill="1" applyBorder="1" applyAlignment="1">
      <alignment horizontal="center"/>
    </xf>
    <xf numFmtId="0" fontId="174" fillId="45" borderId="3" xfId="8736" applyFont="1" applyFill="1" applyBorder="1" applyAlignment="1">
      <alignment horizontal="center"/>
    </xf>
    <xf numFmtId="0" fontId="174" fillId="45" borderId="4" xfId="8736" applyFont="1" applyFill="1" applyBorder="1" applyAlignment="1">
      <alignment horizontal="center"/>
    </xf>
    <xf numFmtId="0" fontId="174" fillId="45" borderId="5" xfId="8736" applyFont="1" applyFill="1" applyBorder="1" applyAlignment="1">
      <alignment horizontal="center"/>
    </xf>
    <xf numFmtId="0" fontId="174" fillId="45" borderId="81" xfId="8736" applyFont="1" applyFill="1" applyBorder="1" applyAlignment="1">
      <alignment horizontal="center"/>
    </xf>
    <xf numFmtId="9" fontId="173" fillId="48" borderId="90" xfId="8736" applyNumberFormat="1" applyFont="1" applyFill="1" applyBorder="1" applyAlignment="1" applyProtection="1">
      <alignment horizontal="center"/>
      <protection locked="0"/>
    </xf>
    <xf numFmtId="9" fontId="173" fillId="48" borderId="4" xfId="8736" applyNumberFormat="1" applyFont="1" applyFill="1" applyBorder="1" applyAlignment="1" applyProtection="1">
      <alignment horizontal="center"/>
      <protection locked="0"/>
    </xf>
    <xf numFmtId="9" fontId="173" fillId="48" borderId="5" xfId="8736" applyNumberFormat="1" applyFont="1" applyFill="1" applyBorder="1" applyAlignment="1" applyProtection="1">
      <alignment horizontal="center"/>
      <protection locked="0"/>
    </xf>
    <xf numFmtId="0" fontId="173" fillId="44" borderId="3" xfId="8736" applyFont="1" applyFill="1" applyBorder="1" applyAlignment="1">
      <alignment horizontal="center"/>
    </xf>
    <xf numFmtId="0" fontId="173" fillId="44" borderId="4" xfId="8736" applyFont="1" applyFill="1" applyBorder="1" applyAlignment="1">
      <alignment horizontal="center"/>
    </xf>
    <xf numFmtId="0" fontId="173" fillId="44" borderId="5" xfId="8736" applyFont="1" applyFill="1" applyBorder="1" applyAlignment="1">
      <alignment horizontal="center"/>
    </xf>
    <xf numFmtId="10" fontId="174" fillId="44" borderId="3" xfId="8736" applyNumberFormat="1" applyFont="1" applyFill="1" applyBorder="1" applyAlignment="1">
      <alignment horizontal="center"/>
    </xf>
    <xf numFmtId="10" fontId="174" fillId="44" borderId="4" xfId="8736" applyNumberFormat="1" applyFont="1" applyFill="1" applyBorder="1" applyAlignment="1">
      <alignment horizontal="center"/>
    </xf>
    <xf numFmtId="10" fontId="174" fillId="44" borderId="81" xfId="8736" applyNumberFormat="1" applyFont="1" applyFill="1" applyBorder="1" applyAlignment="1">
      <alignment horizontal="center"/>
    </xf>
    <xf numFmtId="0" fontId="173" fillId="48" borderId="3" xfId="8736" applyFont="1" applyFill="1" applyBorder="1" applyAlignment="1" applyProtection="1">
      <alignment horizontal="center"/>
      <protection locked="0"/>
    </xf>
    <xf numFmtId="0" fontId="173" fillId="48" borderId="4" xfId="8736" applyFont="1" applyFill="1" applyBorder="1" applyAlignment="1" applyProtection="1">
      <alignment horizontal="center"/>
      <protection locked="0"/>
    </xf>
    <xf numFmtId="0" fontId="173" fillId="48" borderId="5" xfId="8736" applyFont="1" applyFill="1" applyBorder="1" applyAlignment="1" applyProtection="1">
      <alignment horizontal="center"/>
      <protection locked="0"/>
    </xf>
    <xf numFmtId="0" fontId="174" fillId="44" borderId="87" xfId="8736" applyFont="1" applyFill="1" applyBorder="1" applyAlignment="1">
      <alignment horizontal="center"/>
    </xf>
    <xf numFmtId="0" fontId="174" fillId="44" borderId="86" xfId="8736" applyFont="1" applyFill="1" applyBorder="1" applyAlignment="1">
      <alignment horizontal="center"/>
    </xf>
    <xf numFmtId="0" fontId="174" fillId="44" borderId="95" xfId="8736" applyFont="1" applyFill="1" applyBorder="1" applyAlignment="1">
      <alignment horizontal="center"/>
    </xf>
    <xf numFmtId="0" fontId="173" fillId="44" borderId="94" xfId="8736" applyFont="1" applyFill="1" applyBorder="1" applyAlignment="1">
      <alignment horizontal="center"/>
    </xf>
    <xf numFmtId="0" fontId="173" fillId="44" borderId="86" xfId="8736" applyFont="1" applyFill="1" applyBorder="1" applyAlignment="1">
      <alignment horizontal="center"/>
    </xf>
    <xf numFmtId="0" fontId="173" fillId="44" borderId="95" xfId="8736" applyFont="1" applyFill="1" applyBorder="1" applyAlignment="1">
      <alignment horizontal="center"/>
    </xf>
    <xf numFmtId="10" fontId="174" fillId="44" borderId="94" xfId="8736" applyNumberFormat="1" applyFont="1" applyFill="1" applyBorder="1" applyAlignment="1">
      <alignment horizontal="center"/>
    </xf>
    <xf numFmtId="10" fontId="174" fillId="44" borderId="86" xfId="8736" applyNumberFormat="1" applyFont="1" applyFill="1" applyBorder="1" applyAlignment="1">
      <alignment horizontal="center"/>
    </xf>
    <xf numFmtId="10" fontId="174" fillId="44" borderId="85" xfId="8736" applyNumberFormat="1" applyFont="1" applyFill="1" applyBorder="1" applyAlignment="1">
      <alignment horizontal="center"/>
    </xf>
    <xf numFmtId="0" fontId="174" fillId="44" borderId="101" xfId="8736" applyFont="1" applyFill="1" applyBorder="1" applyAlignment="1">
      <alignment horizontal="center"/>
    </xf>
    <xf numFmtId="0" fontId="174" fillId="44" borderId="42" xfId="8736" applyFont="1" applyFill="1" applyBorder="1" applyAlignment="1">
      <alignment horizontal="center"/>
    </xf>
    <xf numFmtId="0" fontId="174" fillId="44" borderId="96" xfId="8736" applyFont="1" applyFill="1" applyBorder="1" applyAlignment="1">
      <alignment horizontal="center"/>
    </xf>
    <xf numFmtId="9" fontId="174" fillId="44" borderId="101" xfId="1022" applyFont="1" applyFill="1" applyBorder="1" applyAlignment="1">
      <alignment horizontal="center"/>
    </xf>
    <xf numFmtId="9" fontId="174" fillId="44" borderId="42" xfId="1022" applyFont="1" applyFill="1" applyBorder="1" applyAlignment="1">
      <alignment horizontal="center"/>
    </xf>
    <xf numFmtId="9" fontId="174" fillId="44" borderId="44" xfId="1022" applyFont="1" applyFill="1" applyBorder="1" applyAlignment="1">
      <alignment horizontal="center"/>
    </xf>
    <xf numFmtId="0" fontId="167" fillId="45" borderId="80" xfId="8736" applyFont="1" applyFill="1" applyBorder="1" applyAlignment="1">
      <alignment horizontal="center"/>
    </xf>
    <xf numFmtId="0" fontId="167" fillId="45" borderId="79" xfId="8736" applyFont="1" applyFill="1" applyBorder="1" applyAlignment="1">
      <alignment horizontal="center"/>
    </xf>
    <xf numFmtId="0" fontId="167" fillId="45" borderId="78" xfId="8736" applyFont="1" applyFill="1" applyBorder="1" applyAlignment="1">
      <alignment horizontal="center"/>
    </xf>
    <xf numFmtId="0" fontId="166" fillId="45" borderId="98" xfId="8736" applyFont="1" applyFill="1" applyBorder="1" applyAlignment="1">
      <alignment horizontal="center" vertical="center" wrapText="1"/>
    </xf>
    <xf numFmtId="0" fontId="166" fillId="45" borderId="13" xfId="8736" applyFont="1" applyFill="1" applyBorder="1" applyAlignment="1">
      <alignment horizontal="center" vertical="center"/>
    </xf>
    <xf numFmtId="0" fontId="166" fillId="45" borderId="72" xfId="8736" applyFont="1" applyFill="1" applyBorder="1" applyAlignment="1">
      <alignment horizontal="center" vertical="center"/>
    </xf>
    <xf numFmtId="0" fontId="166" fillId="45" borderId="11" xfId="8736" applyFont="1" applyFill="1" applyBorder="1" applyAlignment="1">
      <alignment horizontal="center" vertical="center"/>
    </xf>
    <xf numFmtId="0" fontId="174" fillId="45" borderId="13" xfId="8736" applyFont="1" applyFill="1" applyBorder="1" applyAlignment="1">
      <alignment horizontal="center" vertical="center" wrapText="1"/>
    </xf>
    <xf numFmtId="0" fontId="174" fillId="45" borderId="13" xfId="8736" applyFont="1" applyFill="1" applyBorder="1" applyAlignment="1">
      <alignment horizontal="center" vertical="center"/>
    </xf>
    <xf numFmtId="0" fontId="174" fillId="45" borderId="11" xfId="8736" applyFont="1" applyFill="1" applyBorder="1" applyAlignment="1">
      <alignment horizontal="center" vertical="center"/>
    </xf>
    <xf numFmtId="0" fontId="174" fillId="45" borderId="9" xfId="8736" applyFont="1" applyFill="1" applyBorder="1" applyAlignment="1">
      <alignment horizontal="center" vertical="center"/>
    </xf>
    <xf numFmtId="0" fontId="174" fillId="45" borderId="3" xfId="8736" applyFont="1" applyFill="1" applyBorder="1" applyAlignment="1">
      <alignment horizontal="center" vertical="center"/>
    </xf>
    <xf numFmtId="0" fontId="166" fillId="45" borderId="80" xfId="8736" applyFont="1" applyFill="1" applyBorder="1" applyAlignment="1">
      <alignment horizontal="center"/>
    </xf>
    <xf numFmtId="0" fontId="166" fillId="45" borderId="79" xfId="8736" applyFont="1" applyFill="1" applyBorder="1" applyAlignment="1">
      <alignment horizontal="center"/>
    </xf>
    <xf numFmtId="0" fontId="166" fillId="45" borderId="78" xfId="8736" applyFont="1" applyFill="1" applyBorder="1" applyAlignment="1">
      <alignment horizontal="center"/>
    </xf>
    <xf numFmtId="0" fontId="166" fillId="45" borderId="65" xfId="8736" applyFont="1" applyFill="1" applyBorder="1" applyAlignment="1">
      <alignment horizontal="center" vertical="center" wrapText="1"/>
    </xf>
    <xf numFmtId="0" fontId="166" fillId="45" borderId="29" xfId="8736" applyFont="1" applyFill="1" applyBorder="1" applyAlignment="1">
      <alignment horizontal="center" vertical="center" wrapText="1"/>
    </xf>
    <xf numFmtId="0" fontId="166" fillId="45" borderId="31" xfId="8736" applyFont="1" applyFill="1" applyBorder="1" applyAlignment="1">
      <alignment horizontal="center" vertical="center" wrapText="1"/>
    </xf>
    <xf numFmtId="0" fontId="166" fillId="45" borderId="73" xfId="8736" applyFont="1" applyFill="1" applyBorder="1" applyAlignment="1">
      <alignment horizontal="center" vertical="center" wrapText="1"/>
    </xf>
    <xf numFmtId="0" fontId="166" fillId="45" borderId="42" xfId="8736" applyFont="1" applyFill="1" applyBorder="1" applyAlignment="1">
      <alignment horizontal="center" vertical="center" wrapText="1"/>
    </xf>
    <xf numFmtId="0" fontId="166" fillId="45" borderId="44" xfId="8736" applyFont="1" applyFill="1" applyBorder="1" applyAlignment="1">
      <alignment horizontal="center" vertical="center" wrapText="1"/>
    </xf>
    <xf numFmtId="9" fontId="174" fillId="48" borderId="13" xfId="8736" applyNumberFormat="1" applyFont="1" applyFill="1" applyBorder="1" applyAlignment="1" applyProtection="1">
      <alignment horizontal="center"/>
      <protection locked="0"/>
    </xf>
    <xf numFmtId="0" fontId="174" fillId="44" borderId="73" xfId="8736" applyFont="1" applyFill="1" applyBorder="1" applyAlignment="1">
      <alignment horizontal="center"/>
    </xf>
    <xf numFmtId="0" fontId="166" fillId="44" borderId="9" xfId="8736" applyFont="1" applyFill="1" applyBorder="1" applyAlignment="1">
      <alignment horizontal="center"/>
    </xf>
    <xf numFmtId="0" fontId="166" fillId="44" borderId="6" xfId="8736" applyFont="1" applyFill="1" applyBorder="1" applyAlignment="1">
      <alignment horizontal="center"/>
    </xf>
    <xf numFmtId="0" fontId="166" fillId="44" borderId="82" xfId="8736" applyFont="1" applyFill="1" applyBorder="1" applyAlignment="1">
      <alignment horizontal="center"/>
    </xf>
    <xf numFmtId="9" fontId="174" fillId="48" borderId="9" xfId="8736" applyNumberFormat="1" applyFont="1" applyFill="1" applyBorder="1" applyAlignment="1" applyProtection="1">
      <alignment horizontal="center"/>
      <protection locked="0"/>
    </xf>
    <xf numFmtId="9" fontId="174" fillId="48" borderId="6" xfId="8736" applyNumberFormat="1" applyFont="1" applyFill="1" applyBorder="1" applyAlignment="1" applyProtection="1">
      <alignment horizontal="center"/>
      <protection locked="0"/>
    </xf>
    <xf numFmtId="9" fontId="174" fillId="48" borderId="10" xfId="8736" applyNumberFormat="1" applyFont="1" applyFill="1" applyBorder="1" applyAlignment="1" applyProtection="1">
      <alignment horizontal="center"/>
      <protection locked="0"/>
    </xf>
    <xf numFmtId="9" fontId="166" fillId="48" borderId="9" xfId="8736" applyNumberFormat="1" applyFont="1" applyFill="1" applyBorder="1" applyAlignment="1" applyProtection="1">
      <alignment horizontal="center"/>
      <protection locked="0"/>
    </xf>
    <xf numFmtId="9" fontId="166" fillId="48" borderId="6" xfId="8736" applyNumberFormat="1" applyFont="1" applyFill="1" applyBorder="1" applyAlignment="1" applyProtection="1">
      <alignment horizontal="center"/>
      <protection locked="0"/>
    </xf>
    <xf numFmtId="9" fontId="166" fillId="48" borderId="10" xfId="8736" applyNumberFormat="1" applyFont="1" applyFill="1" applyBorder="1" applyAlignment="1" applyProtection="1">
      <alignment horizontal="center"/>
      <protection locked="0"/>
    </xf>
    <xf numFmtId="0" fontId="166" fillId="44" borderId="10" xfId="8736" applyFont="1" applyFill="1" applyBorder="1" applyAlignment="1">
      <alignment horizontal="center"/>
    </xf>
    <xf numFmtId="1" fontId="178" fillId="48" borderId="3" xfId="8736" applyNumberFormat="1" applyFont="1" applyFill="1" applyBorder="1" applyAlignment="1" applyProtection="1">
      <alignment horizontal="center"/>
      <protection locked="0"/>
    </xf>
    <xf numFmtId="1" fontId="178" fillId="48" borderId="4" xfId="8736" applyNumberFormat="1" applyFont="1" applyFill="1" applyBorder="1" applyAlignment="1" applyProtection="1">
      <alignment horizontal="center"/>
      <protection locked="0"/>
    </xf>
    <xf numFmtId="1" fontId="178" fillId="48" borderId="5" xfId="8736" applyNumberFormat="1" applyFont="1" applyFill="1" applyBorder="1" applyAlignment="1" applyProtection="1">
      <alignment horizontal="center"/>
      <protection locked="0"/>
    </xf>
    <xf numFmtId="1" fontId="166" fillId="44" borderId="3" xfId="8736" applyNumberFormat="1" applyFont="1" applyFill="1" applyBorder="1" applyAlignment="1">
      <alignment horizontal="center"/>
    </xf>
    <xf numFmtId="1" fontId="166" fillId="44" borderId="4" xfId="8736" applyNumberFormat="1" applyFont="1" applyFill="1" applyBorder="1" applyAlignment="1">
      <alignment horizontal="center"/>
    </xf>
    <xf numFmtId="1" fontId="166" fillId="44" borderId="5" xfId="8736" applyNumberFormat="1" applyFont="1" applyFill="1" applyBorder="1" applyAlignment="1">
      <alignment horizontal="center"/>
    </xf>
    <xf numFmtId="9" fontId="166" fillId="44" borderId="3" xfId="8738" applyFont="1" applyFill="1" applyBorder="1" applyAlignment="1">
      <alignment horizontal="center"/>
    </xf>
    <xf numFmtId="9" fontId="166" fillId="44" borderId="4" xfId="8738" applyFont="1" applyFill="1" applyBorder="1" applyAlignment="1">
      <alignment horizontal="center"/>
    </xf>
    <xf numFmtId="9" fontId="166" fillId="44" borderId="81" xfId="8738" applyFont="1" applyFill="1" applyBorder="1" applyAlignment="1">
      <alignment horizontal="center"/>
    </xf>
    <xf numFmtId="0" fontId="175" fillId="48" borderId="72" xfId="8736" applyFont="1" applyFill="1" applyBorder="1" applyAlignment="1" applyProtection="1">
      <alignment horizontal="right"/>
      <protection locked="0"/>
    </xf>
    <xf numFmtId="0" fontId="175" fillId="48" borderId="11" xfId="8736" applyFont="1" applyFill="1" applyBorder="1" applyAlignment="1" applyProtection="1">
      <alignment horizontal="right"/>
      <protection locked="0"/>
    </xf>
    <xf numFmtId="0" fontId="178" fillId="48" borderId="11" xfId="8736" applyFont="1" applyFill="1" applyBorder="1" applyAlignment="1" applyProtection="1">
      <alignment horizontal="center"/>
      <protection locked="0"/>
    </xf>
    <xf numFmtId="1" fontId="178" fillId="48" borderId="11" xfId="8736" applyNumberFormat="1" applyFont="1" applyFill="1" applyBorder="1" applyAlignment="1" applyProtection="1">
      <alignment horizontal="center"/>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3" fillId="48" borderId="69" xfId="8736" applyFont="1" applyFill="1" applyBorder="1" applyAlignment="1" applyProtection="1">
      <alignment horizontal="right"/>
      <protection locked="0"/>
    </xf>
    <xf numFmtId="0" fontId="173" fillId="48" borderId="70" xfId="8736" applyFont="1" applyFill="1" applyBorder="1" applyAlignment="1" applyProtection="1">
      <alignment horizontal="right"/>
      <protection locked="0"/>
    </xf>
    <xf numFmtId="0" fontId="178" fillId="48" borderId="70" xfId="8736" applyFont="1" applyFill="1" applyBorder="1" applyAlignment="1" applyProtection="1">
      <alignment horizontal="center"/>
      <protection locked="0"/>
    </xf>
    <xf numFmtId="1" fontId="178" fillId="48" borderId="70" xfId="8736" applyNumberFormat="1" applyFont="1" applyFill="1" applyBorder="1" applyAlignment="1" applyProtection="1">
      <alignment horizontal="center"/>
      <protection locked="0"/>
    </xf>
    <xf numFmtId="9" fontId="166" fillId="44" borderId="94" xfId="8738" applyFont="1" applyFill="1" applyBorder="1" applyAlignment="1">
      <alignment horizontal="center"/>
    </xf>
    <xf numFmtId="9" fontId="166" fillId="44" borderId="86" xfId="8738" applyFont="1" applyFill="1" applyBorder="1" applyAlignment="1">
      <alignment horizontal="center"/>
    </xf>
    <xf numFmtId="9" fontId="166" fillId="44" borderId="85" xfId="8738" applyFont="1" applyFill="1" applyBorder="1" applyAlignment="1">
      <alignment horizontal="center"/>
    </xf>
    <xf numFmtId="1" fontId="178" fillId="48" borderId="94" xfId="8736" applyNumberFormat="1" applyFont="1" applyFill="1" applyBorder="1" applyAlignment="1" applyProtection="1">
      <alignment horizontal="center"/>
      <protection locked="0"/>
    </xf>
    <xf numFmtId="1" fontId="178" fillId="48" borderId="86" xfId="8736" applyNumberFormat="1" applyFont="1" applyFill="1" applyBorder="1" applyAlignment="1" applyProtection="1">
      <alignment horizontal="center"/>
      <protection locked="0"/>
    </xf>
    <xf numFmtId="1" fontId="178" fillId="48" borderId="95" xfId="8736" applyNumberFormat="1" applyFont="1" applyFill="1" applyBorder="1" applyAlignment="1" applyProtection="1">
      <alignment horizontal="center"/>
      <protection locked="0"/>
    </xf>
    <xf numFmtId="0" fontId="167" fillId="45" borderId="67" xfId="8736" applyFont="1" applyFill="1" applyBorder="1" applyAlignment="1">
      <alignment horizontal="center"/>
    </xf>
    <xf numFmtId="0" fontId="167" fillId="45" borderId="68" xfId="8736" applyFont="1" applyFill="1" applyBorder="1" applyAlignment="1">
      <alignment horizontal="center"/>
    </xf>
    <xf numFmtId="0" fontId="167" fillId="45" borderId="71" xfId="8736" applyFont="1" applyFill="1" applyBorder="1" applyAlignment="1">
      <alignment horizontal="center"/>
    </xf>
    <xf numFmtId="0" fontId="174" fillId="45" borderId="72" xfId="8736" applyFont="1" applyFill="1" applyBorder="1" applyAlignment="1">
      <alignment horizontal="center"/>
    </xf>
    <xf numFmtId="0" fontId="174" fillId="45" borderId="11" xfId="8736" applyFont="1" applyFill="1" applyBorder="1" applyAlignment="1">
      <alignment horizontal="center"/>
    </xf>
    <xf numFmtId="0" fontId="166" fillId="45" borderId="11" xfId="8736" applyFont="1" applyFill="1" applyBorder="1" applyAlignment="1">
      <alignment horizontal="center" vertical="center" wrapText="1"/>
    </xf>
    <xf numFmtId="0" fontId="166" fillId="45" borderId="76" xfId="8736" applyFont="1" applyFill="1" applyBorder="1" applyAlignment="1">
      <alignment horizontal="center" vertical="center" wrapText="1"/>
    </xf>
    <xf numFmtId="0" fontId="173" fillId="48" borderId="11" xfId="8736"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 fontId="173" fillId="48" borderId="11" xfId="8736" applyNumberFormat="1" applyFont="1" applyFill="1" applyBorder="1" applyAlignment="1" applyProtection="1">
      <alignment horizontal="center"/>
      <protection locked="0"/>
    </xf>
    <xf numFmtId="0" fontId="173" fillId="48" borderId="11" xfId="700" applyNumberFormat="1" applyFont="1" applyFill="1" applyBorder="1" applyAlignment="1" applyProtection="1">
      <alignment horizontal="left"/>
      <protection locked="0"/>
    </xf>
    <xf numFmtId="0" fontId="173" fillId="48" borderId="76" xfId="700" applyNumberFormat="1" applyFont="1" applyFill="1" applyBorder="1" applyAlignment="1" applyProtection="1">
      <alignment horizontal="left"/>
      <protection locked="0"/>
    </xf>
    <xf numFmtId="0" fontId="167" fillId="45" borderId="65" xfId="8736" applyFont="1" applyFill="1" applyBorder="1" applyAlignment="1">
      <alignment horizontal="center"/>
    </xf>
    <xf numFmtId="0" fontId="167" fillId="45" borderId="29" xfId="8736" applyFont="1" applyFill="1" applyBorder="1" applyAlignment="1">
      <alignment horizontal="center"/>
    </xf>
    <xf numFmtId="0" fontId="167" fillId="45" borderId="31" xfId="8736" applyFont="1" applyFill="1" applyBorder="1" applyAlignment="1">
      <alignment horizontal="center"/>
    </xf>
    <xf numFmtId="0" fontId="173" fillId="44" borderId="72" xfId="8736" applyFont="1" applyFill="1" applyBorder="1" applyAlignment="1" applyProtection="1">
      <alignment horizontal="right"/>
      <protection locked="0"/>
    </xf>
    <xf numFmtId="0" fontId="173" fillId="44" borderId="11" xfId="8736" applyFont="1" applyFill="1" applyBorder="1" applyAlignment="1" applyProtection="1">
      <alignment horizontal="right"/>
      <protection locked="0"/>
    </xf>
    <xf numFmtId="0" fontId="173" fillId="44" borderId="76" xfId="8736" applyFont="1" applyFill="1" applyBorder="1" applyAlignment="1" applyProtection="1">
      <alignment horizontal="right"/>
      <protection locked="0"/>
    </xf>
    <xf numFmtId="0" fontId="173" fillId="48" borderId="5" xfId="8736" applyFont="1" applyFill="1" applyBorder="1" applyAlignment="1" applyProtection="1">
      <alignment horizontal="left"/>
      <protection locked="0"/>
    </xf>
    <xf numFmtId="0" fontId="173" fillId="48" borderId="11" xfId="8736" applyFont="1" applyFill="1" applyBorder="1" applyAlignment="1" applyProtection="1">
      <alignment horizontal="left"/>
      <protection locked="0"/>
    </xf>
    <xf numFmtId="0" fontId="173" fillId="48" borderId="76" xfId="8736" applyFont="1" applyFill="1" applyBorder="1" applyAlignment="1" applyProtection="1">
      <alignment horizontal="left"/>
      <protection locked="0"/>
    </xf>
    <xf numFmtId="0" fontId="174" fillId="45" borderId="69" xfId="8736" applyFont="1" applyFill="1" applyBorder="1" applyAlignment="1">
      <alignment horizontal="center"/>
    </xf>
    <xf numFmtId="0" fontId="174" fillId="45" borderId="70" xfId="8736" applyFont="1" applyFill="1" applyBorder="1" applyAlignment="1">
      <alignment horizontal="center"/>
    </xf>
    <xf numFmtId="168" fontId="174" fillId="45" borderId="70" xfId="8737" applyNumberFormat="1" applyFont="1" applyFill="1" applyBorder="1" applyAlignment="1">
      <alignment horizontal="center"/>
    </xf>
    <xf numFmtId="1" fontId="174" fillId="45" borderId="70" xfId="8737" applyNumberFormat="1" applyFont="1" applyFill="1" applyBorder="1" applyAlignment="1">
      <alignment horizontal="center"/>
    </xf>
    <xf numFmtId="0" fontId="174" fillId="45" borderId="70" xfId="8737" applyNumberFormat="1" applyFont="1" applyFill="1" applyBorder="1" applyAlignment="1">
      <alignment horizontal="center"/>
    </xf>
    <xf numFmtId="0" fontId="174" fillId="45" borderId="77" xfId="8737" applyNumberFormat="1" applyFont="1" applyFill="1" applyBorder="1" applyAlignment="1">
      <alignment horizontal="center"/>
    </xf>
    <xf numFmtId="0" fontId="170" fillId="48" borderId="74" xfId="8736" applyFont="1" applyFill="1" applyBorder="1" applyAlignment="1" applyProtection="1">
      <alignment horizontal="left"/>
      <protection locked="0"/>
    </xf>
    <xf numFmtId="0" fontId="170" fillId="48" borderId="68" xfId="8736" applyFont="1" applyFill="1" applyBorder="1" applyAlignment="1" applyProtection="1">
      <alignment horizontal="left"/>
      <protection locked="0"/>
    </xf>
    <xf numFmtId="0" fontId="170" fillId="48" borderId="71" xfId="8736" applyFont="1" applyFill="1" applyBorder="1" applyAlignment="1" applyProtection="1">
      <alignment horizontal="left"/>
      <protection locked="0"/>
    </xf>
    <xf numFmtId="0" fontId="167" fillId="45" borderId="72" xfId="8736" applyFont="1" applyFill="1" applyBorder="1" applyAlignment="1">
      <alignment horizontal="center"/>
    </xf>
    <xf numFmtId="0" fontId="167" fillId="45" borderId="11" xfId="8736" applyFont="1" applyFill="1" applyBorder="1" applyAlignment="1">
      <alignment horizontal="center"/>
    </xf>
    <xf numFmtId="0" fontId="167" fillId="45" borderId="81" xfId="8736" applyFont="1" applyFill="1" applyBorder="1" applyAlignment="1">
      <alignment horizontal="center"/>
    </xf>
    <xf numFmtId="0" fontId="104" fillId="45" borderId="69" xfId="8736" applyFont="1" applyFill="1" applyBorder="1" applyAlignment="1">
      <alignment horizontal="center"/>
    </xf>
    <xf numFmtId="0" fontId="104" fillId="45" borderId="70" xfId="8736" applyFont="1" applyFill="1" applyBorder="1" applyAlignment="1">
      <alignment horizontal="center"/>
    </xf>
    <xf numFmtId="0" fontId="173" fillId="44" borderId="69" xfId="8736" applyFont="1" applyFill="1" applyBorder="1" applyAlignment="1" applyProtection="1">
      <alignment horizontal="right"/>
      <protection locked="0"/>
    </xf>
    <xf numFmtId="0" fontId="173" fillId="44" borderId="70" xfId="8736" applyFont="1" applyFill="1" applyBorder="1" applyAlignment="1" applyProtection="1">
      <alignment horizontal="right"/>
      <protection locked="0"/>
    </xf>
    <xf numFmtId="0" fontId="173" fillId="44" borderId="77" xfId="8736" applyFont="1" applyFill="1" applyBorder="1" applyAlignment="1" applyProtection="1">
      <alignment horizontal="right"/>
      <protection locked="0"/>
    </xf>
    <xf numFmtId="0" fontId="173" fillId="48" borderId="95" xfId="8736" applyFont="1" applyFill="1" applyBorder="1" applyAlignment="1" applyProtection="1">
      <alignment horizontal="left"/>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5" fillId="48" borderId="11" xfId="700" applyNumberFormat="1" applyFont="1" applyFill="1" applyBorder="1" applyAlignment="1" applyProtection="1">
      <alignment horizontal="left"/>
      <protection locked="0"/>
    </xf>
    <xf numFmtId="168" fontId="175" fillId="48" borderId="76" xfId="700" applyNumberFormat="1" applyFont="1" applyFill="1" applyBorder="1" applyAlignment="1" applyProtection="1">
      <alignment horizontal="left"/>
      <protection locked="0"/>
    </xf>
    <xf numFmtId="0" fontId="173" fillId="48" borderId="68" xfId="8736" applyFont="1" applyFill="1" applyBorder="1" applyAlignment="1" applyProtection="1">
      <alignment horizontal="left"/>
      <protection locked="0"/>
    </xf>
    <xf numFmtId="0" fontId="173" fillId="48" borderId="71" xfId="8736" applyFont="1" applyFill="1" applyBorder="1" applyAlignment="1" applyProtection="1">
      <alignment horizontal="left"/>
      <protection locked="0"/>
    </xf>
    <xf numFmtId="0" fontId="167" fillId="45" borderId="69" xfId="8736" applyFont="1" applyFill="1" applyBorder="1" applyAlignment="1">
      <alignment horizontal="center"/>
    </xf>
    <xf numFmtId="0" fontId="167" fillId="45" borderId="70" xfId="8736" applyFont="1" applyFill="1" applyBorder="1" applyAlignment="1">
      <alignment horizontal="center"/>
    </xf>
    <xf numFmtId="0" fontId="104" fillId="45" borderId="67" xfId="8736" applyFont="1" applyFill="1" applyBorder="1" applyAlignment="1">
      <alignment horizontal="center"/>
    </xf>
    <xf numFmtId="0" fontId="104" fillId="45" borderId="68" xfId="8736" applyFont="1" applyFill="1" applyBorder="1" applyAlignment="1">
      <alignment horizontal="center"/>
    </xf>
    <xf numFmtId="0" fontId="167" fillId="45" borderId="98" xfId="8736" applyFont="1" applyFill="1" applyBorder="1" applyAlignment="1">
      <alignment horizontal="center"/>
    </xf>
    <xf numFmtId="0" fontId="167" fillId="45" borderId="13" xfId="8736" applyFont="1" applyFill="1" applyBorder="1" applyAlignment="1">
      <alignment horizontal="center"/>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73" fillId="48" borderId="72" xfId="8736" applyFont="1" applyFill="1" applyBorder="1" applyAlignment="1" applyProtection="1">
      <alignment horizontal="center"/>
      <protection locked="0"/>
    </xf>
    <xf numFmtId="0" fontId="167" fillId="45" borderId="89" xfId="8736" applyFont="1" applyFill="1" applyBorder="1" applyAlignment="1">
      <alignment horizontal="right"/>
    </xf>
    <xf numFmtId="0" fontId="167" fillId="45" borderId="43" xfId="8736" applyFont="1" applyFill="1" applyBorder="1" applyAlignment="1">
      <alignment horizontal="right"/>
    </xf>
    <xf numFmtId="168" fontId="167" fillId="45" borderId="43" xfId="8736" applyNumberFormat="1" applyFont="1" applyFill="1" applyBorder="1" applyAlignment="1">
      <alignment horizontal="left"/>
    </xf>
    <xf numFmtId="168" fontId="167" fillId="45" borderId="88" xfId="8736" applyNumberFormat="1" applyFont="1" applyFill="1" applyBorder="1" applyAlignment="1">
      <alignment horizontal="left"/>
    </xf>
    <xf numFmtId="0" fontId="4" fillId="48" borderId="9" xfId="8736" applyFill="1" applyBorder="1" applyAlignment="1" applyProtection="1">
      <alignment horizontal="center"/>
      <protection locked="0"/>
    </xf>
    <xf numFmtId="0" fontId="4" fillId="48" borderId="6" xfId="8736" applyFill="1" applyBorder="1" applyAlignment="1" applyProtection="1">
      <alignment horizontal="center"/>
      <protection locked="0"/>
    </xf>
    <xf numFmtId="0" fontId="4" fillId="48" borderId="82" xfId="8736" applyFill="1" applyBorder="1" applyAlignment="1" applyProtection="1">
      <alignment horizontal="center"/>
      <protection locked="0"/>
    </xf>
    <xf numFmtId="0" fontId="104" fillId="45" borderId="67" xfId="8736" applyFont="1" applyFill="1" applyBorder="1" applyAlignment="1">
      <alignment horizontal="center" wrapText="1"/>
    </xf>
    <xf numFmtId="0" fontId="104" fillId="45" borderId="68" xfId="8736" applyFont="1" applyFill="1" applyBorder="1" applyAlignment="1">
      <alignment horizontal="center" wrapText="1"/>
    </xf>
    <xf numFmtId="0" fontId="104" fillId="45" borderId="71" xfId="8736" applyFont="1" applyFill="1" applyBorder="1" applyAlignment="1">
      <alignment horizontal="center" wrapText="1"/>
    </xf>
    <xf numFmtId="0" fontId="104" fillId="45" borderId="67" xfId="8736" applyFont="1" applyFill="1" applyBorder="1" applyAlignment="1">
      <alignment horizontal="left" wrapText="1"/>
    </xf>
    <xf numFmtId="0" fontId="104" fillId="45" borderId="68" xfId="8736" applyFont="1" applyFill="1" applyBorder="1" applyAlignment="1">
      <alignment horizontal="left" wrapText="1"/>
    </xf>
    <xf numFmtId="0" fontId="104" fillId="45" borderId="72" xfId="8736" applyFont="1" applyFill="1" applyBorder="1" applyAlignment="1">
      <alignment horizontal="left" wrapText="1"/>
    </xf>
    <xf numFmtId="0" fontId="104" fillId="45" borderId="11" xfId="8736" applyFont="1" applyFill="1" applyBorder="1" applyAlignment="1">
      <alignment horizontal="left" wrapText="1"/>
    </xf>
    <xf numFmtId="0" fontId="170" fillId="48" borderId="68" xfId="8736" applyFont="1" applyFill="1" applyBorder="1" applyAlignment="1" applyProtection="1">
      <alignment horizontal="left" wrapText="1"/>
      <protection locked="0"/>
    </xf>
    <xf numFmtId="0" fontId="170" fillId="48" borderId="71" xfId="8736" applyFont="1" applyFill="1" applyBorder="1" applyAlignment="1" applyProtection="1">
      <alignment horizontal="left" wrapText="1"/>
      <protection locked="0"/>
    </xf>
    <xf numFmtId="0" fontId="170" fillId="48" borderId="11" xfId="8736" applyFont="1" applyFill="1" applyBorder="1" applyAlignment="1" applyProtection="1">
      <alignment horizontal="left" wrapText="1"/>
      <protection locked="0"/>
    </xf>
    <xf numFmtId="0" fontId="170" fillId="48" borderId="76" xfId="8736" applyFont="1" applyFill="1" applyBorder="1" applyAlignment="1" applyProtection="1">
      <alignment horizontal="left" wrapText="1"/>
      <protection locked="0"/>
    </xf>
    <xf numFmtId="0" fontId="174" fillId="45" borderId="11" xfId="8736" applyFont="1" applyFill="1" applyBorder="1" applyAlignment="1">
      <alignment horizontal="center" wrapText="1"/>
    </xf>
    <xf numFmtId="0" fontId="166" fillId="45" borderId="11" xfId="8736" applyFont="1" applyFill="1" applyBorder="1" applyAlignment="1">
      <alignment horizontal="center"/>
    </xf>
    <xf numFmtId="0" fontId="166" fillId="45" borderId="76" xfId="8736" applyFont="1" applyFill="1" applyBorder="1" applyAlignment="1">
      <alignment horizontal="center"/>
    </xf>
    <xf numFmtId="0" fontId="4" fillId="48" borderId="70" xfId="8736" applyFill="1" applyBorder="1" applyAlignment="1" applyProtection="1">
      <alignment horizontal="center"/>
      <protection locked="0"/>
    </xf>
    <xf numFmtId="0" fontId="4" fillId="48" borderId="77" xfId="8736" applyFill="1" applyBorder="1" applyAlignment="1" applyProtection="1">
      <alignment horizontal="center"/>
      <protection locked="0"/>
    </xf>
    <xf numFmtId="0" fontId="4" fillId="48" borderId="11" xfId="8736" applyFill="1" applyBorder="1" applyAlignment="1" applyProtection="1">
      <alignment horizontal="center"/>
      <protection locked="0"/>
    </xf>
    <xf numFmtId="0" fontId="4" fillId="48" borderId="76" xfId="8736" applyFill="1" applyBorder="1" applyAlignment="1" applyProtection="1">
      <alignment horizontal="center"/>
      <protection locked="0"/>
    </xf>
    <xf numFmtId="0" fontId="170" fillId="48" borderId="3" xfId="8736" applyFont="1" applyFill="1" applyBorder="1" applyAlignment="1" applyProtection="1">
      <alignment horizontal="center"/>
      <protection locked="0"/>
    </xf>
    <xf numFmtId="0" fontId="170" fillId="48" borderId="4" xfId="8736" applyFont="1" applyFill="1" applyBorder="1" applyAlignment="1" applyProtection="1">
      <alignment horizontal="center"/>
      <protection locked="0"/>
    </xf>
    <xf numFmtId="0" fontId="170" fillId="48" borderId="81" xfId="8736" applyFont="1" applyFill="1" applyBorder="1" applyAlignment="1" applyProtection="1">
      <alignment horizontal="center"/>
      <protection locked="0"/>
    </xf>
    <xf numFmtId="0" fontId="104" fillId="45" borderId="71" xfId="8736" applyFont="1" applyFill="1" applyBorder="1" applyAlignment="1">
      <alignment horizontal="center"/>
    </xf>
    <xf numFmtId="0" fontId="104" fillId="45" borderId="67" xfId="8736" applyFont="1" applyFill="1" applyBorder="1" applyAlignment="1" applyProtection="1">
      <alignment horizontal="left" vertical="center" wrapText="1"/>
      <protection locked="0"/>
    </xf>
    <xf numFmtId="0" fontId="104" fillId="45" borderId="68" xfId="8736" applyFont="1" applyFill="1" applyBorder="1" applyAlignment="1" applyProtection="1">
      <alignment horizontal="left" vertical="center" wrapText="1"/>
      <protection locked="0"/>
    </xf>
    <xf numFmtId="0" fontId="104" fillId="45" borderId="72" xfId="8736" applyFont="1" applyFill="1" applyBorder="1" applyAlignment="1" applyProtection="1">
      <alignment horizontal="left" vertical="center" wrapText="1"/>
      <protection locked="0"/>
    </xf>
    <xf numFmtId="0" fontId="104" fillId="45" borderId="11" xfId="8736" applyFont="1" applyFill="1" applyBorder="1" applyAlignment="1" applyProtection="1">
      <alignment horizontal="left" vertical="center" wrapText="1"/>
      <protection locked="0"/>
    </xf>
    <xf numFmtId="0" fontId="170" fillId="48" borderId="68" xfId="8736" applyFont="1" applyFill="1" applyBorder="1" applyAlignment="1" applyProtection="1">
      <alignment horizontal="left" vertical="center" wrapText="1"/>
      <protection locked="0"/>
    </xf>
    <xf numFmtId="0" fontId="170" fillId="48" borderId="71" xfId="8736" applyFont="1" applyFill="1" applyBorder="1" applyAlignment="1" applyProtection="1">
      <alignment horizontal="left" vertical="center" wrapText="1"/>
      <protection locked="0"/>
    </xf>
    <xf numFmtId="0" fontId="170" fillId="48" borderId="11" xfId="8736" applyFont="1" applyFill="1" applyBorder="1" applyAlignment="1" applyProtection="1">
      <alignment horizontal="left" vertical="center" wrapText="1"/>
      <protection locked="0"/>
    </xf>
    <xf numFmtId="0" fontId="170" fillId="48" borderId="76" xfId="8736" applyFont="1" applyFill="1" applyBorder="1" applyAlignment="1" applyProtection="1">
      <alignment horizontal="left" vertical="center" wrapText="1"/>
      <protection locked="0"/>
    </xf>
    <xf numFmtId="0" fontId="173" fillId="48" borderId="72" xfId="8736" applyFont="1" applyFill="1" applyBorder="1" applyAlignment="1" applyProtection="1">
      <alignment horizontal="left" vertical="top" wrapText="1"/>
      <protection locked="0"/>
    </xf>
    <xf numFmtId="0" fontId="173" fillId="48" borderId="11" xfId="8736" applyFont="1" applyFill="1" applyBorder="1" applyAlignment="1" applyProtection="1">
      <alignment horizontal="left" vertical="top" wrapText="1"/>
      <protection locked="0"/>
    </xf>
    <xf numFmtId="0" fontId="173" fillId="48" borderId="69" xfId="8736" applyFont="1" applyFill="1" applyBorder="1" applyAlignment="1" applyProtection="1">
      <alignment horizontal="left" vertical="top" wrapText="1"/>
      <protection locked="0"/>
    </xf>
    <xf numFmtId="0" fontId="173" fillId="48" borderId="70" xfId="8736" applyFont="1" applyFill="1" applyBorder="1" applyAlignment="1" applyProtection="1">
      <alignment horizontal="left" vertical="top" wrapText="1"/>
      <protection locked="0"/>
    </xf>
    <xf numFmtId="0" fontId="170" fillId="48" borderId="11" xfId="8736" applyFont="1" applyFill="1" applyBorder="1" applyAlignment="1" applyProtection="1">
      <alignment horizontal="center" vertical="center" wrapText="1"/>
      <protection locked="0"/>
    </xf>
    <xf numFmtId="0" fontId="170" fillId="48" borderId="76" xfId="8736" applyFont="1" applyFill="1" applyBorder="1" applyAlignment="1" applyProtection="1">
      <alignment horizontal="center" vertical="center" wrapText="1"/>
      <protection locked="0"/>
    </xf>
    <xf numFmtId="0" fontId="170" fillId="48" borderId="70" xfId="8736" applyFont="1" applyFill="1" applyBorder="1" applyAlignment="1" applyProtection="1">
      <alignment horizontal="center" vertical="center" wrapText="1"/>
      <protection locked="0"/>
    </xf>
    <xf numFmtId="0" fontId="170" fillId="48" borderId="77" xfId="8736" applyFont="1" applyFill="1" applyBorder="1" applyAlignment="1" applyProtection="1">
      <alignment horizontal="center" vertical="center" wrapText="1"/>
      <protection locked="0"/>
    </xf>
    <xf numFmtId="0" fontId="177" fillId="45" borderId="72" xfId="8736" applyFont="1" applyFill="1" applyBorder="1" applyAlignment="1">
      <alignment horizontal="left"/>
    </xf>
    <xf numFmtId="0" fontId="177" fillId="45" borderId="11" xfId="8736" applyFont="1" applyFill="1" applyBorder="1" applyAlignment="1">
      <alignment horizontal="left"/>
    </xf>
    <xf numFmtId="0" fontId="177" fillId="45" borderId="69" xfId="8736" applyFont="1" applyFill="1" applyBorder="1" applyAlignment="1">
      <alignment horizontal="left"/>
    </xf>
    <xf numFmtId="0" fontId="177" fillId="45" borderId="70" xfId="8736" applyFont="1" applyFill="1" applyBorder="1" applyAlignment="1">
      <alignment horizontal="left"/>
    </xf>
    <xf numFmtId="0" fontId="4" fillId="51" borderId="70" xfId="8736" applyFill="1" applyBorder="1" applyAlignment="1" applyProtection="1">
      <alignment horizontal="center"/>
      <protection locked="0"/>
    </xf>
    <xf numFmtId="0" fontId="4" fillId="51" borderId="77" xfId="8736" applyFill="1" applyBorder="1" applyAlignment="1" applyProtection="1">
      <alignment horizontal="center"/>
      <protection locked="0"/>
    </xf>
    <xf numFmtId="0" fontId="104" fillId="45" borderId="71" xfId="8736" applyFont="1" applyFill="1" applyBorder="1" applyAlignment="1">
      <alignment horizontal="left" wrapText="1"/>
    </xf>
    <xf numFmtId="0" fontId="104" fillId="45" borderId="76" xfId="8736" applyFont="1" applyFill="1" applyBorder="1" applyAlignment="1">
      <alignment horizontal="left" wrapText="1"/>
    </xf>
    <xf numFmtId="0" fontId="104" fillId="45" borderId="65" xfId="8736" applyFont="1" applyFill="1" applyBorder="1" applyAlignment="1">
      <alignment horizontal="center"/>
    </xf>
    <xf numFmtId="0" fontId="104" fillId="45" borderId="29" xfId="8736" applyFont="1" applyFill="1" applyBorder="1" applyAlignment="1">
      <alignment horizontal="center"/>
    </xf>
    <xf numFmtId="0" fontId="104" fillId="45" borderId="31" xfId="8736" applyFont="1" applyFill="1" applyBorder="1" applyAlignment="1">
      <alignment horizontal="center"/>
    </xf>
    <xf numFmtId="0" fontId="166" fillId="48" borderId="90" xfId="8736" applyFont="1" applyFill="1" applyBorder="1" applyAlignment="1">
      <alignment horizontal="left"/>
    </xf>
    <xf numFmtId="0" fontId="166" fillId="48" borderId="4" xfId="8736" applyFont="1" applyFill="1" applyBorder="1" applyAlignment="1">
      <alignment horizontal="left"/>
    </xf>
    <xf numFmtId="0" fontId="166" fillId="48" borderId="5" xfId="8736" applyFont="1" applyFill="1" applyBorder="1" applyAlignment="1">
      <alignment horizontal="left"/>
    </xf>
    <xf numFmtId="0" fontId="166" fillId="45" borderId="72" xfId="8736" applyFont="1" applyFill="1" applyBorder="1" applyAlignment="1">
      <alignment horizontal="left"/>
    </xf>
    <xf numFmtId="0" fontId="166" fillId="45" borderId="11" xfId="8736" applyFont="1" applyFill="1" applyBorder="1" applyAlignment="1">
      <alignment horizontal="left"/>
    </xf>
    <xf numFmtId="0" fontId="178" fillId="48" borderId="11" xfId="8736" applyFont="1" applyFill="1" applyBorder="1" applyAlignment="1" applyProtection="1">
      <alignment horizontal="left"/>
      <protection locked="0"/>
    </xf>
    <xf numFmtId="0" fontId="178" fillId="48" borderId="76" xfId="8736" applyFont="1" applyFill="1" applyBorder="1" applyAlignment="1" applyProtection="1">
      <alignment horizontal="left"/>
      <protection locked="0"/>
    </xf>
    <xf numFmtId="0" fontId="175" fillId="48" borderId="72" xfId="8736" applyFont="1" applyFill="1" applyBorder="1" applyAlignment="1" applyProtection="1">
      <alignment horizontal="left" vertical="top"/>
      <protection locked="0"/>
    </xf>
    <xf numFmtId="0" fontId="175" fillId="48" borderId="11" xfId="8736" applyFont="1" applyFill="1" applyBorder="1" applyAlignment="1" applyProtection="1">
      <alignment horizontal="left" vertical="top"/>
      <protection locked="0"/>
    </xf>
    <xf numFmtId="0" fontId="175" fillId="48" borderId="76" xfId="8736" applyFont="1" applyFill="1" applyBorder="1" applyAlignment="1" applyProtection="1">
      <alignment horizontal="left" vertical="top"/>
      <protection locked="0"/>
    </xf>
    <xf numFmtId="0" fontId="175" fillId="48" borderId="69" xfId="8736" applyFont="1" applyFill="1" applyBorder="1" applyAlignment="1" applyProtection="1">
      <alignment horizontal="left" vertical="top"/>
      <protection locked="0"/>
    </xf>
    <xf numFmtId="0" fontId="175" fillId="48" borderId="70" xfId="8736" applyFont="1" applyFill="1" applyBorder="1" applyAlignment="1" applyProtection="1">
      <alignment horizontal="left" vertical="top"/>
      <protection locked="0"/>
    </xf>
    <xf numFmtId="0" fontId="175" fillId="48" borderId="77" xfId="8736" applyFont="1" applyFill="1" applyBorder="1" applyAlignment="1" applyProtection="1">
      <alignment horizontal="left" vertical="top"/>
      <protection locked="0"/>
    </xf>
    <xf numFmtId="0" fontId="166" fillId="45" borderId="67" xfId="8736" applyFont="1" applyFill="1" applyBorder="1" applyAlignment="1">
      <alignment horizontal="left"/>
    </xf>
    <xf numFmtId="0" fontId="166" fillId="45" borderId="68" xfId="8736" applyFont="1" applyFill="1" applyBorder="1" applyAlignment="1">
      <alignment horizontal="left"/>
    </xf>
    <xf numFmtId="0" fontId="104" fillId="45" borderId="72" xfId="8736" applyFont="1" applyFill="1" applyBorder="1" applyAlignment="1">
      <alignment horizontal="center"/>
    </xf>
    <xf numFmtId="0" fontId="104" fillId="45" borderId="11" xfId="8736" applyFont="1" applyFill="1" applyBorder="1" applyAlignment="1">
      <alignment horizontal="center"/>
    </xf>
    <xf numFmtId="0" fontId="166" fillId="45" borderId="11" xfId="8736" applyFont="1" applyFill="1" applyBorder="1" applyAlignment="1">
      <alignment horizontal="center" wrapText="1"/>
    </xf>
    <xf numFmtId="0" fontId="166" fillId="45" borderId="76" xfId="8736" applyFont="1" applyFill="1" applyBorder="1" applyAlignment="1">
      <alignment horizontal="center" wrapText="1"/>
    </xf>
    <xf numFmtId="0" fontId="180" fillId="45" borderId="11" xfId="8736" applyFont="1" applyFill="1" applyBorder="1" applyAlignment="1">
      <alignment horizontal="left"/>
    </xf>
    <xf numFmtId="0" fontId="180" fillId="45" borderId="76" xfId="8736" applyFont="1" applyFill="1" applyBorder="1" applyAlignment="1">
      <alignment horizontal="left"/>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75" fillId="48" borderId="11" xfId="8736"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14" fontId="175" fillId="48" borderId="11" xfId="8736" applyNumberFormat="1" applyFont="1" applyFill="1" applyBorder="1" applyAlignment="1" applyProtection="1">
      <alignment horizontal="center"/>
      <protection locked="0"/>
    </xf>
    <xf numFmtId="0" fontId="104" fillId="45" borderId="76" xfId="8736" applyFont="1" applyFill="1" applyBorder="1" applyAlignment="1">
      <alignment horizontal="center"/>
    </xf>
    <xf numFmtId="168" fontId="175" fillId="48" borderId="11" xfId="8737" applyNumberFormat="1" applyFont="1" applyFill="1" applyBorder="1" applyAlignment="1" applyProtection="1">
      <alignment horizontal="center"/>
      <protection locked="0"/>
    </xf>
    <xf numFmtId="168" fontId="175" fillId="48" borderId="76" xfId="8737" applyNumberFormat="1" applyFont="1" applyFill="1" applyBorder="1" applyAlignment="1" applyProtection="1">
      <alignment horizontal="center"/>
      <protection locked="0"/>
    </xf>
    <xf numFmtId="0" fontId="176" fillId="48" borderId="11"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6" fillId="48" borderId="70" xfId="8736" applyFont="1" applyFill="1" applyBorder="1" applyAlignment="1" applyProtection="1">
      <alignment horizontal="left"/>
      <protection locked="0"/>
    </xf>
    <xf numFmtId="0" fontId="175" fillId="48" borderId="70" xfId="8736" applyFont="1" applyFill="1" applyBorder="1" applyAlignment="1" applyProtection="1">
      <alignment horizontal="center"/>
      <protection locked="0"/>
    </xf>
    <xf numFmtId="14" fontId="175" fillId="48" borderId="70" xfId="8736" applyNumberFormat="1" applyFont="1" applyFill="1" applyBorder="1" applyAlignment="1" applyProtection="1">
      <alignment horizontal="center"/>
      <protection locked="0"/>
    </xf>
    <xf numFmtId="168" fontId="175" fillId="48" borderId="70" xfId="8737" applyNumberFormat="1" applyFont="1" applyFill="1" applyBorder="1" applyAlignment="1" applyProtection="1">
      <alignment horizontal="center"/>
      <protection locked="0"/>
    </xf>
    <xf numFmtId="168" fontId="175" fillId="48" borderId="77" xfId="8737" applyNumberFormat="1" applyFont="1" applyFill="1" applyBorder="1" applyAlignment="1" applyProtection="1">
      <alignment horizontal="center"/>
      <protection locked="0"/>
    </xf>
    <xf numFmtId="0" fontId="167" fillId="45" borderId="67" xfId="8736" applyFont="1" applyFill="1" applyBorder="1" applyAlignment="1">
      <alignment horizontal="left"/>
    </xf>
    <xf numFmtId="0" fontId="167" fillId="45" borderId="68" xfId="8736" applyFont="1" applyFill="1" applyBorder="1" applyAlignment="1">
      <alignment horizontal="left"/>
    </xf>
    <xf numFmtId="0" fontId="167" fillId="45" borderId="71" xfId="8736" applyFont="1" applyFill="1" applyBorder="1" applyAlignment="1">
      <alignment horizontal="left"/>
    </xf>
    <xf numFmtId="14" fontId="173" fillId="48" borderId="76" xfId="8736" applyNumberFormat="1" applyFont="1" applyFill="1" applyBorder="1" applyAlignment="1" applyProtection="1">
      <alignment horizontal="center"/>
      <protection locked="0"/>
    </xf>
    <xf numFmtId="0" fontId="173" fillId="48" borderId="69" xfId="8736" applyFont="1" applyFill="1" applyBorder="1" applyAlignment="1" applyProtection="1">
      <alignment horizontal="center"/>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4" fontId="173" fillId="48" borderId="77" xfId="8736" applyNumberFormat="1" applyFont="1" applyFill="1" applyBorder="1" applyAlignment="1" applyProtection="1">
      <alignment horizontal="center"/>
      <protection locked="0"/>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5" fillId="44" borderId="11" xfId="700" applyNumberFormat="1" applyFont="1" applyFill="1" applyBorder="1" applyAlignment="1">
      <alignment horizontal="left"/>
    </xf>
    <xf numFmtId="0" fontId="104" fillId="45" borderId="65" xfId="8736" applyFont="1" applyFill="1" applyBorder="1" applyAlignment="1">
      <alignment horizontal="left" wrapText="1"/>
    </xf>
    <xf numFmtId="0" fontId="104" fillId="45" borderId="29" xfId="8736" applyFont="1" applyFill="1" applyBorder="1" applyAlignment="1">
      <alignment horizontal="left" wrapText="1"/>
    </xf>
    <xf numFmtId="0" fontId="104" fillId="45" borderId="31" xfId="8736" applyFont="1" applyFill="1" applyBorder="1" applyAlignment="1">
      <alignment horizontal="left" wrapText="1"/>
    </xf>
    <xf numFmtId="0" fontId="104" fillId="45" borderId="73" xfId="8736" applyFont="1" applyFill="1" applyBorder="1" applyAlignment="1">
      <alignment horizontal="left" wrapText="1"/>
    </xf>
    <xf numFmtId="0" fontId="104" fillId="45" borderId="42" xfId="8736" applyFont="1" applyFill="1" applyBorder="1" applyAlignment="1">
      <alignment horizontal="left" wrapText="1"/>
    </xf>
    <xf numFmtId="0" fontId="104" fillId="45" borderId="44" xfId="8736" applyFont="1" applyFill="1" applyBorder="1" applyAlignment="1">
      <alignment horizontal="left" wrapText="1"/>
    </xf>
    <xf numFmtId="168" fontId="173" fillId="48" borderId="11" xfId="700" applyNumberFormat="1" applyFont="1" applyFill="1" applyBorder="1" applyAlignment="1" applyProtection="1">
      <alignment horizontal="left"/>
      <protection locked="0"/>
    </xf>
    <xf numFmtId="43" fontId="170" fillId="50" borderId="72" xfId="698" applyFont="1" applyFill="1" applyBorder="1" applyAlignment="1" applyProtection="1">
      <alignment horizontal="left"/>
      <protection hidden="1"/>
    </xf>
    <xf numFmtId="43" fontId="170" fillId="50" borderId="11" xfId="698" applyFont="1" applyFill="1" applyBorder="1" applyAlignment="1" applyProtection="1">
      <alignment horizontal="left"/>
      <protection hidden="1"/>
    </xf>
    <xf numFmtId="44" fontId="4" fillId="48" borderId="11" xfId="700" applyFont="1" applyFill="1" applyBorder="1" applyAlignment="1" applyProtection="1">
      <alignment horizontal="center"/>
      <protection locked="0"/>
    </xf>
    <xf numFmtId="0" fontId="104" fillId="47" borderId="0" xfId="8736" applyFont="1" applyFill="1" applyAlignment="1">
      <alignment horizontal="center"/>
    </xf>
    <xf numFmtId="0" fontId="174" fillId="51" borderId="11" xfId="8736" applyFont="1" applyFill="1" applyBorder="1" applyAlignment="1">
      <alignment horizontal="center"/>
    </xf>
    <xf numFmtId="0" fontId="174" fillId="51" borderId="76" xfId="8736" applyFont="1" applyFill="1" applyBorder="1" applyAlignment="1">
      <alignment horizontal="center"/>
    </xf>
    <xf numFmtId="0" fontId="175" fillId="45" borderId="72" xfId="8736" applyFont="1" applyFill="1" applyBorder="1" applyAlignment="1">
      <alignment horizontal="right"/>
    </xf>
    <xf numFmtId="0" fontId="175" fillId="45" borderId="11" xfId="8736" applyFont="1" applyFill="1" applyBorder="1" applyAlignment="1">
      <alignment horizontal="right"/>
    </xf>
    <xf numFmtId="168" fontId="173" fillId="44" borderId="11" xfId="700" applyNumberFormat="1" applyFont="1" applyFill="1" applyBorder="1" applyAlignment="1" applyProtection="1">
      <alignment horizontal="left"/>
      <protection locked="0"/>
    </xf>
    <xf numFmtId="0" fontId="4" fillId="48" borderId="3" xfId="8736" applyFill="1" applyBorder="1" applyAlignment="1">
      <alignment horizontal="center"/>
    </xf>
    <xf numFmtId="0" fontId="4" fillId="48" borderId="4" xfId="8736" applyFill="1" applyBorder="1" applyAlignment="1">
      <alignment horizontal="center"/>
    </xf>
    <xf numFmtId="0" fontId="4" fillId="48" borderId="81" xfId="8736" applyFill="1" applyBorder="1" applyAlignment="1">
      <alignment horizontal="center"/>
    </xf>
    <xf numFmtId="43" fontId="167" fillId="50" borderId="111" xfId="698" applyFont="1" applyFill="1" applyBorder="1" applyAlignment="1" applyProtection="1">
      <alignment horizontal="center"/>
      <protection hidden="1"/>
    </xf>
    <xf numFmtId="43" fontId="167" fillId="50" borderId="84" xfId="698" applyFont="1" applyFill="1" applyBorder="1" applyAlignment="1" applyProtection="1">
      <alignment horizontal="center"/>
      <protection hidden="1"/>
    </xf>
    <xf numFmtId="43" fontId="167" fillId="50" borderId="102" xfId="698" applyFont="1" applyFill="1" applyBorder="1" applyAlignment="1" applyProtection="1">
      <alignment horizontal="center"/>
      <protection hidden="1"/>
    </xf>
    <xf numFmtId="43" fontId="170" fillId="50" borderId="98" xfId="698" applyFont="1" applyFill="1" applyBorder="1" applyAlignment="1" applyProtection="1">
      <alignment horizontal="left"/>
      <protection hidden="1"/>
    </xf>
    <xf numFmtId="43" fontId="170" fillId="50" borderId="13" xfId="698" applyFont="1" applyFill="1" applyBorder="1" applyAlignment="1" applyProtection="1">
      <alignment horizontal="left"/>
      <protection hidden="1"/>
    </xf>
    <xf numFmtId="44" fontId="4" fillId="48" borderId="13" xfId="700" applyFont="1" applyFill="1" applyBorder="1" applyAlignment="1" applyProtection="1">
      <alignment horizontal="center"/>
      <protection locked="0"/>
    </xf>
    <xf numFmtId="0" fontId="173" fillId="48" borderId="9" xfId="8736" applyFont="1" applyFill="1" applyBorder="1" applyAlignment="1">
      <alignment horizontal="center"/>
    </xf>
    <xf numFmtId="0" fontId="173" fillId="48" borderId="6" xfId="8736" applyFont="1" applyFill="1" applyBorder="1" applyAlignment="1">
      <alignment horizontal="center"/>
    </xf>
    <xf numFmtId="0" fontId="173" fillId="48" borderId="82" xfId="8736" applyFont="1" applyFill="1" applyBorder="1" applyAlignment="1">
      <alignment horizontal="center"/>
    </xf>
    <xf numFmtId="0" fontId="175" fillId="48" borderId="11" xfId="8736" applyFont="1" applyFill="1" applyBorder="1" applyAlignment="1" applyProtection="1">
      <alignment horizontal="left"/>
      <protection locked="0"/>
    </xf>
    <xf numFmtId="0" fontId="4" fillId="48" borderId="1" xfId="8736" applyFill="1" applyBorder="1" applyAlignment="1">
      <alignment horizontal="center"/>
    </xf>
    <xf numFmtId="0" fontId="4" fillId="48" borderId="2" xfId="8736" applyFill="1" applyBorder="1" applyAlignment="1">
      <alignment horizontal="center"/>
    </xf>
    <xf numFmtId="0" fontId="4" fillId="48" borderId="112" xfId="8736" applyFill="1" applyBorder="1" applyAlignment="1">
      <alignment horizontal="center"/>
    </xf>
    <xf numFmtId="0" fontId="175" fillId="48" borderId="72" xfId="8736" applyFont="1" applyFill="1" applyBorder="1" applyAlignment="1" applyProtection="1">
      <alignment horizontal="center"/>
      <protection locked="0"/>
    </xf>
    <xf numFmtId="43" fontId="170" fillId="50" borderId="72" xfId="698" applyFont="1" applyFill="1" applyBorder="1" applyAlignment="1" applyProtection="1">
      <alignment horizontal="left" wrapText="1"/>
      <protection hidden="1"/>
    </xf>
    <xf numFmtId="43" fontId="170" fillId="50" borderId="11" xfId="698" applyFont="1" applyFill="1" applyBorder="1" applyAlignment="1" applyProtection="1">
      <alignment horizontal="left" wrapText="1"/>
      <protection hidden="1"/>
    </xf>
    <xf numFmtId="44" fontId="4" fillId="48" borderId="11" xfId="700" applyFont="1" applyFill="1" applyBorder="1" applyAlignment="1" applyProtection="1">
      <alignment horizontal="center"/>
      <protection hidden="1"/>
    </xf>
    <xf numFmtId="0" fontId="175" fillId="45" borderId="67" xfId="8736" applyFont="1" applyFill="1" applyBorder="1" applyAlignment="1">
      <alignment horizontal="right"/>
    </xf>
    <xf numFmtId="0" fontId="175" fillId="45" borderId="68" xfId="8736" applyFont="1" applyFill="1" applyBorder="1" applyAlignment="1">
      <alignment horizontal="right"/>
    </xf>
    <xf numFmtId="168" fontId="170" fillId="44" borderId="68" xfId="700" applyNumberFormat="1" applyFont="1" applyFill="1" applyBorder="1" applyAlignment="1">
      <alignment horizontal="left"/>
    </xf>
    <xf numFmtId="168" fontId="170" fillId="44" borderId="71" xfId="700" applyNumberFormat="1" applyFont="1" applyFill="1" applyBorder="1" applyAlignment="1">
      <alignment horizontal="left"/>
    </xf>
    <xf numFmtId="0" fontId="172" fillId="48" borderId="66" xfId="8736" applyFont="1" applyFill="1" applyBorder="1" applyAlignment="1">
      <alignment horizontal="left" wrapText="1"/>
    </xf>
    <xf numFmtId="0" fontId="172" fillId="48" borderId="0" xfId="8736" applyFont="1" applyFill="1" applyAlignment="1">
      <alignment horizontal="left" wrapText="1"/>
    </xf>
    <xf numFmtId="0" fontId="172" fillId="48" borderId="41" xfId="8736" applyFont="1" applyFill="1" applyBorder="1" applyAlignment="1">
      <alignment horizontal="left" wrapText="1"/>
    </xf>
    <xf numFmtId="0" fontId="172" fillId="48" borderId="73" xfId="8736" applyFont="1" applyFill="1" applyBorder="1" applyAlignment="1">
      <alignment horizontal="left" wrapText="1"/>
    </xf>
    <xf numFmtId="0" fontId="172" fillId="48" borderId="42" xfId="8736" applyFont="1" applyFill="1" applyBorder="1" applyAlignment="1">
      <alignment horizontal="left" wrapText="1"/>
    </xf>
    <xf numFmtId="0" fontId="172" fillId="48" borderId="44" xfId="8736" applyFont="1" applyFill="1" applyBorder="1" applyAlignment="1">
      <alignment horizontal="left" wrapText="1"/>
    </xf>
    <xf numFmtId="0" fontId="174" fillId="45" borderId="69" xfId="8736" applyFont="1" applyFill="1" applyBorder="1" applyAlignment="1">
      <alignment horizontal="right"/>
    </xf>
    <xf numFmtId="0" fontId="174" fillId="45" borderId="70" xfId="8736" applyFont="1" applyFill="1" applyBorder="1" applyAlignment="1">
      <alignment horizontal="right"/>
    </xf>
    <xf numFmtId="0" fontId="166" fillId="44" borderId="70" xfId="700" applyNumberFormat="1" applyFont="1" applyFill="1" applyBorder="1" applyAlignment="1">
      <alignment horizontal="left"/>
    </xf>
    <xf numFmtId="168" fontId="166" fillId="44" borderId="70" xfId="700" applyNumberFormat="1" applyFont="1" applyFill="1" applyBorder="1" applyAlignment="1">
      <alignment horizontal="left"/>
    </xf>
    <xf numFmtId="168" fontId="166" fillId="44" borderId="77" xfId="700" applyNumberFormat="1" applyFont="1" applyFill="1" applyBorder="1" applyAlignment="1">
      <alignment horizontal="left"/>
    </xf>
    <xf numFmtId="0" fontId="167" fillId="47" borderId="0" xfId="8736" applyFont="1" applyFill="1" applyAlignment="1">
      <alignment horizontal="right"/>
    </xf>
    <xf numFmtId="168" fontId="171" fillId="47" borderId="0" xfId="700" applyNumberFormat="1" applyFont="1" applyFill="1" applyBorder="1" applyAlignment="1" applyProtection="1">
      <alignment horizontal="left"/>
      <protection locked="0"/>
    </xf>
    <xf numFmtId="0" fontId="173" fillId="48" borderId="87" xfId="8736" applyFont="1" applyFill="1" applyBorder="1" applyAlignment="1" applyProtection="1">
      <alignment horizontal="center"/>
      <protection locked="0"/>
    </xf>
    <xf numFmtId="0" fontId="173" fillId="48" borderId="86" xfId="8736" applyFont="1" applyFill="1" applyBorder="1" applyAlignment="1" applyProtection="1">
      <alignment horizontal="center"/>
      <protection locked="0"/>
    </xf>
    <xf numFmtId="0" fontId="175" fillId="48" borderId="70" xfId="8736" applyFont="1" applyFill="1" applyBorder="1" applyAlignment="1" applyProtection="1">
      <alignment horizontal="left"/>
      <protection locked="0"/>
    </xf>
    <xf numFmtId="0" fontId="175" fillId="48" borderId="77" xfId="8736" applyFont="1" applyFill="1" applyBorder="1" applyAlignment="1" applyProtection="1">
      <alignment horizontal="left"/>
      <protection locked="0"/>
    </xf>
    <xf numFmtId="168" fontId="173" fillId="48" borderId="86" xfId="700" applyNumberFormat="1" applyFont="1" applyFill="1" applyBorder="1" applyAlignment="1" applyProtection="1">
      <alignment horizontal="left"/>
      <protection locked="0"/>
    </xf>
    <xf numFmtId="168" fontId="173" fillId="48" borderId="85" xfId="700" applyNumberFormat="1" applyFont="1" applyFill="1" applyBorder="1" applyAlignment="1" applyProtection="1">
      <alignment horizontal="left"/>
      <protection locked="0"/>
    </xf>
    <xf numFmtId="0" fontId="173" fillId="48" borderId="87" xfId="8736" applyFont="1" applyFill="1" applyBorder="1" applyAlignment="1" applyProtection="1">
      <alignment horizontal="left"/>
      <protection locked="0"/>
    </xf>
    <xf numFmtId="0" fontId="173" fillId="48" borderId="86" xfId="8736" applyFont="1" applyFill="1" applyBorder="1" applyAlignment="1" applyProtection="1">
      <alignment horizontal="left"/>
      <protection locked="0"/>
    </xf>
    <xf numFmtId="0" fontId="173" fillId="48" borderId="85" xfId="8736" applyFont="1" applyFill="1" applyBorder="1" applyAlignment="1" applyProtection="1">
      <alignment horizontal="left"/>
      <protection locked="0"/>
    </xf>
    <xf numFmtId="0" fontId="104" fillId="48" borderId="80" xfId="8736" applyFont="1" applyFill="1" applyBorder="1" applyAlignment="1">
      <alignment horizontal="left"/>
    </xf>
    <xf numFmtId="0" fontId="104" fillId="48" borderId="79" xfId="8736" applyFont="1" applyFill="1" applyBorder="1" applyAlignment="1">
      <alignment horizontal="left"/>
    </xf>
    <xf numFmtId="44" fontId="4" fillId="48" borderId="84" xfId="700" applyFont="1" applyFill="1" applyBorder="1" applyAlignment="1" applyProtection="1">
      <alignment horizontal="center"/>
      <protection locked="0"/>
    </xf>
    <xf numFmtId="0" fontId="173" fillId="45" borderId="11" xfId="8736" applyFont="1" applyFill="1" applyBorder="1" applyAlignment="1">
      <alignment horizontal="left"/>
    </xf>
    <xf numFmtId="182" fontId="4" fillId="48" borderId="11" xfId="700" applyNumberFormat="1" applyFont="1" applyFill="1" applyBorder="1" applyAlignment="1" applyProtection="1">
      <alignment horizontal="center"/>
      <protection locked="0"/>
    </xf>
    <xf numFmtId="10" fontId="173" fillId="48" borderId="11" xfId="1022" applyNumberFormat="1" applyFont="1" applyFill="1" applyBorder="1" applyAlignment="1" applyProtection="1">
      <alignment horizontal="center"/>
      <protection locked="0"/>
    </xf>
    <xf numFmtId="182" fontId="4" fillId="0" borderId="13" xfId="8736" applyNumberFormat="1" applyBorder="1" applyAlignment="1">
      <alignment horizontal="center"/>
    </xf>
    <xf numFmtId="0" fontId="4" fillId="0" borderId="13" xfId="8736" applyBorder="1" applyAlignment="1">
      <alignment horizontal="center"/>
    </xf>
    <xf numFmtId="0" fontId="166" fillId="45" borderId="80" xfId="569" applyFont="1" applyFill="1" applyBorder="1" applyAlignment="1" applyProtection="1">
      <alignment horizontal="center" wrapText="1"/>
      <protection hidden="1"/>
    </xf>
    <xf numFmtId="0" fontId="166" fillId="45" borderId="79" xfId="569" applyFont="1" applyFill="1" applyBorder="1" applyAlignment="1" applyProtection="1">
      <alignment horizontal="center" wrapText="1"/>
      <protection hidden="1"/>
    </xf>
    <xf numFmtId="0" fontId="166" fillId="45" borderId="78" xfId="569" applyFont="1" applyFill="1" applyBorder="1" applyAlignment="1" applyProtection="1">
      <alignment horizontal="center" wrapText="1"/>
      <protection hidden="1"/>
    </xf>
    <xf numFmtId="0" fontId="166" fillId="45" borderId="13" xfId="569" applyFont="1" applyFill="1" applyBorder="1" applyAlignment="1" applyProtection="1">
      <alignment horizontal="left" wrapText="1"/>
      <protection hidden="1"/>
    </xf>
    <xf numFmtId="0" fontId="166" fillId="45" borderId="13" xfId="569" applyFont="1" applyFill="1" applyBorder="1" applyAlignment="1" applyProtection="1">
      <alignment horizontal="center" wrapText="1"/>
      <protection hidden="1"/>
    </xf>
    <xf numFmtId="0" fontId="172" fillId="45" borderId="11" xfId="8736" applyFont="1" applyFill="1" applyBorder="1" applyAlignment="1">
      <alignment horizontal="left" wrapText="1"/>
    </xf>
    <xf numFmtId="43" fontId="167" fillId="45" borderId="80" xfId="698" applyFont="1" applyFill="1" applyBorder="1" applyAlignment="1" applyProtection="1">
      <alignment horizontal="center"/>
      <protection hidden="1"/>
    </xf>
    <xf numFmtId="43" fontId="167" fillId="45" borderId="79" xfId="698" applyFont="1" applyFill="1" applyBorder="1" applyAlignment="1" applyProtection="1">
      <alignment horizontal="center"/>
      <protection hidden="1"/>
    </xf>
    <xf numFmtId="43" fontId="167" fillId="45" borderId="78" xfId="698" applyFont="1" applyFill="1" applyBorder="1" applyAlignment="1" applyProtection="1">
      <alignment horizontal="center"/>
      <protection hidden="1"/>
    </xf>
    <xf numFmtId="43" fontId="171" fillId="49" borderId="66" xfId="698" applyFont="1" applyFill="1" applyBorder="1" applyAlignment="1" applyProtection="1">
      <alignment horizontal="center" wrapText="1"/>
      <protection hidden="1"/>
    </xf>
    <xf numFmtId="43" fontId="171" fillId="49" borderId="0" xfId="698" applyFont="1" applyFill="1" applyBorder="1" applyAlignment="1" applyProtection="1">
      <alignment horizontal="center" wrapText="1"/>
      <protection hidden="1"/>
    </xf>
    <xf numFmtId="43" fontId="171" fillId="49" borderId="12" xfId="698" applyFont="1" applyFill="1" applyBorder="1" applyAlignment="1" applyProtection="1">
      <alignment horizontal="center" wrapText="1"/>
      <protection hidden="1"/>
    </xf>
    <xf numFmtId="43" fontId="171" fillId="49" borderId="83" xfId="698" applyFont="1" applyFill="1" applyBorder="1" applyAlignment="1" applyProtection="1">
      <alignment horizontal="center" wrapText="1"/>
      <protection hidden="1"/>
    </xf>
    <xf numFmtId="43" fontId="171" fillId="49" borderId="6" xfId="698" applyFont="1" applyFill="1" applyBorder="1" applyAlignment="1" applyProtection="1">
      <alignment horizontal="center" wrapText="1"/>
      <protection hidden="1"/>
    </xf>
    <xf numFmtId="43" fontId="171" fillId="49" borderId="10" xfId="698" applyFont="1" applyFill="1" applyBorder="1" applyAlignment="1" applyProtection="1">
      <alignment horizontal="center" wrapText="1"/>
      <protection hidden="1"/>
    </xf>
    <xf numFmtId="43" fontId="171" fillId="49" borderId="8" xfId="698" applyFont="1" applyFill="1" applyBorder="1" applyAlignment="1" applyProtection="1">
      <alignment horizontal="center" wrapText="1"/>
      <protection hidden="1"/>
    </xf>
    <xf numFmtId="43" fontId="171" fillId="49" borderId="9" xfId="698" applyFont="1" applyFill="1" applyBorder="1" applyAlignment="1" applyProtection="1">
      <alignment horizontal="center" wrapText="1"/>
      <protection hidden="1"/>
    </xf>
    <xf numFmtId="14" fontId="171" fillId="0" borderId="8" xfId="700" applyNumberFormat="1" applyFont="1" applyFill="1" applyBorder="1" applyAlignment="1" applyProtection="1">
      <alignment horizontal="center" wrapText="1"/>
      <protection hidden="1"/>
    </xf>
    <xf numFmtId="14" fontId="171" fillId="0" borderId="0" xfId="700" applyNumberFormat="1" applyFont="1" applyFill="1" applyBorder="1" applyAlignment="1" applyProtection="1">
      <alignment horizontal="center" wrapText="1"/>
      <protection hidden="1"/>
    </xf>
    <xf numFmtId="14" fontId="171" fillId="0" borderId="12" xfId="700" applyNumberFormat="1" applyFont="1" applyFill="1" applyBorder="1" applyAlignment="1" applyProtection="1">
      <alignment horizontal="center" wrapText="1"/>
      <protection hidden="1"/>
    </xf>
    <xf numFmtId="14" fontId="171" fillId="0" borderId="9" xfId="700" applyNumberFormat="1" applyFont="1" applyFill="1" applyBorder="1" applyAlignment="1" applyProtection="1">
      <alignment horizontal="center" wrapText="1"/>
      <protection hidden="1"/>
    </xf>
    <xf numFmtId="14" fontId="171" fillId="0" borderId="6" xfId="700" applyNumberFormat="1" applyFont="1" applyFill="1" applyBorder="1" applyAlignment="1" applyProtection="1">
      <alignment horizontal="center" wrapText="1"/>
      <protection hidden="1"/>
    </xf>
    <xf numFmtId="14" fontId="171" fillId="0" borderId="10" xfId="700" applyNumberFormat="1" applyFont="1" applyFill="1" applyBorder="1" applyAlignment="1" applyProtection="1">
      <alignment horizontal="center" wrapText="1"/>
      <protection hidden="1"/>
    </xf>
    <xf numFmtId="44" fontId="171" fillId="0" borderId="8" xfId="700" applyFont="1" applyBorder="1" applyAlignment="1" applyProtection="1">
      <alignment horizontal="center" wrapText="1"/>
      <protection hidden="1"/>
    </xf>
    <xf numFmtId="44" fontId="171" fillId="0" borderId="0" xfId="700" applyFont="1" applyBorder="1" applyAlignment="1" applyProtection="1">
      <alignment horizontal="center" wrapText="1"/>
      <protection hidden="1"/>
    </xf>
    <xf numFmtId="44" fontId="171" fillId="0" borderId="12" xfId="700" applyFont="1" applyBorder="1" applyAlignment="1" applyProtection="1">
      <alignment horizontal="center" wrapText="1"/>
      <protection hidden="1"/>
    </xf>
    <xf numFmtId="44" fontId="171" fillId="0" borderId="9" xfId="700" applyFont="1" applyBorder="1" applyAlignment="1" applyProtection="1">
      <alignment horizontal="center" wrapText="1"/>
      <protection hidden="1"/>
    </xf>
    <xf numFmtId="44" fontId="171" fillId="0" borderId="6" xfId="700" applyFont="1" applyBorder="1" applyAlignment="1" applyProtection="1">
      <alignment horizontal="center" wrapText="1"/>
      <protection hidden="1"/>
    </xf>
    <xf numFmtId="44" fontId="171" fillId="0" borderId="10" xfId="700" applyFont="1" applyBorder="1" applyAlignment="1" applyProtection="1">
      <alignment horizontal="center" wrapText="1"/>
      <protection hidden="1"/>
    </xf>
    <xf numFmtId="43" fontId="171" fillId="49" borderId="41" xfId="698" applyFont="1" applyFill="1" applyBorder="1" applyAlignment="1" applyProtection="1">
      <alignment horizontal="center" wrapText="1"/>
      <protection hidden="1"/>
    </xf>
    <xf numFmtId="43" fontId="171" fillId="49" borderId="82" xfId="698" applyFont="1" applyFill="1" applyBorder="1" applyAlignment="1" applyProtection="1">
      <alignment horizontal="center" wrapText="1"/>
      <protection hidden="1"/>
    </xf>
    <xf numFmtId="0" fontId="169" fillId="50" borderId="3" xfId="698" applyNumberFormat="1" applyFont="1" applyFill="1" applyBorder="1" applyAlignment="1" applyProtection="1">
      <alignment horizontal="center"/>
      <protection locked="0"/>
    </xf>
    <xf numFmtId="0" fontId="169" fillId="50" borderId="4" xfId="698" applyNumberFormat="1" applyFont="1" applyFill="1" applyBorder="1" applyAlignment="1" applyProtection="1">
      <alignment horizontal="center"/>
      <protection locked="0"/>
    </xf>
    <xf numFmtId="0" fontId="169" fillId="50" borderId="81" xfId="698" applyNumberFormat="1" applyFont="1" applyFill="1" applyBorder="1" applyAlignment="1" applyProtection="1">
      <alignment horizontal="center"/>
      <protection locked="0"/>
    </xf>
    <xf numFmtId="0" fontId="170" fillId="49" borderId="72" xfId="698" applyNumberFormat="1" applyFont="1" applyFill="1" applyBorder="1" applyAlignment="1" applyProtection="1">
      <alignment horizontal="center"/>
      <protection hidden="1"/>
    </xf>
    <xf numFmtId="0" fontId="170" fillId="49" borderId="11" xfId="698" applyNumberFormat="1" applyFont="1" applyFill="1" applyBorder="1" applyAlignment="1" applyProtection="1">
      <alignment horizontal="center"/>
      <protection hidden="1"/>
    </xf>
    <xf numFmtId="0" fontId="170" fillId="48" borderId="11" xfId="569" applyFont="1" applyFill="1" applyBorder="1" applyAlignment="1" applyProtection="1">
      <alignment horizontal="center"/>
      <protection locked="0"/>
    </xf>
    <xf numFmtId="14" fontId="169" fillId="48" borderId="11" xfId="700" applyNumberFormat="1" applyFont="1" applyFill="1" applyBorder="1" applyAlignment="1" applyProtection="1">
      <alignment horizontal="center"/>
      <protection locked="0"/>
    </xf>
    <xf numFmtId="168" fontId="170" fillId="48" borderId="11" xfId="700" applyNumberFormat="1" applyFont="1" applyFill="1" applyBorder="1" applyAlignment="1" applyProtection="1">
      <alignment horizontal="center"/>
      <protection locked="0"/>
    </xf>
    <xf numFmtId="9" fontId="170" fillId="48" borderId="11" xfId="1022" applyFont="1" applyFill="1" applyBorder="1" applyAlignment="1" applyProtection="1">
      <alignment horizontal="center"/>
      <protection locked="0"/>
    </xf>
    <xf numFmtId="44" fontId="169" fillId="48" borderId="11" xfId="700" applyFont="1" applyFill="1" applyBorder="1" applyAlignment="1" applyProtection="1">
      <alignment horizontal="center"/>
      <protection locked="0"/>
    </xf>
    <xf numFmtId="0" fontId="168" fillId="47" borderId="65" xfId="8736" applyFont="1" applyFill="1" applyBorder="1" applyAlignment="1">
      <alignment horizontal="center"/>
    </xf>
    <xf numFmtId="0" fontId="168" fillId="47" borderId="29" xfId="8736" applyFont="1" applyFill="1" applyBorder="1" applyAlignment="1">
      <alignment horizontal="center"/>
    </xf>
    <xf numFmtId="0" fontId="168" fillId="47" borderId="31" xfId="8736" applyFont="1" applyFill="1" applyBorder="1" applyAlignment="1">
      <alignment horizontal="center"/>
    </xf>
    <xf numFmtId="0" fontId="4" fillId="47" borderId="66" xfId="8736" applyFill="1" applyBorder="1" applyAlignment="1">
      <alignment horizontal="center"/>
    </xf>
    <xf numFmtId="0" fontId="4" fillId="47" borderId="0" xfId="8736" applyFill="1" applyAlignment="1">
      <alignment horizontal="center"/>
    </xf>
    <xf numFmtId="0" fontId="4" fillId="47" borderId="41" xfId="8736" applyFill="1" applyBorder="1" applyAlignment="1">
      <alignment horizontal="center"/>
    </xf>
    <xf numFmtId="0" fontId="167" fillId="47" borderId="66" xfId="8736" applyFont="1" applyFill="1" applyBorder="1" applyAlignment="1">
      <alignment horizontal="center"/>
    </xf>
    <xf numFmtId="0" fontId="167" fillId="47" borderId="0" xfId="8736" applyFont="1" applyFill="1" applyAlignment="1">
      <alignment horizontal="center"/>
    </xf>
    <xf numFmtId="0" fontId="167" fillId="47" borderId="41" xfId="8736" applyFont="1" applyFill="1" applyBorder="1" applyAlignment="1">
      <alignment horizontal="center"/>
    </xf>
    <xf numFmtId="0" fontId="104" fillId="47" borderId="66" xfId="8736" applyFont="1" applyFill="1" applyBorder="1" applyAlignment="1">
      <alignment horizontal="center"/>
    </xf>
    <xf numFmtId="0" fontId="104" fillId="47" borderId="41" xfId="8736" applyFont="1" applyFill="1" applyBorder="1" applyAlignment="1">
      <alignment horizontal="center"/>
    </xf>
    <xf numFmtId="0" fontId="104" fillId="47" borderId="0" xfId="8736" applyFont="1" applyFill="1" applyAlignment="1">
      <alignment horizontal="left"/>
    </xf>
    <xf numFmtId="43" fontId="167" fillId="49" borderId="72" xfId="698" applyFont="1" applyFill="1" applyBorder="1" applyAlignment="1" applyProtection="1">
      <alignment horizontal="right"/>
      <protection hidden="1"/>
    </xf>
    <xf numFmtId="43" fontId="167" fillId="49" borderId="11" xfId="698" applyFont="1" applyFill="1" applyBorder="1" applyAlignment="1" applyProtection="1">
      <alignment horizontal="right"/>
      <protection hidden="1"/>
    </xf>
    <xf numFmtId="44" fontId="167" fillId="0" borderId="11" xfId="700" applyFont="1" applyBorder="1" applyAlignment="1" applyProtection="1">
      <alignment horizontal="center"/>
      <protection hidden="1"/>
    </xf>
    <xf numFmtId="168" fontId="167" fillId="0" borderId="11" xfId="700" applyNumberFormat="1" applyFont="1" applyBorder="1" applyAlignment="1" applyProtection="1">
      <alignment horizontal="center"/>
      <protection hidden="1"/>
    </xf>
    <xf numFmtId="9" fontId="167" fillId="0" borderId="11" xfId="1022" applyFont="1" applyBorder="1" applyAlignment="1" applyProtection="1">
      <alignment horizontal="center"/>
      <protection hidden="1"/>
    </xf>
    <xf numFmtId="43" fontId="167" fillId="49" borderId="3" xfId="698" applyFont="1" applyFill="1" applyBorder="1" applyAlignment="1" applyProtection="1">
      <alignment horizontal="center"/>
      <protection hidden="1"/>
    </xf>
    <xf numFmtId="43" fontId="167" fillId="49" borderId="4" xfId="698" applyFont="1" applyFill="1" applyBorder="1" applyAlignment="1" applyProtection="1">
      <alignment horizontal="center"/>
      <protection hidden="1"/>
    </xf>
    <xf numFmtId="43" fontId="167" fillId="49" borderId="81" xfId="698" applyFont="1" applyFill="1" applyBorder="1" applyAlignment="1" applyProtection="1">
      <alignment horizontal="center"/>
      <protection hidden="1"/>
    </xf>
    <xf numFmtId="0" fontId="104" fillId="44" borderId="0" xfId="8736" applyFont="1" applyFill="1" applyAlignment="1">
      <alignment horizontal="left"/>
    </xf>
    <xf numFmtId="0" fontId="4" fillId="48" borderId="80" xfId="8736" applyFill="1" applyBorder="1" applyAlignment="1" applyProtection="1">
      <alignment horizontal="left"/>
      <protection locked="0"/>
    </xf>
    <xf numFmtId="0" fontId="4" fillId="48" borderId="79" xfId="8736" applyFill="1" applyBorder="1" applyAlignment="1" applyProtection="1">
      <alignment horizontal="left"/>
      <protection locked="0"/>
    </xf>
    <xf numFmtId="0" fontId="4" fillId="48" borderId="78" xfId="8736" applyFill="1" applyBorder="1" applyAlignment="1" applyProtection="1">
      <alignment horizontal="left"/>
      <protection locked="0"/>
    </xf>
    <xf numFmtId="0" fontId="166" fillId="44" borderId="0" xfId="8736" applyFont="1" applyFill="1" applyAlignment="1">
      <alignment horizontal="left" vertical="top"/>
    </xf>
    <xf numFmtId="0" fontId="104" fillId="44" borderId="0" xfId="8730" applyFont="1" applyFill="1" applyBorder="1" applyAlignment="1">
      <alignment horizontal="left" vertical="top"/>
    </xf>
    <xf numFmtId="14" fontId="4" fillId="48" borderId="80" xfId="8736" applyNumberFormat="1" applyFill="1" applyBorder="1" applyAlignment="1" applyProtection="1">
      <alignment horizontal="center"/>
      <protection locked="0"/>
    </xf>
    <xf numFmtId="14" fontId="4" fillId="48" borderId="79" xfId="8736" applyNumberFormat="1" applyFill="1" applyBorder="1" applyAlignment="1" applyProtection="1">
      <alignment horizontal="center"/>
      <protection locked="0"/>
    </xf>
    <xf numFmtId="14" fontId="4" fillId="48" borderId="78" xfId="8736" applyNumberFormat="1" applyFill="1" applyBorder="1" applyAlignment="1" applyProtection="1">
      <alignment horizontal="center"/>
      <protection locked="0"/>
    </xf>
    <xf numFmtId="0" fontId="167" fillId="47" borderId="0" xfId="8736" applyFont="1" applyFill="1" applyAlignment="1">
      <alignment horizontal="left" vertical="top" wrapText="1"/>
    </xf>
    <xf numFmtId="0" fontId="104" fillId="47" borderId="42" xfId="8736" applyFont="1" applyFill="1" applyBorder="1" applyAlignment="1">
      <alignment horizontal="center"/>
    </xf>
    <xf numFmtId="0" fontId="4" fillId="48" borderId="80" xfId="8736" applyFill="1" applyBorder="1" applyAlignment="1" applyProtection="1">
      <alignment horizontal="center"/>
      <protection locked="0"/>
    </xf>
    <xf numFmtId="0" fontId="4" fillId="48" borderId="79" xfId="8736" applyFill="1" applyBorder="1" applyAlignment="1" applyProtection="1">
      <alignment horizontal="center"/>
      <protection locked="0"/>
    </xf>
    <xf numFmtId="0" fontId="4" fillId="48" borderId="78" xfId="8736" applyFill="1" applyBorder="1" applyAlignment="1" applyProtection="1">
      <alignment horizontal="center"/>
      <protection locked="0"/>
    </xf>
    <xf numFmtId="168" fontId="20" fillId="0" borderId="11" xfId="569" applyNumberFormat="1" applyBorder="1"/>
    <xf numFmtId="168" fontId="20" fillId="0" borderId="3" xfId="569" applyNumberFormat="1" applyBorder="1"/>
    <xf numFmtId="168" fontId="20" fillId="0" borderId="4" xfId="569" applyNumberFormat="1" applyBorder="1"/>
    <xf numFmtId="168" fontId="20" fillId="0" borderId="5" xfId="569" applyNumberFormat="1" applyBorder="1"/>
    <xf numFmtId="168" fontId="20" fillId="0" borderId="11" xfId="569" applyNumberFormat="1" applyBorder="1" applyAlignment="1">
      <alignment wrapText="1"/>
    </xf>
    <xf numFmtId="168" fontId="20" fillId="0" borderId="11" xfId="569" applyNumberFormat="1" applyBorder="1" applyAlignment="1">
      <alignment horizontal="right"/>
    </xf>
    <xf numFmtId="9" fontId="20" fillId="0" borderId="15" xfId="569" applyNumberFormat="1" applyBorder="1" applyAlignment="1">
      <alignment horizontal="center"/>
    </xf>
    <xf numFmtId="168" fontId="20" fillId="0" borderId="11" xfId="569" applyNumberFormat="1" applyBorder="1" applyAlignment="1">
      <alignment horizontal="center"/>
    </xf>
    <xf numFmtId="0" fontId="20" fillId="0" borderId="11" xfId="569" applyBorder="1" applyAlignment="1">
      <alignment horizontal="center"/>
    </xf>
    <xf numFmtId="176" fontId="20" fillId="5" borderId="3" xfId="569" applyNumberFormat="1" applyFill="1" applyBorder="1" applyAlignment="1" applyProtection="1">
      <alignment horizontal="right"/>
      <protection locked="0"/>
    </xf>
    <xf numFmtId="176" fontId="20" fillId="5" borderId="4" xfId="569" applyNumberFormat="1" applyFill="1" applyBorder="1" applyAlignment="1" applyProtection="1">
      <alignment horizontal="right"/>
      <protection locked="0"/>
    </xf>
    <xf numFmtId="176" fontId="20" fillId="5" borderId="5" xfId="569" applyNumberFormat="1" applyFill="1" applyBorder="1" applyAlignment="1" applyProtection="1">
      <alignment horizontal="right"/>
      <protection locked="0"/>
    </xf>
    <xf numFmtId="0" fontId="109" fillId="0" borderId="0" xfId="0" applyFont="1" applyAlignment="1">
      <alignment horizontal="left" vertical="top" wrapText="1"/>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0" fontId="27" fillId="0" borderId="6" xfId="569" applyFont="1" applyBorder="1" applyAlignment="1">
      <alignment horizontal="center"/>
    </xf>
    <xf numFmtId="168" fontId="20" fillId="0" borderId="3" xfId="569" applyNumberFormat="1" applyBorder="1" applyAlignment="1">
      <alignment horizontal="center"/>
    </xf>
    <xf numFmtId="0" fontId="20" fillId="0" borderId="4" xfId="569" applyBorder="1" applyAlignment="1">
      <alignment horizontal="center"/>
    </xf>
    <xf numFmtId="0" fontId="20" fillId="0" borderId="5" xfId="569" applyBorder="1" applyAlignment="1">
      <alignment horizontal="center"/>
    </xf>
    <xf numFmtId="0" fontId="109" fillId="0" borderId="0" xfId="569" applyFont="1" applyAlignment="1">
      <alignment horizontal="left" wrapText="1"/>
    </xf>
    <xf numFmtId="168" fontId="20" fillId="0" borderId="3" xfId="569" applyNumberFormat="1" applyBorder="1" applyAlignment="1">
      <alignment horizontal="right"/>
    </xf>
    <xf numFmtId="168" fontId="20" fillId="0" borderId="4" xfId="569" applyNumberFormat="1" applyBorder="1" applyAlignment="1">
      <alignment horizontal="right"/>
    </xf>
    <xf numFmtId="168" fontId="20" fillId="0" borderId="5" xfId="569" applyNumberFormat="1" applyBorder="1" applyAlignment="1">
      <alignment horizontal="right"/>
    </xf>
    <xf numFmtId="0" fontId="27" fillId="0" borderId="16" xfId="271" applyFont="1" applyBorder="1" applyAlignment="1">
      <alignment horizontal="center"/>
    </xf>
    <xf numFmtId="168" fontId="20" fillId="0" borderId="4" xfId="569" applyNumberFormat="1" applyBorder="1" applyAlignment="1">
      <alignment horizontal="center"/>
    </xf>
    <xf numFmtId="168" fontId="20" fillId="0" borderId="5" xfId="569" applyNumberFormat="1" applyBorder="1" applyAlignment="1">
      <alignment horizontal="center"/>
    </xf>
    <xf numFmtId="0" fontId="27" fillId="0" borderId="11" xfId="569" applyFont="1" applyBorder="1" applyAlignment="1">
      <alignment horizontal="center" wrapText="1"/>
    </xf>
    <xf numFmtId="0" fontId="27" fillId="0" borderId="11" xfId="569" applyFont="1" applyBorder="1" applyAlignment="1">
      <alignment horizontal="center"/>
    </xf>
    <xf numFmtId="165" fontId="20" fillId="0" borderId="11" xfId="569" applyNumberFormat="1" applyBorder="1" applyAlignment="1" applyProtection="1">
      <alignment horizontal="center"/>
      <protection locked="0"/>
    </xf>
    <xf numFmtId="0" fontId="56" fillId="0" borderId="0" xfId="569" applyFont="1" applyAlignment="1">
      <alignment horizontal="left"/>
    </xf>
    <xf numFmtId="5" fontId="20" fillId="0" borderId="5" xfId="569" applyNumberFormat="1" applyBorder="1" applyAlignment="1">
      <alignment horizontal="center"/>
    </xf>
    <xf numFmtId="5" fontId="20" fillId="0" borderId="11" xfId="569" applyNumberFormat="1" applyBorder="1" applyAlignment="1">
      <alignment horizontal="center"/>
    </xf>
    <xf numFmtId="5" fontId="20" fillId="0" borderId="3" xfId="569" applyNumberFormat="1" applyBorder="1" applyAlignment="1">
      <alignment horizontal="center"/>
    </xf>
    <xf numFmtId="5" fontId="20" fillId="0" borderId="4" xfId="569" applyNumberFormat="1" applyBorder="1" applyAlignment="1">
      <alignment horizontal="center"/>
    </xf>
    <xf numFmtId="168" fontId="20" fillId="5" borderId="5" xfId="569" applyNumberFormat="1" applyFill="1" applyBorder="1" applyAlignment="1" applyProtection="1">
      <alignment horizontal="center"/>
      <protection locked="0"/>
    </xf>
    <xf numFmtId="168" fontId="20" fillId="5" borderId="11" xfId="569" applyNumberFormat="1" applyFill="1" applyBorder="1" applyAlignment="1" applyProtection="1">
      <alignment horizontal="center"/>
      <protection locked="0"/>
    </xf>
    <xf numFmtId="9" fontId="20" fillId="0" borderId="5" xfId="569" applyNumberFormat="1" applyBorder="1" applyAlignment="1">
      <alignment horizontal="center"/>
    </xf>
    <xf numFmtId="9" fontId="20" fillId="0" borderId="11" xfId="569" applyNumberFormat="1" applyBorder="1" applyAlignment="1">
      <alignment horizontal="center"/>
    </xf>
    <xf numFmtId="9" fontId="20" fillId="0" borderId="9" xfId="569" applyNumberFormat="1" applyBorder="1" applyAlignment="1">
      <alignment horizontal="center" vertical="center"/>
    </xf>
    <xf numFmtId="9" fontId="20" fillId="0" borderId="6" xfId="569" applyNumberFormat="1" applyBorder="1" applyAlignment="1">
      <alignment horizontal="center" vertical="center"/>
    </xf>
    <xf numFmtId="9" fontId="20" fillId="0" borderId="10" xfId="569" applyNumberFormat="1" applyBorder="1" applyAlignment="1">
      <alignment horizontal="center" vertical="center"/>
    </xf>
    <xf numFmtId="168" fontId="20" fillId="2" borderId="3" xfId="569" applyNumberFormat="1" applyFill="1" applyBorder="1" applyAlignment="1">
      <alignment horizontal="center"/>
    </xf>
    <xf numFmtId="168" fontId="20" fillId="2" borderId="4" xfId="569" applyNumberFormat="1" applyFill="1" applyBorder="1" applyAlignment="1">
      <alignment horizontal="center"/>
    </xf>
    <xf numFmtId="168" fontId="20" fillId="2" borderId="5" xfId="569" applyNumberFormat="1" applyFill="1" applyBorder="1" applyAlignment="1">
      <alignment horizontal="center"/>
    </xf>
    <xf numFmtId="168" fontId="20" fillId="5" borderId="10" xfId="569" applyNumberFormat="1" applyFill="1" applyBorder="1" applyAlignment="1" applyProtection="1">
      <alignment horizontal="center"/>
      <protection locked="0"/>
    </xf>
    <xf numFmtId="168" fontId="20" fillId="5" borderId="13" xfId="569" applyNumberFormat="1" applyFill="1" applyBorder="1" applyAlignment="1" applyProtection="1">
      <alignment horizontal="center"/>
      <protection locked="0"/>
    </xf>
    <xf numFmtId="0" fontId="26" fillId="3" borderId="2" xfId="569" applyFont="1" applyFill="1" applyBorder="1" applyAlignment="1">
      <alignment horizontal="center" vertical="center"/>
    </xf>
    <xf numFmtId="0" fontId="26" fillId="3" borderId="16" xfId="569" applyFont="1" applyFill="1" applyBorder="1" applyAlignment="1">
      <alignment horizontal="center" vertical="center"/>
    </xf>
    <xf numFmtId="168" fontId="20" fillId="0" borderId="7" xfId="569" applyNumberFormat="1" applyBorder="1" applyAlignment="1">
      <alignment horizontal="center"/>
    </xf>
    <xf numFmtId="168" fontId="20" fillId="0" borderId="15" xfId="569" applyNumberFormat="1" applyBorder="1" applyAlignment="1">
      <alignment horizontal="center"/>
    </xf>
    <xf numFmtId="0" fontId="27" fillId="0" borderId="3" xfId="569" applyFont="1" applyBorder="1" applyAlignment="1">
      <alignment horizontal="left"/>
    </xf>
    <xf numFmtId="0" fontId="27" fillId="0" borderId="5" xfId="569" applyFont="1" applyBorder="1" applyAlignment="1">
      <alignment horizontal="left"/>
    </xf>
    <xf numFmtId="0" fontId="28" fillId="0" borderId="4" xfId="569" applyFont="1" applyBorder="1" applyAlignment="1">
      <alignment horizontal="left"/>
    </xf>
    <xf numFmtId="0" fontId="28" fillId="0" borderId="5" xfId="569" applyFont="1" applyBorder="1" applyAlignment="1">
      <alignment horizontal="left"/>
    </xf>
    <xf numFmtId="179" fontId="27" fillId="0" borderId="0" xfId="569" applyNumberFormat="1" applyFont="1" applyAlignment="1">
      <alignment horizontal="center" wrapText="1"/>
    </xf>
    <xf numFmtId="164" fontId="27" fillId="0" borderId="0" xfId="569" applyNumberFormat="1" applyFont="1" applyAlignment="1">
      <alignment horizontal="center" wrapText="1"/>
    </xf>
    <xf numFmtId="0" fontId="20" fillId="0" borderId="3" xfId="569" applyBorder="1" applyAlignment="1">
      <alignment horizontal="right"/>
    </xf>
    <xf numFmtId="0" fontId="20" fillId="0" borderId="4" xfId="569" applyBorder="1" applyAlignment="1">
      <alignment horizontal="right"/>
    </xf>
    <xf numFmtId="0" fontId="20" fillId="0" borderId="5" xfId="569" applyBorder="1" applyAlignment="1">
      <alignment horizontal="right"/>
    </xf>
    <xf numFmtId="0" fontId="28" fillId="0" borderId="3" xfId="569" applyFont="1" applyBorder="1" applyAlignment="1">
      <alignment horizontal="right"/>
    </xf>
    <xf numFmtId="0" fontId="28" fillId="0" borderId="4" xfId="569" applyFont="1" applyBorder="1" applyAlignment="1">
      <alignment horizontal="right"/>
    </xf>
    <xf numFmtId="0" fontId="28" fillId="0" borderId="5" xfId="569" applyFont="1" applyBorder="1" applyAlignment="1">
      <alignment horizontal="right"/>
    </xf>
    <xf numFmtId="0" fontId="0" fillId="5" borderId="4" xfId="0" applyFill="1" applyBorder="1" applyAlignment="1" applyProtection="1">
      <alignment horizontal="left" wrapText="1"/>
      <protection locked="0"/>
    </xf>
    <xf numFmtId="0" fontId="28" fillId="0" borderId="0" xfId="4495" applyFont="1" applyAlignment="1">
      <alignment horizontal="left" vertical="top" wrapText="1"/>
    </xf>
    <xf numFmtId="0" fontId="124" fillId="5" borderId="6" xfId="4496" applyFont="1" applyFill="1" applyBorder="1" applyAlignment="1" applyProtection="1">
      <alignment horizontal="center"/>
      <protection locked="0"/>
    </xf>
    <xf numFmtId="0" fontId="20" fillId="0" borderId="50" xfId="4495" applyFont="1" applyBorder="1" applyAlignment="1">
      <alignment vertical="center" wrapText="1"/>
    </xf>
    <xf numFmtId="0" fontId="20" fillId="0" borderId="51" xfId="4495" applyFont="1" applyBorder="1" applyAlignment="1">
      <alignment vertical="center" wrapText="1"/>
    </xf>
    <xf numFmtId="0" fontId="20" fillId="0" borderId="52" xfId="4495" applyFont="1" applyBorder="1" applyAlignment="1">
      <alignment vertical="center" wrapText="1"/>
    </xf>
    <xf numFmtId="0" fontId="20" fillId="0" borderId="57" xfId="4495" applyFont="1" applyBorder="1" applyAlignment="1">
      <alignment vertical="center" wrapText="1"/>
    </xf>
    <xf numFmtId="0" fontId="20" fillId="0" borderId="58" xfId="4495" applyFont="1" applyBorder="1" applyAlignment="1">
      <alignment vertical="center" wrapText="1"/>
    </xf>
    <xf numFmtId="0" fontId="20" fillId="0" borderId="59" xfId="4495" applyFont="1" applyBorder="1" applyAlignment="1">
      <alignment vertical="center" wrapText="1"/>
    </xf>
    <xf numFmtId="0" fontId="20" fillId="0" borderId="47" xfId="4495" applyFont="1" applyBorder="1" applyAlignment="1">
      <alignment horizontal="left" vertical="center" wrapText="1"/>
    </xf>
    <xf numFmtId="0" fontId="20" fillId="0" borderId="48" xfId="4495" applyFont="1" applyBorder="1" applyAlignment="1">
      <alignment horizontal="left" vertical="center" wrapText="1"/>
    </xf>
    <xf numFmtId="0" fontId="20" fillId="0" borderId="49" xfId="4495" applyFont="1" applyBorder="1" applyAlignment="1">
      <alignment horizontal="left" vertical="center" wrapText="1"/>
    </xf>
    <xf numFmtId="0" fontId="124" fillId="0" borderId="50" xfId="4496" applyFont="1" applyBorder="1" applyAlignment="1">
      <alignment horizontal="left" vertical="top" wrapText="1"/>
    </xf>
    <xf numFmtId="0" fontId="124" fillId="0" borderId="51" xfId="4496" applyFont="1" applyBorder="1" applyAlignment="1">
      <alignment horizontal="left" vertical="top" wrapText="1"/>
    </xf>
    <xf numFmtId="0" fontId="124" fillId="0" borderId="52" xfId="4496" applyFont="1" applyBorder="1" applyAlignment="1">
      <alignment horizontal="left" vertical="top" wrapText="1"/>
    </xf>
    <xf numFmtId="0" fontId="124" fillId="0" borderId="57" xfId="4496" applyFont="1" applyBorder="1" applyAlignment="1">
      <alignment horizontal="left" vertical="top" wrapText="1"/>
    </xf>
    <xf numFmtId="0" fontId="124" fillId="0" borderId="58" xfId="4496" applyFont="1" applyBorder="1" applyAlignment="1">
      <alignment horizontal="left" vertical="top" wrapText="1"/>
    </xf>
    <xf numFmtId="0" fontId="124" fillId="0" borderId="59" xfId="4496" applyFont="1" applyBorder="1" applyAlignment="1">
      <alignment horizontal="left" vertical="top" wrapText="1"/>
    </xf>
    <xf numFmtId="0" fontId="20" fillId="0" borderId="50" xfId="4495" applyFont="1" applyBorder="1" applyAlignment="1">
      <alignment horizontal="left" vertical="center" wrapText="1"/>
    </xf>
    <xf numFmtId="0" fontId="20" fillId="0" borderId="51" xfId="4495" applyFont="1" applyBorder="1" applyAlignment="1">
      <alignment horizontal="left" vertical="center" wrapText="1"/>
    </xf>
    <xf numFmtId="0" fontId="20" fillId="0" borderId="52" xfId="4495" applyFont="1" applyBorder="1" applyAlignment="1">
      <alignment horizontal="left" vertical="center" wrapText="1"/>
    </xf>
    <xf numFmtId="0" fontId="20" fillId="0" borderId="57" xfId="4495" applyFont="1" applyBorder="1" applyAlignment="1">
      <alignment horizontal="left" vertical="center" wrapText="1"/>
    </xf>
    <xf numFmtId="0" fontId="20" fillId="0" borderId="58" xfId="4495" applyFont="1" applyBorder="1" applyAlignment="1">
      <alignment horizontal="left" vertical="center" wrapText="1"/>
    </xf>
    <xf numFmtId="0" fontId="20" fillId="0" borderId="59" xfId="4495" applyFont="1" applyBorder="1" applyAlignment="1">
      <alignment horizontal="left" vertical="center" wrapText="1"/>
    </xf>
    <xf numFmtId="165" fontId="124" fillId="0" borderId="55" xfId="4496" applyNumberFormat="1" applyFont="1" applyBorder="1" applyAlignment="1">
      <alignment horizontal="center" vertical="top" wrapText="1"/>
    </xf>
    <xf numFmtId="165" fontId="124" fillId="0" borderId="6" xfId="4496" applyNumberFormat="1" applyFont="1" applyBorder="1" applyAlignment="1">
      <alignment horizontal="center" vertical="top" wrapText="1"/>
    </xf>
    <xf numFmtId="165" fontId="124" fillId="0" borderId="60" xfId="4496" applyNumberFormat="1" applyFont="1" applyBorder="1" applyAlignment="1">
      <alignment horizontal="center" vertical="top" wrapText="1"/>
    </xf>
    <xf numFmtId="165" fontId="124" fillId="0" borderId="4" xfId="4496" applyNumberFormat="1" applyFont="1" applyBorder="1" applyAlignment="1">
      <alignment horizontal="center" vertical="top" wrapText="1"/>
    </xf>
    <xf numFmtId="0" fontId="124" fillId="5" borderId="60" xfId="4496" applyFont="1" applyFill="1" applyBorder="1" applyAlignment="1" applyProtection="1">
      <alignment horizontal="center"/>
      <protection locked="0"/>
    </xf>
    <xf numFmtId="0" fontId="124" fillId="5" borderId="4" xfId="4496" applyFont="1" applyFill="1" applyBorder="1" applyAlignment="1" applyProtection="1">
      <alignment horizontal="center"/>
      <protection locked="0"/>
    </xf>
    <xf numFmtId="0" fontId="27" fillId="0" borderId="0" xfId="4495" applyFont="1" applyAlignment="1">
      <alignment horizontal="right"/>
    </xf>
    <xf numFmtId="0" fontId="124" fillId="0" borderId="53" xfId="4496" applyFont="1" applyBorder="1" applyAlignment="1">
      <alignment horizontal="left" vertical="top" wrapText="1"/>
    </xf>
    <xf numFmtId="0" fontId="124" fillId="0" borderId="0" xfId="4496" applyFont="1" applyAlignment="1">
      <alignment horizontal="left" vertical="top" wrapText="1"/>
    </xf>
    <xf numFmtId="0" fontId="124" fillId="0" borderId="54" xfId="4496" applyFont="1" applyBorder="1" applyAlignment="1">
      <alignment horizontal="left" vertical="top" wrapText="1"/>
    </xf>
    <xf numFmtId="0" fontId="124" fillId="5" borderId="55" xfId="4496" applyFont="1" applyFill="1" applyBorder="1" applyAlignment="1" applyProtection="1">
      <alignment horizontal="center"/>
      <protection locked="0"/>
    </xf>
    <xf numFmtId="168" fontId="124" fillId="0" borderId="55" xfId="4496" applyNumberFormat="1" applyFont="1" applyBorder="1" applyAlignment="1">
      <alignment horizontal="center" vertical="top"/>
    </xf>
    <xf numFmtId="168" fontId="124" fillId="0" borderId="6" xfId="4496" applyNumberFormat="1" applyFont="1" applyBorder="1" applyAlignment="1">
      <alignment horizontal="center" vertical="top"/>
    </xf>
    <xf numFmtId="0" fontId="26" fillId="3" borderId="2" xfId="4495" applyFont="1" applyFill="1" applyBorder="1" applyAlignment="1">
      <alignment horizontal="center" vertical="center"/>
    </xf>
    <xf numFmtId="0" fontId="26" fillId="3" borderId="16" xfId="4495" applyFont="1" applyFill="1" applyBorder="1" applyAlignment="1">
      <alignment horizontal="center" vertical="center"/>
    </xf>
    <xf numFmtId="0" fontId="27" fillId="0" borderId="48" xfId="4495" applyFont="1" applyBorder="1" applyAlignment="1">
      <alignment horizontal="left" vertical="top"/>
    </xf>
    <xf numFmtId="0" fontId="27" fillId="0" borderId="49" xfId="4495" applyFont="1" applyBorder="1" applyAlignment="1">
      <alignment horizontal="left" vertical="top"/>
    </xf>
    <xf numFmtId="1" fontId="20" fillId="0" borderId="3" xfId="4495" applyNumberFormat="1" applyFont="1" applyBorder="1" applyAlignment="1">
      <alignment horizontal="center"/>
    </xf>
    <xf numFmtId="1" fontId="20" fillId="0" borderId="4" xfId="4495" applyNumberFormat="1" applyFont="1" applyBorder="1" applyAlignment="1">
      <alignment horizontal="center"/>
    </xf>
    <xf numFmtId="1" fontId="20" fillId="0" borderId="5" xfId="4495" applyNumberFormat="1" applyFont="1" applyBorder="1" applyAlignment="1">
      <alignment horizontal="center"/>
    </xf>
    <xf numFmtId="0" fontId="20" fillId="0" borderId="53" xfId="4495" applyFont="1" applyBorder="1" applyAlignment="1">
      <alignment vertical="center" wrapText="1"/>
    </xf>
    <xf numFmtId="0" fontId="20" fillId="0" borderId="0" xfId="4495" applyFont="1" applyAlignment="1">
      <alignment vertical="center" wrapText="1"/>
    </xf>
    <xf numFmtId="0" fontId="20" fillId="0" borderId="54" xfId="4495" applyFont="1" applyBorder="1" applyAlignment="1">
      <alignment vertical="center" wrapText="1"/>
    </xf>
    <xf numFmtId="0" fontId="20" fillId="0" borderId="53" xfId="4495" applyFont="1" applyBorder="1" applyAlignment="1">
      <alignment horizontal="left" vertical="center" wrapText="1"/>
    </xf>
    <xf numFmtId="0" fontId="20" fillId="0" borderId="0" xfId="4495" applyFont="1" applyAlignment="1">
      <alignment horizontal="left" vertical="center" wrapText="1"/>
    </xf>
    <xf numFmtId="0" fontId="20" fillId="0" borderId="54" xfId="4495" applyFont="1" applyBorder="1" applyAlignment="1">
      <alignment horizontal="left" vertical="center" wrapText="1"/>
    </xf>
    <xf numFmtId="10" fontId="124" fillId="0" borderId="3" xfId="4496" applyNumberFormat="1" applyFont="1" applyBorder="1" applyAlignment="1">
      <alignment horizontal="center" vertical="top" wrapText="1"/>
    </xf>
    <xf numFmtId="10" fontId="124" fillId="0" borderId="4" xfId="4496" applyNumberFormat="1" applyFont="1" applyBorder="1" applyAlignment="1">
      <alignment horizontal="center" vertical="top" wrapText="1"/>
    </xf>
    <xf numFmtId="10" fontId="124" fillId="0" borderId="5" xfId="4496" applyNumberFormat="1" applyFont="1" applyBorder="1" applyAlignment="1">
      <alignment horizontal="center" vertical="top" wrapText="1"/>
    </xf>
    <xf numFmtId="0" fontId="124" fillId="0" borderId="55" xfId="4496" applyFont="1" applyBorder="1" applyAlignment="1">
      <alignment horizontal="center" vertical="top" wrapText="1"/>
    </xf>
    <xf numFmtId="0" fontId="124" fillId="0" borderId="6" xfId="4496" applyFont="1" applyBorder="1" applyAlignment="1">
      <alignment horizontal="center" vertical="top" wrapText="1"/>
    </xf>
    <xf numFmtId="168" fontId="20" fillId="0" borderId="0" xfId="1192" applyNumberFormat="1" applyAlignment="1">
      <alignment horizontal="right"/>
    </xf>
    <xf numFmtId="1" fontId="20" fillId="5" borderId="2" xfId="1192" applyNumberFormat="1" applyFill="1" applyBorder="1" applyAlignment="1" applyProtection="1">
      <alignment horizontal="center"/>
      <protection locked="0"/>
    </xf>
    <xf numFmtId="1" fontId="20" fillId="5" borderId="4" xfId="1192" applyNumberFormat="1" applyFill="1" applyBorder="1" applyAlignment="1" applyProtection="1">
      <alignment horizontal="center"/>
      <protection locked="0"/>
    </xf>
    <xf numFmtId="0" fontId="143" fillId="0" borderId="6" xfId="1192" applyFont="1" applyBorder="1" applyAlignment="1">
      <alignment horizontal="center"/>
    </xf>
    <xf numFmtId="1" fontId="124" fillId="0" borderId="55" xfId="4496" applyNumberFormat="1" applyFont="1" applyBorder="1" applyAlignment="1">
      <alignment horizontal="center" vertical="top" wrapText="1"/>
    </xf>
    <xf numFmtId="1" fontId="124" fillId="0" borderId="6" xfId="4496" applyNumberFormat="1" applyFont="1" applyBorder="1" applyAlignment="1">
      <alignment horizontal="center" vertical="top" wrapText="1"/>
    </xf>
    <xf numFmtId="168" fontId="124" fillId="43" borderId="55" xfId="4496" applyNumberFormat="1" applyFont="1" applyFill="1" applyBorder="1" applyAlignment="1" applyProtection="1">
      <alignment horizontal="center" vertical="top" wrapText="1"/>
      <protection locked="0"/>
    </xf>
    <xf numFmtId="168" fontId="124" fillId="43" borderId="6" xfId="4496" applyNumberFormat="1" applyFont="1" applyFill="1" applyBorder="1" applyAlignment="1" applyProtection="1">
      <alignment horizontal="center" vertical="top" wrapText="1"/>
      <protection locked="0"/>
    </xf>
    <xf numFmtId="0" fontId="27" fillId="0" borderId="0" xfId="4495" applyFont="1" applyAlignment="1">
      <alignment horizontal="center" vertical="top"/>
    </xf>
    <xf numFmtId="0" fontId="20" fillId="0" borderId="0" xfId="1192" applyAlignment="1">
      <alignment horizontal="right"/>
    </xf>
    <xf numFmtId="0" fontId="20" fillId="5" borderId="6" xfId="1192" applyFill="1" applyBorder="1" applyAlignment="1" applyProtection="1">
      <alignment horizontal="left"/>
      <protection locked="0"/>
    </xf>
    <xf numFmtId="168" fontId="20" fillId="43" borderId="6" xfId="4495" applyNumberFormat="1" applyFont="1" applyFill="1" applyBorder="1" applyAlignment="1" applyProtection="1">
      <alignment horizontal="right"/>
      <protection locked="0"/>
    </xf>
    <xf numFmtId="9" fontId="20" fillId="0" borderId="6" xfId="1192" applyNumberFormat="1" applyBorder="1" applyAlignment="1">
      <alignment horizontal="center"/>
    </xf>
    <xf numFmtId="9" fontId="20" fillId="0" borderId="6" xfId="1192" quotePrefix="1" applyNumberFormat="1" applyBorder="1" applyAlignment="1">
      <alignment horizontal="center"/>
    </xf>
    <xf numFmtId="9" fontId="20" fillId="0" borderId="0" xfId="1192" quotePrefix="1" applyNumberFormat="1" applyAlignment="1">
      <alignment horizontal="center"/>
    </xf>
    <xf numFmtId="9" fontId="20" fillId="5" borderId="4" xfId="1192" applyNumberFormat="1" applyFill="1" applyBorder="1" applyAlignment="1" applyProtection="1">
      <alignment horizontal="left"/>
      <protection locked="0"/>
    </xf>
    <xf numFmtId="0" fontId="28" fillId="5" borderId="6" xfId="4495" applyFont="1" applyFill="1" applyBorder="1" applyAlignment="1" applyProtection="1">
      <alignment horizontal="left"/>
      <protection locked="0"/>
    </xf>
    <xf numFmtId="0" fontId="20" fillId="0" borderId="0" xfId="4495" applyFont="1" applyAlignment="1">
      <alignment horizontal="left"/>
    </xf>
    <xf numFmtId="0" fontId="20" fillId="5" borderId="6" xfId="4495" applyFont="1" applyFill="1" applyBorder="1" applyAlignment="1" applyProtection="1">
      <alignment horizontal="left"/>
      <protection locked="0"/>
    </xf>
    <xf numFmtId="0" fontId="56" fillId="5" borderId="6" xfId="4495" applyFont="1" applyFill="1" applyBorder="1" applyAlignment="1" applyProtection="1">
      <alignment horizontal="left"/>
      <protection locked="0"/>
    </xf>
    <xf numFmtId="0" fontId="20" fillId="5" borderId="6" xfId="4495" applyFont="1" applyFill="1" applyBorder="1" applyAlignment="1" applyProtection="1">
      <alignment horizontal="center"/>
      <protection locked="0"/>
    </xf>
    <xf numFmtId="0" fontId="20" fillId="44" borderId="6" xfId="4495" applyFont="1" applyFill="1" applyBorder="1" applyAlignment="1">
      <alignment horizontal="left"/>
    </xf>
    <xf numFmtId="1" fontId="20" fillId="0" borderId="11" xfId="4495" applyNumberFormat="1" applyFont="1" applyBorder="1" applyAlignment="1">
      <alignment horizontal="center"/>
    </xf>
    <xf numFmtId="0" fontId="20" fillId="0" borderId="11" xfId="4495" applyFont="1" applyBorder="1" applyAlignment="1">
      <alignment horizontal="center"/>
    </xf>
    <xf numFmtId="0" fontId="20" fillId="0" borderId="53" xfId="4495" applyFont="1" applyBorder="1" applyAlignment="1">
      <alignment horizontal="left" vertical="top" wrapText="1"/>
    </xf>
    <xf numFmtId="0" fontId="20" fillId="0" borderId="0" xfId="4495" applyFont="1" applyAlignment="1">
      <alignment horizontal="left" vertical="top" wrapText="1"/>
    </xf>
    <xf numFmtId="0" fontId="20" fillId="0" borderId="54" xfId="4495" applyFont="1" applyBorder="1" applyAlignment="1">
      <alignment horizontal="left" vertical="top" wrapText="1"/>
    </xf>
    <xf numFmtId="0" fontId="20" fillId="0" borderId="57" xfId="4495" applyFont="1" applyBorder="1" applyAlignment="1">
      <alignment horizontal="left" vertical="top" wrapText="1"/>
    </xf>
    <xf numFmtId="0" fontId="20" fillId="0" borderId="58" xfId="4495" applyFont="1" applyBorder="1" applyAlignment="1">
      <alignment horizontal="left" vertical="top" wrapText="1"/>
    </xf>
    <xf numFmtId="0" fontId="20" fillId="0" borderId="59" xfId="4495" applyFont="1" applyBorder="1" applyAlignment="1">
      <alignment horizontal="left" vertical="top" wrapText="1"/>
    </xf>
    <xf numFmtId="0" fontId="122" fillId="5" borderId="6" xfId="4495" applyFill="1" applyBorder="1" applyAlignment="1" applyProtection="1">
      <alignment horizontal="center"/>
      <protection locked="0"/>
    </xf>
    <xf numFmtId="0" fontId="27" fillId="0" borderId="0" xfId="4495" applyFont="1" applyAlignment="1">
      <alignment horizontal="left" vertical="top"/>
    </xf>
    <xf numFmtId="0" fontId="122" fillId="0" borderId="0" xfId="4495" applyAlignment="1" applyProtection="1">
      <alignment horizontal="center"/>
      <protection locked="0"/>
    </xf>
    <xf numFmtId="0" fontId="20" fillId="0" borderId="3" xfId="4495" applyFont="1" applyBorder="1" applyAlignment="1">
      <alignment horizontal="center"/>
    </xf>
    <xf numFmtId="0" fontId="20" fillId="0" borderId="4" xfId="4495" applyFont="1" applyBorder="1" applyAlignment="1">
      <alignment horizontal="center"/>
    </xf>
    <xf numFmtId="0" fontId="20" fillId="0" borderId="5" xfId="4495" applyFont="1" applyBorder="1" applyAlignment="1">
      <alignment horizontal="center"/>
    </xf>
    <xf numFmtId="168" fontId="20" fillId="0" borderId="6" xfId="4496" applyNumberFormat="1" applyFont="1" applyBorder="1" applyAlignment="1">
      <alignment horizontal="center"/>
    </xf>
    <xf numFmtId="9" fontId="20" fillId="0" borderId="4" xfId="543" applyNumberFormat="1" applyBorder="1" applyAlignment="1">
      <alignment horizontal="center"/>
    </xf>
    <xf numFmtId="0" fontId="20" fillId="0" borderId="4" xfId="4496" applyFont="1" applyBorder="1" applyAlignment="1">
      <alignment horizontal="center"/>
    </xf>
    <xf numFmtId="0" fontId="20" fillId="0" borderId="5" xfId="4496" applyFont="1" applyBorder="1" applyAlignment="1">
      <alignment horizontal="center"/>
    </xf>
    <xf numFmtId="168" fontId="20" fillId="0" borderId="6" xfId="4495" applyNumberFormat="1" applyFont="1" applyBorder="1" applyAlignment="1">
      <alignment horizontal="right"/>
    </xf>
    <xf numFmtId="168" fontId="120" fillId="0" borderId="6" xfId="4495" applyNumberFormat="1" applyFont="1" applyBorder="1" applyAlignment="1">
      <alignment horizontal="right"/>
    </xf>
    <xf numFmtId="6" fontId="20" fillId="0" borderId="3" xfId="1192" applyNumberFormat="1" applyBorder="1" applyAlignment="1">
      <alignment horizontal="right"/>
    </xf>
    <xf numFmtId="6" fontId="20" fillId="0" borderId="4" xfId="1192" applyNumberFormat="1" applyBorder="1" applyAlignment="1">
      <alignment horizontal="right"/>
    </xf>
    <xf numFmtId="6" fontId="20" fillId="0" borderId="5" xfId="1192" applyNumberFormat="1" applyBorder="1" applyAlignment="1">
      <alignment horizontal="right"/>
    </xf>
    <xf numFmtId="168" fontId="20" fillId="0" borderId="4" xfId="4495" applyNumberFormat="1" applyFont="1" applyBorder="1" applyAlignment="1">
      <alignment horizontal="right"/>
    </xf>
    <xf numFmtId="165" fontId="20" fillId="43" borderId="3" xfId="4495" applyNumberFormat="1" applyFont="1" applyFill="1" applyBorder="1" applyAlignment="1" applyProtection="1">
      <alignment horizontal="center"/>
      <protection locked="0"/>
    </xf>
    <xf numFmtId="165" fontId="20" fillId="43" borderId="4" xfId="4495" applyNumberFormat="1" applyFont="1" applyFill="1" applyBorder="1" applyAlignment="1" applyProtection="1">
      <alignment horizontal="center"/>
      <protection locked="0"/>
    </xf>
    <xf numFmtId="165" fontId="20" fillId="43" borderId="5" xfId="4495" applyNumberFormat="1" applyFont="1" applyFill="1" applyBorder="1" applyAlignment="1" applyProtection="1">
      <alignment horizontal="center"/>
      <protection locked="0"/>
    </xf>
    <xf numFmtId="165" fontId="20" fillId="0" borderId="6" xfId="1192" applyNumberFormat="1" applyBorder="1" applyAlignment="1">
      <alignment horizontal="right"/>
    </xf>
    <xf numFmtId="168" fontId="20" fillId="0" borderId="2" xfId="1192" applyNumberFormat="1" applyBorder="1" applyAlignment="1">
      <alignment horizontal="right"/>
    </xf>
    <xf numFmtId="165" fontId="20" fillId="0" borderId="0" xfId="1192" applyNumberFormat="1" applyAlignment="1">
      <alignment horizontal="right"/>
    </xf>
    <xf numFmtId="0" fontId="20" fillId="0" borderId="50" xfId="4495" applyFont="1" applyBorder="1" applyAlignment="1">
      <alignment horizontal="left" vertical="top" wrapText="1"/>
    </xf>
    <xf numFmtId="0" fontId="20" fillId="0" borderId="51" xfId="4495" applyFont="1" applyBorder="1" applyAlignment="1">
      <alignment horizontal="left" vertical="top" wrapText="1"/>
    </xf>
    <xf numFmtId="0" fontId="20" fillId="0" borderId="52" xfId="4495" applyFont="1" applyBorder="1" applyAlignment="1">
      <alignment horizontal="left" vertical="top" wrapText="1"/>
    </xf>
    <xf numFmtId="0" fontId="27" fillId="0" borderId="0" xfId="4495" applyFont="1"/>
    <xf numFmtId="168" fontId="20" fillId="5" borderId="4" xfId="1192" applyNumberFormat="1" applyFill="1" applyBorder="1" applyAlignment="1" applyProtection="1">
      <alignment horizontal="center"/>
      <protection locked="0"/>
    </xf>
    <xf numFmtId="0" fontId="20" fillId="0" borderId="6" xfId="1192" applyBorder="1" applyAlignment="1">
      <alignment horizontal="left"/>
    </xf>
    <xf numFmtId="2" fontId="20" fillId="0" borderId="0" xfId="1192" applyNumberFormat="1" applyAlignment="1">
      <alignment horizontal="right"/>
    </xf>
    <xf numFmtId="0" fontId="20" fillId="43" borderId="53" xfId="4495" applyFont="1" applyFill="1" applyBorder="1" applyAlignment="1" applyProtection="1">
      <alignment vertical="top" wrapText="1"/>
      <protection locked="0"/>
    </xf>
    <xf numFmtId="0" fontId="20" fillId="43" borderId="0" xfId="4495" applyFont="1" applyFill="1" applyAlignment="1" applyProtection="1">
      <alignment vertical="top" wrapText="1"/>
      <protection locked="0"/>
    </xf>
    <xf numFmtId="0" fontId="20" fillId="43" borderId="54" xfId="4495" applyFont="1" applyFill="1" applyBorder="1" applyAlignment="1" applyProtection="1">
      <alignment vertical="top" wrapText="1"/>
      <protection locked="0"/>
    </xf>
    <xf numFmtId="0" fontId="20" fillId="43" borderId="55" xfId="4495" applyFont="1" applyFill="1" applyBorder="1" applyAlignment="1" applyProtection="1">
      <alignment vertical="top" wrapText="1"/>
      <protection locked="0"/>
    </xf>
    <xf numFmtId="0" fontId="20" fillId="43" borderId="6" xfId="4495" applyFont="1" applyFill="1" applyBorder="1" applyAlignment="1" applyProtection="1">
      <alignment vertical="top" wrapText="1"/>
      <protection locked="0"/>
    </xf>
    <xf numFmtId="0" fontId="20" fillId="43" borderId="56" xfId="4495" applyFont="1" applyFill="1" applyBorder="1" applyAlignment="1" applyProtection="1">
      <alignment vertical="top" wrapText="1"/>
      <protection locked="0"/>
    </xf>
    <xf numFmtId="0" fontId="20" fillId="43" borderId="0" xfId="4495" applyFont="1" applyFill="1" applyAlignment="1" applyProtection="1">
      <alignment horizontal="left" vertical="center" wrapText="1"/>
      <protection locked="0"/>
    </xf>
    <xf numFmtId="0" fontId="20" fillId="43" borderId="54" xfId="4495" applyFont="1" applyFill="1" applyBorder="1" applyAlignment="1" applyProtection="1">
      <alignment horizontal="left" vertical="center" wrapText="1"/>
      <protection locked="0"/>
    </xf>
    <xf numFmtId="0" fontId="20" fillId="43" borderId="6" xfId="4495" applyFont="1" applyFill="1" applyBorder="1" applyAlignment="1" applyProtection="1">
      <alignment horizontal="left" vertical="center" wrapText="1"/>
      <protection locked="0"/>
    </xf>
    <xf numFmtId="0" fontId="20" fillId="43" borderId="56" xfId="4495" applyFont="1" applyFill="1" applyBorder="1" applyAlignment="1" applyProtection="1">
      <alignment horizontal="left" vertical="center" wrapText="1"/>
      <protection locked="0"/>
    </xf>
    <xf numFmtId="0" fontId="131" fillId="0" borderId="0" xfId="4495" applyFont="1" applyAlignment="1">
      <alignment horizontal="left" vertical="top" wrapText="1"/>
    </xf>
    <xf numFmtId="0" fontId="122" fillId="5" borderId="55" xfId="4495" applyFill="1" applyBorder="1" applyAlignment="1" applyProtection="1">
      <alignment horizontal="center"/>
      <protection locked="0"/>
    </xf>
    <xf numFmtId="0" fontId="27" fillId="0" borderId="0" xfId="4495" applyFont="1" applyAlignment="1">
      <alignment horizontal="center"/>
    </xf>
    <xf numFmtId="0" fontId="27" fillId="0" borderId="54" xfId="4495" applyFont="1" applyBorder="1" applyAlignment="1">
      <alignment horizontal="center"/>
    </xf>
    <xf numFmtId="0" fontId="28" fillId="0" borderId="51" xfId="4495" applyFont="1" applyBorder="1" applyAlignment="1">
      <alignment horizontal="left" vertical="top" wrapText="1"/>
    </xf>
    <xf numFmtId="0" fontId="27" fillId="0" borderId="54" xfId="4495" applyFont="1" applyBorder="1" applyAlignment="1">
      <alignment horizontal="center" vertical="top"/>
    </xf>
    <xf numFmtId="0" fontId="122" fillId="5" borderId="62" xfId="4495" applyFill="1" applyBorder="1" applyAlignment="1" applyProtection="1">
      <alignment horizontal="center"/>
      <protection locked="0"/>
    </xf>
    <xf numFmtId="0" fontId="122" fillId="5" borderId="63" xfId="4495" applyFill="1" applyBorder="1" applyAlignment="1" applyProtection="1">
      <alignment horizontal="center"/>
      <protection locked="0"/>
    </xf>
    <xf numFmtId="0" fontId="122" fillId="5" borderId="50" xfId="4495" applyFill="1" applyBorder="1" applyAlignment="1">
      <alignment horizontal="center"/>
    </xf>
    <xf numFmtId="0" fontId="122" fillId="5" borderId="51" xfId="4495" applyFill="1" applyBorder="1" applyAlignment="1">
      <alignment horizontal="center"/>
    </xf>
    <xf numFmtId="0" fontId="56" fillId="0" borderId="51" xfId="4495" applyFont="1" applyBorder="1" applyAlignment="1">
      <alignment horizontal="left" wrapText="1"/>
    </xf>
    <xf numFmtId="0" fontId="56" fillId="0" borderId="0" xfId="4495" applyFont="1" applyAlignment="1">
      <alignment horizontal="left" wrapText="1"/>
    </xf>
    <xf numFmtId="0" fontId="124" fillId="0" borderId="50" xfId="4496" applyFont="1" applyBorder="1" applyAlignment="1">
      <alignment horizontal="left" wrapText="1"/>
    </xf>
    <xf numFmtId="0" fontId="124" fillId="0" borderId="51" xfId="4496" applyFont="1" applyBorder="1" applyAlignment="1">
      <alignment horizontal="left" wrapText="1"/>
    </xf>
    <xf numFmtId="0" fontId="124" fillId="0" borderId="52" xfId="4496" applyFont="1" applyBorder="1" applyAlignment="1">
      <alignment horizontal="left" wrapText="1"/>
    </xf>
    <xf numFmtId="0" fontId="124" fillId="0" borderId="57" xfId="4496" applyFont="1" applyBorder="1" applyAlignment="1">
      <alignment horizontal="left" wrapText="1"/>
    </xf>
    <xf numFmtId="0" fontId="124" fillId="0" borderId="58" xfId="4496" applyFont="1" applyBorder="1" applyAlignment="1">
      <alignment horizontal="left" wrapText="1"/>
    </xf>
    <xf numFmtId="0" fontId="124" fillId="0" borderId="59" xfId="4496" applyFont="1" applyBorder="1" applyAlignment="1">
      <alignment horizontal="left" wrapText="1"/>
    </xf>
    <xf numFmtId="0" fontId="20" fillId="0" borderId="0" xfId="4495" applyFont="1" applyAlignment="1">
      <alignment horizontal="left" vertical="center" wrapText="1" shrinkToFit="1"/>
    </xf>
    <xf numFmtId="0" fontId="20" fillId="5" borderId="6" xfId="4495" applyFont="1" applyFill="1" applyBorder="1" applyAlignment="1" applyProtection="1">
      <alignment horizontal="center" vertical="center" wrapText="1" shrinkToFit="1"/>
      <protection locked="0"/>
    </xf>
    <xf numFmtId="0" fontId="20" fillId="5" borderId="6" xfId="4495" applyFont="1" applyFill="1" applyBorder="1" applyAlignment="1" applyProtection="1">
      <alignment horizontal="left" wrapText="1" shrinkToFit="1"/>
      <protection locked="0"/>
    </xf>
    <xf numFmtId="0" fontId="20" fillId="43" borderId="6" xfId="1192" applyFill="1" applyBorder="1" applyAlignment="1" applyProtection="1">
      <alignment horizontal="left" vertical="top"/>
      <protection locked="0"/>
    </xf>
    <xf numFmtId="0" fontId="158" fillId="0" borderId="0" xfId="0" applyFont="1" applyAlignment="1" applyProtection="1">
      <alignment horizontal="left"/>
      <protection locked="0"/>
    </xf>
    <xf numFmtId="168" fontId="157" fillId="0" borderId="0" xfId="0" applyNumberFormat="1" applyFont="1" applyAlignment="1">
      <alignment horizontal="center" vertical="top" wrapText="1"/>
    </xf>
    <xf numFmtId="168" fontId="157" fillId="0" borderId="12" xfId="0" applyNumberFormat="1" applyFont="1" applyBorder="1" applyAlignment="1">
      <alignment horizontal="center" vertical="top" wrapText="1"/>
    </xf>
    <xf numFmtId="0" fontId="28" fillId="0" borderId="0" xfId="4495" applyFont="1" applyAlignment="1">
      <alignment horizontal="center"/>
    </xf>
    <xf numFmtId="0" fontId="20" fillId="0" borderId="0" xfId="4495" applyFont="1" applyAlignment="1">
      <alignment wrapText="1"/>
    </xf>
    <xf numFmtId="0" fontId="20" fillId="0" borderId="0" xfId="4495" applyFont="1" applyAlignment="1">
      <alignment horizontal="left" vertical="top" wrapText="1" shrinkToFit="1"/>
    </xf>
    <xf numFmtId="44" fontId="20" fillId="0" borderId="0" xfId="707" applyFont="1" applyFill="1" applyBorder="1" applyAlignment="1" applyProtection="1">
      <alignment horizontal="left" vertical="top" wrapText="1"/>
    </xf>
    <xf numFmtId="0" fontId="27" fillId="0" borderId="0" xfId="4495" applyFont="1" applyAlignment="1">
      <alignment horizontal="left" vertical="top" wrapText="1"/>
    </xf>
    <xf numFmtId="0" fontId="20" fillId="45" borderId="11" xfId="4495" applyFont="1" applyFill="1" applyBorder="1" applyAlignment="1">
      <alignment horizontal="center"/>
    </xf>
    <xf numFmtId="0" fontId="131" fillId="0" borderId="0" xfId="4495" applyFont="1" applyAlignment="1">
      <alignment horizontal="left" vertical="center" wrapText="1"/>
    </xf>
    <xf numFmtId="0" fontId="27" fillId="0" borderId="11" xfId="4495" applyFont="1" applyBorder="1" applyAlignment="1">
      <alignment horizontal="center"/>
    </xf>
    <xf numFmtId="0" fontId="28" fillId="0" borderId="58" xfId="4495" applyFont="1" applyBorder="1" applyAlignment="1">
      <alignment horizontal="left" vertical="top" wrapText="1"/>
    </xf>
    <xf numFmtId="0" fontId="27" fillId="0" borderId="4" xfId="4495" applyFont="1" applyBorder="1" applyAlignment="1">
      <alignment horizontal="left"/>
    </xf>
    <xf numFmtId="0" fontId="27" fillId="0" borderId="5" xfId="4495" applyFont="1" applyBorder="1" applyAlignment="1">
      <alignment horizontal="left"/>
    </xf>
    <xf numFmtId="1" fontId="27" fillId="0" borderId="4" xfId="4495" applyNumberFormat="1" applyFont="1" applyBorder="1" applyAlignment="1">
      <alignment horizontal="center" wrapText="1"/>
    </xf>
    <xf numFmtId="0" fontId="27" fillId="0" borderId="4" xfId="4495" applyFont="1" applyBorder="1" applyAlignment="1">
      <alignment horizontal="center" wrapText="1"/>
    </xf>
    <xf numFmtId="0" fontId="27" fillId="0" borderId="5" xfId="4495" applyFont="1" applyBorder="1" applyAlignment="1">
      <alignment horizontal="center" wrapText="1"/>
    </xf>
    <xf numFmtId="0" fontId="27" fillId="0" borderId="3" xfId="4495" applyFont="1" applyBorder="1" applyAlignment="1">
      <alignment horizontal="center" wrapText="1"/>
    </xf>
    <xf numFmtId="0" fontId="20" fillId="0" borderId="50" xfId="4496" applyFont="1" applyBorder="1" applyAlignment="1">
      <alignment horizontal="left" wrapText="1"/>
    </xf>
    <xf numFmtId="0" fontId="20" fillId="0" borderId="51" xfId="4496" applyFont="1" applyBorder="1" applyAlignment="1">
      <alignment horizontal="left" wrapText="1"/>
    </xf>
    <xf numFmtId="0" fontId="20" fillId="0" borderId="52" xfId="4496" applyFont="1" applyBorder="1" applyAlignment="1">
      <alignment horizontal="left" wrapText="1"/>
    </xf>
    <xf numFmtId="0" fontId="20" fillId="0" borderId="53" xfId="4496" applyFont="1" applyBorder="1" applyAlignment="1">
      <alignment horizontal="left" wrapText="1"/>
    </xf>
    <xf numFmtId="0" fontId="20" fillId="0" borderId="0" xfId="4496" applyFont="1" applyAlignment="1">
      <alignment horizontal="left" wrapText="1"/>
    </xf>
    <xf numFmtId="0" fontId="20" fillId="0" borderId="54" xfId="4496" applyFont="1" applyBorder="1" applyAlignment="1">
      <alignment horizontal="left" wrapText="1"/>
    </xf>
    <xf numFmtId="0" fontId="20" fillId="0" borderId="57" xfId="4496" applyFont="1" applyBorder="1" applyAlignment="1">
      <alignment horizontal="left" wrapText="1"/>
    </xf>
    <xf numFmtId="0" fontId="20" fillId="0" borderId="58" xfId="4496" applyFont="1" applyBorder="1" applyAlignment="1">
      <alignment horizontal="left" wrapText="1"/>
    </xf>
    <xf numFmtId="0" fontId="20" fillId="0" borderId="59" xfId="4496" applyFont="1" applyBorder="1" applyAlignment="1">
      <alignment horizontal="left" wrapText="1"/>
    </xf>
    <xf numFmtId="1" fontId="20" fillId="0" borderId="4" xfId="4496" applyNumberFormat="1" applyFont="1" applyBorder="1" applyAlignment="1">
      <alignment horizontal="center"/>
    </xf>
    <xf numFmtId="1" fontId="20" fillId="0" borderId="5" xfId="4496" applyNumberFormat="1" applyFont="1" applyBorder="1" applyAlignment="1">
      <alignment horizontal="center"/>
    </xf>
    <xf numFmtId="49" fontId="26" fillId="3" borderId="2" xfId="4495" applyNumberFormat="1" applyFont="1" applyFill="1" applyBorder="1" applyAlignment="1">
      <alignment horizontal="center" vertical="center" wrapText="1"/>
    </xf>
    <xf numFmtId="49" fontId="26" fillId="3" borderId="2" xfId="4495" applyNumberFormat="1" applyFont="1" applyFill="1" applyBorder="1" applyAlignment="1">
      <alignment horizontal="center" vertical="center"/>
    </xf>
    <xf numFmtId="49" fontId="26" fillId="3" borderId="0" xfId="4495" applyNumberFormat="1" applyFont="1" applyFill="1" applyAlignment="1">
      <alignment horizontal="center" vertical="center"/>
    </xf>
    <xf numFmtId="0" fontId="27" fillId="0" borderId="1" xfId="4495" applyFont="1" applyBorder="1" applyAlignment="1">
      <alignment horizontal="center" wrapText="1"/>
    </xf>
    <xf numFmtId="0" fontId="27" fillId="0" borderId="2" xfId="4495" applyFont="1" applyBorder="1" applyAlignment="1">
      <alignment horizontal="center" wrapText="1"/>
    </xf>
    <xf numFmtId="0" fontId="27" fillId="0" borderId="7" xfId="4495" applyFont="1" applyBorder="1" applyAlignment="1">
      <alignment horizontal="center" wrapText="1"/>
    </xf>
    <xf numFmtId="0" fontId="27" fillId="0" borderId="9" xfId="4495" applyFont="1" applyBorder="1" applyAlignment="1">
      <alignment horizontal="center" wrapText="1"/>
    </xf>
    <xf numFmtId="0" fontId="27" fillId="0" borderId="6" xfId="4495" applyFont="1" applyBorder="1" applyAlignment="1">
      <alignment horizontal="center" wrapText="1"/>
    </xf>
    <xf numFmtId="0" fontId="27" fillId="0" borderId="10" xfId="4495" applyFont="1" applyBorder="1" applyAlignment="1">
      <alignment horizontal="center" wrapText="1"/>
    </xf>
    <xf numFmtId="1" fontId="27" fillId="0" borderId="11" xfId="4495" applyNumberFormat="1" applyFont="1" applyBorder="1" applyAlignment="1">
      <alignment horizontal="center"/>
    </xf>
    <xf numFmtId="0" fontId="20" fillId="0" borderId="4" xfId="4495" applyFont="1" applyBorder="1" applyAlignment="1">
      <alignment horizontal="left"/>
    </xf>
    <xf numFmtId="0" fontId="20" fillId="0" borderId="5" xfId="4495" applyFont="1" applyBorder="1" applyAlignment="1">
      <alignment horizontal="left"/>
    </xf>
    <xf numFmtId="1" fontId="20" fillId="46" borderId="11" xfId="4495" applyNumberFormat="1" applyFont="1" applyFill="1" applyBorder="1" applyAlignment="1">
      <alignment horizontal="center"/>
    </xf>
    <xf numFmtId="0" fontId="20" fillId="5" borderId="11" xfId="4495" applyFont="1" applyFill="1" applyBorder="1" applyAlignment="1" applyProtection="1">
      <alignment horizontal="center"/>
      <protection locked="0"/>
    </xf>
    <xf numFmtId="0" fontId="27" fillId="0" borderId="3" xfId="4495" applyFont="1" applyBorder="1" applyAlignment="1">
      <alignment horizontal="center"/>
    </xf>
    <xf numFmtId="0" fontId="27" fillId="0" borderId="4" xfId="4495" applyFont="1" applyBorder="1" applyAlignment="1">
      <alignment horizontal="center"/>
    </xf>
    <xf numFmtId="0" fontId="27" fillId="0" borderId="5" xfId="4495" applyFont="1" applyBorder="1" applyAlignment="1">
      <alignment horizontal="center"/>
    </xf>
    <xf numFmtId="164" fontId="67" fillId="0" borderId="1" xfId="4495" applyNumberFormat="1" applyFont="1" applyBorder="1" applyAlignment="1">
      <alignment horizontal="right" vertical="center"/>
    </xf>
    <xf numFmtId="164" fontId="67" fillId="0" borderId="2" xfId="4495" applyNumberFormat="1" applyFont="1" applyBorder="1" applyAlignment="1">
      <alignment horizontal="right" vertical="center"/>
    </xf>
    <xf numFmtId="164" fontId="67" fillId="0" borderId="7" xfId="4495" applyNumberFormat="1" applyFont="1" applyBorder="1" applyAlignment="1">
      <alignment horizontal="right" vertical="center"/>
    </xf>
    <xf numFmtId="164" fontId="67" fillId="0" borderId="9" xfId="4495" applyNumberFormat="1" applyFont="1" applyBorder="1" applyAlignment="1">
      <alignment horizontal="right" vertical="center"/>
    </xf>
    <xf numFmtId="164" fontId="67" fillId="0" borderId="6" xfId="4495" applyNumberFormat="1" applyFont="1" applyBorder="1" applyAlignment="1">
      <alignment horizontal="right" vertical="center"/>
    </xf>
    <xf numFmtId="164" fontId="67" fillId="0" borderId="10" xfId="4495" applyNumberFormat="1" applyFont="1" applyBorder="1" applyAlignment="1">
      <alignment horizontal="right" vertical="center"/>
    </xf>
    <xf numFmtId="180" fontId="67" fillId="0" borderId="1" xfId="4495" applyNumberFormat="1" applyFont="1" applyBorder="1" applyAlignment="1">
      <alignment horizontal="center" vertical="center"/>
    </xf>
    <xf numFmtId="180" fontId="67" fillId="0" borderId="2" xfId="4495" applyNumberFormat="1" applyFont="1" applyBorder="1" applyAlignment="1">
      <alignment horizontal="center" vertical="center"/>
    </xf>
    <xf numFmtId="180" fontId="67" fillId="0" borderId="7" xfId="4495" applyNumberFormat="1" applyFont="1" applyBorder="1" applyAlignment="1">
      <alignment horizontal="center" vertical="center"/>
    </xf>
    <xf numFmtId="180" fontId="67" fillId="0" borderId="9" xfId="4495" applyNumberFormat="1" applyFont="1" applyBorder="1" applyAlignment="1">
      <alignment horizontal="center" vertical="center"/>
    </xf>
    <xf numFmtId="180" fontId="67" fillId="0" borderId="6" xfId="4495" applyNumberFormat="1" applyFont="1" applyBorder="1" applyAlignment="1">
      <alignment horizontal="center" vertical="center"/>
    </xf>
    <xf numFmtId="180" fontId="67" fillId="0" borderId="10" xfId="4495" applyNumberFormat="1" applyFont="1" applyBorder="1" applyAlignment="1">
      <alignment horizontal="center" vertical="center"/>
    </xf>
    <xf numFmtId="0" fontId="122" fillId="0" borderId="53" xfId="4495" applyBorder="1" applyAlignment="1">
      <alignment horizontal="center"/>
    </xf>
    <xf numFmtId="0" fontId="122" fillId="0" borderId="0" xfId="4495" applyAlignment="1">
      <alignment horizontal="center"/>
    </xf>
    <xf numFmtId="0" fontId="28" fillId="5" borderId="0" xfId="4495" applyFont="1" applyFill="1" applyAlignment="1">
      <alignment horizontal="left" vertical="top"/>
    </xf>
    <xf numFmtId="0" fontId="122" fillId="5" borderId="53" xfId="4495" applyFill="1" applyBorder="1" applyAlignment="1">
      <alignment horizontal="center"/>
    </xf>
    <xf numFmtId="0" fontId="122" fillId="5" borderId="0" xfId="4495" applyFill="1" applyAlignment="1">
      <alignment horizontal="center"/>
    </xf>
    <xf numFmtId="0" fontId="122" fillId="5" borderId="55" xfId="4495" applyFill="1" applyBorder="1" applyAlignment="1">
      <alignment horizontal="center"/>
    </xf>
    <xf numFmtId="0" fontId="122" fillId="5" borderId="6" xfId="4495" applyFill="1" applyBorder="1" applyAlignment="1">
      <alignment horizontal="center"/>
    </xf>
    <xf numFmtId="0" fontId="28" fillId="5" borderId="0" xfId="4495" applyFont="1" applyFill="1" applyAlignment="1">
      <alignment horizontal="left" vertical="top" wrapText="1"/>
    </xf>
    <xf numFmtId="0" fontId="28" fillId="5" borderId="58" xfId="4495" applyFont="1" applyFill="1" applyBorder="1" applyAlignment="1">
      <alignment horizontal="left" vertical="top" wrapText="1"/>
    </xf>
    <xf numFmtId="0" fontId="27" fillId="0" borderId="51" xfId="4495" applyFont="1" applyBorder="1" applyAlignment="1">
      <alignment horizontal="center" vertical="top"/>
    </xf>
    <xf numFmtId="0" fontId="27" fillId="0" borderId="52" xfId="4495" applyFont="1" applyBorder="1" applyAlignment="1">
      <alignment horizontal="center" vertical="top"/>
    </xf>
    <xf numFmtId="168" fontId="20" fillId="43" borderId="6" xfId="543" applyNumberFormat="1" applyFill="1" applyBorder="1" applyAlignment="1" applyProtection="1">
      <alignment horizontal="center"/>
      <protection locked="0"/>
    </xf>
    <xf numFmtId="0" fontId="20" fillId="0" borderId="6" xfId="1192" applyBorder="1" applyAlignment="1">
      <alignment horizontal="right"/>
    </xf>
    <xf numFmtId="10" fontId="28" fillId="0" borderId="2" xfId="4495" applyNumberFormat="1" applyFont="1" applyBorder="1" applyAlignment="1">
      <alignment horizontal="center"/>
    </xf>
    <xf numFmtId="4" fontId="28" fillId="0" borderId="0" xfId="4495" applyNumberFormat="1" applyFont="1" applyAlignment="1">
      <alignment horizontal="center"/>
    </xf>
    <xf numFmtId="9" fontId="28" fillId="5" borderId="6" xfId="4495" applyNumberFormat="1" applyFont="1" applyFill="1" applyBorder="1" applyAlignment="1">
      <alignment horizontal="left"/>
    </xf>
    <xf numFmtId="0" fontId="36" fillId="42" borderId="2" xfId="4495" applyFont="1" applyFill="1" applyBorder="1" applyAlignment="1">
      <alignment horizontal="center"/>
    </xf>
    <xf numFmtId="0" fontId="36" fillId="42" borderId="6" xfId="4495" applyFont="1" applyFill="1" applyBorder="1" applyAlignment="1">
      <alignment horizontal="center"/>
    </xf>
    <xf numFmtId="168" fontId="20" fillId="0" borderId="4" xfId="4496" applyNumberFormat="1" applyFont="1" applyBorder="1" applyAlignment="1">
      <alignment horizontal="center"/>
    </xf>
    <xf numFmtId="9" fontId="20" fillId="0" borderId="4" xfId="4496" applyNumberFormat="1" applyFont="1" applyBorder="1" applyAlignment="1">
      <alignment horizontal="center"/>
    </xf>
    <xf numFmtId="168" fontId="20" fillId="0" borderId="6" xfId="1192" applyNumberFormat="1" applyBorder="1" applyAlignment="1">
      <alignment horizontal="right"/>
    </xf>
    <xf numFmtId="168" fontId="20" fillId="43" borderId="6" xfId="1192" applyNumberFormat="1" applyFill="1" applyBorder="1" applyAlignment="1" applyProtection="1">
      <alignment horizontal="right"/>
      <protection locked="0"/>
    </xf>
    <xf numFmtId="0" fontId="28" fillId="5" borderId="58" xfId="4495" applyFont="1" applyFill="1" applyBorder="1" applyAlignment="1">
      <alignment horizontal="left"/>
    </xf>
    <xf numFmtId="0" fontId="56" fillId="0" borderId="51" xfId="4495" applyFont="1" applyBorder="1" applyAlignment="1">
      <alignment horizontal="left" vertical="top" wrapText="1"/>
    </xf>
    <xf numFmtId="0" fontId="56" fillId="0" borderId="0" xfId="4495" applyFont="1" applyAlignment="1">
      <alignment horizontal="left" vertical="top" wrapText="1"/>
    </xf>
    <xf numFmtId="9" fontId="28" fillId="5" borderId="58" xfId="4495" applyNumberFormat="1" applyFont="1" applyFill="1" applyBorder="1" applyAlignment="1">
      <alignment horizontal="left"/>
    </xf>
    <xf numFmtId="0" fontId="28" fillId="5" borderId="6" xfId="4495" applyFont="1" applyFill="1" applyBorder="1" applyAlignment="1">
      <alignment horizontal="left"/>
    </xf>
    <xf numFmtId="4" fontId="28" fillId="0" borderId="3" xfId="4495" applyNumberFormat="1" applyFont="1" applyBorder="1" applyAlignment="1">
      <alignment horizontal="center"/>
    </xf>
    <xf numFmtId="4" fontId="28" fillId="0" borderId="4" xfId="4495" applyNumberFormat="1" applyFont="1" applyBorder="1" applyAlignment="1">
      <alignment horizontal="center"/>
    </xf>
    <xf numFmtId="4" fontId="28" fillId="0" borderId="5" xfId="4495" applyNumberFormat="1" applyFont="1" applyBorder="1" applyAlignment="1">
      <alignment horizontal="center"/>
    </xf>
    <xf numFmtId="165" fontId="124" fillId="0" borderId="3" xfId="4496" applyNumberFormat="1" applyFont="1" applyBorder="1" applyAlignment="1">
      <alignment horizontal="center" vertical="top" wrapText="1"/>
    </xf>
    <xf numFmtId="165" fontId="124" fillId="0" borderId="5" xfId="4496" applyNumberFormat="1" applyFont="1" applyBorder="1" applyAlignment="1">
      <alignment horizontal="center" vertical="top" wrapText="1"/>
    </xf>
    <xf numFmtId="3" fontId="20" fillId="43" borderId="6" xfId="1192" applyNumberFormat="1" applyFill="1" applyBorder="1" applyAlignment="1" applyProtection="1">
      <alignment horizontal="right"/>
      <protection locked="0"/>
    </xf>
    <xf numFmtId="0" fontId="143" fillId="0" borderId="0" xfId="1192" applyFont="1" applyAlignment="1">
      <alignment horizontal="center"/>
    </xf>
    <xf numFmtId="4" fontId="28" fillId="0" borderId="6" xfId="4495" applyNumberFormat="1" applyFont="1" applyBorder="1" applyAlignment="1">
      <alignment horizontal="center"/>
    </xf>
    <xf numFmtId="0" fontId="27" fillId="0" borderId="0" xfId="4495" applyFont="1" applyAlignment="1">
      <alignment horizontal="left" wrapText="1"/>
    </xf>
    <xf numFmtId="164" fontId="20" fillId="0" borderId="50" xfId="4495" applyNumberFormat="1" applyFont="1" applyBorder="1" applyAlignment="1">
      <alignment horizontal="left" vertical="top" wrapText="1"/>
    </xf>
    <xf numFmtId="164" fontId="20" fillId="0" borderId="51" xfId="4495" applyNumberFormat="1" applyFont="1" applyBorder="1" applyAlignment="1">
      <alignment horizontal="left" vertical="top" wrapText="1"/>
    </xf>
    <xf numFmtId="164" fontId="20" fillId="0" borderId="52" xfId="4495" applyNumberFormat="1" applyFont="1" applyBorder="1" applyAlignment="1">
      <alignment horizontal="left" vertical="top" wrapText="1"/>
    </xf>
    <xf numFmtId="164" fontId="20" fillId="0" borderId="53" xfId="4495" applyNumberFormat="1" applyFont="1" applyBorder="1" applyAlignment="1">
      <alignment horizontal="left" vertical="top" wrapText="1"/>
    </xf>
    <xf numFmtId="164" fontId="20" fillId="0" borderId="0" xfId="4495" applyNumberFormat="1" applyFont="1" applyAlignment="1">
      <alignment horizontal="left" vertical="top" wrapText="1"/>
    </xf>
    <xf numFmtId="164" fontId="20" fillId="0" borderId="54" xfId="4495" applyNumberFormat="1" applyFont="1" applyBorder="1" applyAlignment="1">
      <alignment horizontal="left" vertical="top" wrapText="1"/>
    </xf>
    <xf numFmtId="164" fontId="20" fillId="0" borderId="57" xfId="4495" applyNumberFormat="1" applyFont="1" applyBorder="1" applyAlignment="1">
      <alignment horizontal="left" vertical="top" wrapText="1"/>
    </xf>
    <xf numFmtId="164" fontId="20" fillId="0" borderId="58" xfId="4495" applyNumberFormat="1" applyFont="1" applyBorder="1" applyAlignment="1">
      <alignment horizontal="left" vertical="top" wrapText="1"/>
    </xf>
    <xf numFmtId="164" fontId="20" fillId="0" borderId="59" xfId="4495" applyNumberFormat="1" applyFont="1" applyBorder="1" applyAlignment="1">
      <alignment horizontal="left" vertical="top" wrapText="1"/>
    </xf>
    <xf numFmtId="168" fontId="20" fillId="0" borderId="4" xfId="1192" applyNumberFormat="1" applyBorder="1" applyAlignment="1">
      <alignment horizontal="right"/>
    </xf>
    <xf numFmtId="0" fontId="120" fillId="0" borderId="4" xfId="1192" applyFont="1" applyBorder="1" applyAlignment="1">
      <alignment horizontal="left"/>
    </xf>
    <xf numFmtId="0" fontId="122" fillId="5" borderId="62" xfId="4495" applyFill="1" applyBorder="1" applyAlignment="1">
      <alignment horizontal="center"/>
    </xf>
    <xf numFmtId="0" fontId="122" fillId="5" borderId="63" xfId="4495" applyFill="1" applyBorder="1" applyAlignment="1">
      <alignment horizontal="center"/>
    </xf>
    <xf numFmtId="0" fontId="100" fillId="0" borderId="3" xfId="4496" applyFont="1" applyBorder="1"/>
    <xf numFmtId="0" fontId="100" fillId="0" borderId="81" xfId="4496" applyFont="1" applyBorder="1"/>
    <xf numFmtId="0" fontId="100" fillId="0" borderId="94" xfId="4496" applyFont="1" applyBorder="1"/>
    <xf numFmtId="0" fontId="100" fillId="0" borderId="85" xfId="4496" applyFont="1" applyBorder="1"/>
    <xf numFmtId="49" fontId="100" fillId="45" borderId="15" xfId="4496" applyNumberFormat="1" applyFont="1" applyFill="1" applyBorder="1" applyAlignment="1">
      <alignment horizontal="center" vertical="center" wrapText="1"/>
    </xf>
    <xf numFmtId="49" fontId="100" fillId="45" borderId="13" xfId="4496" applyNumberFormat="1" applyFont="1" applyFill="1" applyBorder="1" applyAlignment="1">
      <alignment horizontal="center" vertical="center" wrapText="1"/>
    </xf>
    <xf numFmtId="0" fontId="100" fillId="0" borderId="93" xfId="4496" applyFont="1" applyBorder="1" applyAlignment="1">
      <alignment horizontal="right"/>
    </xf>
    <xf numFmtId="0" fontId="100" fillId="0" borderId="74" xfId="4496" applyFont="1" applyBorder="1" applyAlignment="1">
      <alignment horizontal="right"/>
    </xf>
    <xf numFmtId="0" fontId="100" fillId="0" borderId="75" xfId="4496" applyFont="1" applyBorder="1"/>
    <xf numFmtId="0" fontId="100" fillId="0" borderId="91" xfId="4496" applyFont="1" applyBorder="1"/>
    <xf numFmtId="0" fontId="100" fillId="0" borderId="90" xfId="4496" applyFont="1" applyBorder="1" applyAlignment="1">
      <alignment horizontal="right"/>
    </xf>
    <xf numFmtId="0" fontId="100" fillId="0" borderId="5" xfId="4496" applyFont="1" applyBorder="1" applyAlignment="1">
      <alignment horizontal="right"/>
    </xf>
    <xf numFmtId="0" fontId="100" fillId="0" borderId="69" xfId="4496" applyFont="1" applyBorder="1" applyAlignment="1">
      <alignment horizontal="right"/>
    </xf>
    <xf numFmtId="0" fontId="100" fillId="0" borderId="70" xfId="4496" applyFont="1" applyBorder="1" applyAlignment="1">
      <alignment horizontal="right"/>
    </xf>
    <xf numFmtId="168" fontId="100" fillId="0" borderId="11" xfId="4499" applyNumberFormat="1" applyFont="1" applyFill="1" applyBorder="1" applyAlignment="1" applyProtection="1">
      <alignment horizontal="left" vertical="center" indent="1"/>
    </xf>
    <xf numFmtId="0" fontId="138" fillId="0" borderId="68" xfId="4496" applyFont="1" applyBorder="1" applyAlignment="1">
      <alignment horizontal="left" indent="1"/>
    </xf>
    <xf numFmtId="168" fontId="100" fillId="0" borderId="70" xfId="4499" applyNumberFormat="1" applyFont="1" applyFill="1" applyBorder="1" applyAlignment="1" applyProtection="1">
      <alignment horizontal="left" vertical="center" indent="1"/>
    </xf>
    <xf numFmtId="49" fontId="137" fillId="3" borderId="0" xfId="1192" applyNumberFormat="1" applyFont="1" applyFill="1" applyAlignment="1">
      <alignment horizontal="center" vertical="center"/>
    </xf>
    <xf numFmtId="0" fontId="100" fillId="0" borderId="11" xfId="4496" applyFont="1" applyBorder="1" applyAlignment="1">
      <alignment horizontal="left" indent="1"/>
    </xf>
    <xf numFmtId="0" fontId="100" fillId="0" borderId="11" xfId="4496" applyFont="1" applyBorder="1" applyAlignment="1">
      <alignment horizontal="left" indent="2"/>
    </xf>
    <xf numFmtId="0" fontId="138" fillId="45" borderId="3" xfId="4496" applyFont="1" applyFill="1" applyBorder="1" applyAlignment="1">
      <alignment horizontal="center" vertical="center"/>
    </xf>
    <xf numFmtId="0" fontId="138" fillId="45" borderId="4" xfId="4496" applyFont="1" applyFill="1" applyBorder="1" applyAlignment="1">
      <alignment horizontal="center" vertical="center"/>
    </xf>
    <xf numFmtId="0" fontId="138" fillId="45" borderId="5" xfId="4496" applyFont="1" applyFill="1" applyBorder="1" applyAlignment="1">
      <alignment horizontal="center" vertical="center"/>
    </xf>
    <xf numFmtId="9" fontId="138" fillId="45" borderId="3" xfId="4499" applyFont="1" applyFill="1" applyBorder="1" applyAlignment="1" applyProtection="1">
      <alignment horizontal="center" vertical="center"/>
    </xf>
    <xf numFmtId="9" fontId="138" fillId="45" borderId="4" xfId="4499" applyFont="1" applyFill="1" applyBorder="1" applyAlignment="1" applyProtection="1">
      <alignment horizontal="center" vertical="center"/>
    </xf>
    <xf numFmtId="9" fontId="138" fillId="45" borderId="5" xfId="4499" applyFont="1" applyFill="1" applyBorder="1" applyAlignment="1" applyProtection="1">
      <alignment horizontal="center" vertical="center"/>
    </xf>
    <xf numFmtId="168" fontId="100" fillId="0" borderId="13" xfId="4499" applyNumberFormat="1" applyFont="1" applyFill="1" applyBorder="1" applyAlignment="1" applyProtection="1">
      <alignment horizontal="left" vertical="center" indent="1"/>
    </xf>
    <xf numFmtId="0" fontId="100" fillId="0" borderId="3" xfId="4496" applyFont="1" applyBorder="1" applyAlignment="1">
      <alignment horizontal="left" indent="1"/>
    </xf>
    <xf numFmtId="0" fontId="100" fillId="0" borderId="4" xfId="4496" applyFont="1" applyBorder="1" applyAlignment="1">
      <alignment horizontal="left" indent="1"/>
    </xf>
    <xf numFmtId="0" fontId="100" fillId="0" borderId="5" xfId="4496" applyFont="1" applyBorder="1" applyAlignment="1">
      <alignment horizontal="left" indent="1"/>
    </xf>
    <xf numFmtId="0" fontId="100" fillId="0" borderId="3" xfId="4496" applyFont="1" applyBorder="1" applyAlignment="1">
      <alignment horizontal="left" indent="2"/>
    </xf>
    <xf numFmtId="0" fontId="100" fillId="0" borderId="4" xfId="4496" applyFont="1" applyBorder="1" applyAlignment="1">
      <alignment horizontal="left" indent="2"/>
    </xf>
    <xf numFmtId="0" fontId="100" fillId="0" borderId="5" xfId="4496" applyFont="1" applyBorder="1" applyAlignment="1">
      <alignment horizontal="left" indent="2"/>
    </xf>
    <xf numFmtId="0" fontId="100" fillId="0" borderId="0" xfId="4496" applyFont="1" applyAlignment="1">
      <alignment wrapText="1"/>
    </xf>
    <xf numFmtId="0" fontId="138" fillId="0" borderId="75" xfId="4496" applyFont="1" applyBorder="1" applyAlignment="1">
      <alignment horizontal="center" vertical="top" wrapText="1"/>
    </xf>
    <xf numFmtId="0" fontId="138" fillId="0" borderId="74" xfId="4496" applyFont="1" applyBorder="1" applyAlignment="1">
      <alignment horizontal="center" vertical="top" wrapText="1"/>
    </xf>
    <xf numFmtId="0" fontId="100" fillId="0" borderId="0" xfId="4496" applyFont="1" applyAlignment="1">
      <alignment horizontal="left" wrapText="1"/>
    </xf>
    <xf numFmtId="0" fontId="100" fillId="0" borderId="0" xfId="4496" applyFont="1" applyAlignment="1">
      <alignment horizontal="center" vertical="center" wrapText="1"/>
    </xf>
    <xf numFmtId="0" fontId="100" fillId="43" borderId="0" xfId="4496" applyFont="1" applyFill="1" applyAlignment="1" applyProtection="1">
      <alignment horizontal="left" vertical="top" wrapText="1"/>
      <protection locked="0"/>
    </xf>
    <xf numFmtId="0" fontId="100" fillId="43" borderId="6" xfId="4496" applyFont="1" applyFill="1" applyBorder="1" applyAlignment="1" applyProtection="1">
      <alignment horizontal="left" vertical="top" wrapText="1"/>
      <protection locked="0"/>
    </xf>
    <xf numFmtId="0" fontId="100" fillId="0" borderId="0" xfId="4496" applyFont="1" applyAlignment="1">
      <alignment horizontal="left" wrapText="1" indent="1"/>
    </xf>
    <xf numFmtId="0" fontId="25" fillId="0" borderId="6" xfId="271" applyFont="1" applyBorder="1" applyAlignment="1">
      <alignment horizontal="center"/>
    </xf>
    <xf numFmtId="0" fontId="25" fillId="0" borderId="0" xfId="0" applyFont="1" applyAlignment="1" applyProtection="1">
      <alignment wrapText="1"/>
      <protection locked="0"/>
    </xf>
    <xf numFmtId="3" fontId="20" fillId="0" borderId="0" xfId="0" applyNumberFormat="1" applyFont="1" applyAlignment="1">
      <alignment horizontal="left" vertical="top" wrapText="1"/>
    </xf>
    <xf numFmtId="3" fontId="29" fillId="0" borderId="0" xfId="0" applyNumberFormat="1" applyFont="1" applyAlignment="1">
      <alignment horizontal="left" vertical="top" wrapText="1"/>
    </xf>
    <xf numFmtId="0" fontId="20" fillId="43" borderId="0" xfId="0" applyFont="1" applyFill="1" applyAlignment="1">
      <alignment horizontal="left"/>
    </xf>
  </cellXfs>
  <cellStyles count="43401">
    <cellStyle name="20% - Accent1" xfId="1" builtinId="30" customBuiltin="1"/>
    <cellStyle name="20% - Accent1 10" xfId="4504" xr:uid="{00000000-0005-0000-0000-000001000000}"/>
    <cellStyle name="20% - Accent1 10 2" xfId="22277" xr:uid="{454E65C6-6671-4140-B11E-9854F38EDF9D}"/>
    <cellStyle name="20% - Accent1 10 2 2" xfId="39171" xr:uid="{51443FBE-BAB5-4A90-9594-42132B4EC420}"/>
    <cellStyle name="20% - Accent1 10 3" xfId="13830" xr:uid="{85A5FB7D-4EFB-48E6-95B7-A8E39218C85A}"/>
    <cellStyle name="20% - Accent1 10 4" xfId="30724" xr:uid="{68471856-FD36-4F31-B286-729FEC9FEAB0}"/>
    <cellStyle name="20% - Accent1 11" xfId="8758" xr:uid="{2F735C8D-70CB-4E84-A95A-4445894745BC}"/>
    <cellStyle name="20% - Accent1 11 2" xfId="18060" xr:uid="{1C0621ED-838C-4FB2-875F-D1DC7B7CB7A9}"/>
    <cellStyle name="20% - Accent1 11 3" xfId="34954" xr:uid="{AA2CB4A4-E9F2-41F2-BCF4-4B3175F93A98}"/>
    <cellStyle name="20% - Accent1 12" xfId="9613" xr:uid="{AE6C318F-6EEE-4181-AEAD-19F3154E28FB}"/>
    <cellStyle name="20% - Accent1 13" xfId="26507" xr:uid="{775033F6-E23C-474C-80E4-CD1A8F65A7EE}"/>
    <cellStyle name="20% - Accent1 2" xfId="2" xr:uid="{00000000-0005-0000-0000-000002000000}"/>
    <cellStyle name="20% - Accent1 2 10" xfId="8797" xr:uid="{7F4BEAE6-CC35-4B07-89BD-8FC5D6B3D35B}"/>
    <cellStyle name="20% - Accent1 2 10 2" xfId="18061" xr:uid="{A395D21F-B764-4EF8-A28E-3A6945FC5F9E}"/>
    <cellStyle name="20% - Accent1 2 10 3" xfId="34955" xr:uid="{9B36692C-FAC1-4A53-A083-39DD69417BFD}"/>
    <cellStyle name="20% - Accent1 2 11" xfId="9614" xr:uid="{A92D74A5-C8EA-403F-891C-03BCA37C87C3}"/>
    <cellStyle name="20% - Accent1 2 12" xfId="26508" xr:uid="{6A87618C-3F54-44CF-A119-6522397BE349}"/>
    <cellStyle name="20% - Accent1 2 2" xfId="3" xr:uid="{00000000-0005-0000-0000-000003000000}"/>
    <cellStyle name="20% - Accent1 2 2 10" xfId="9615" xr:uid="{7899D0D3-65C1-4850-AD22-8AD3A9D8CB0C}"/>
    <cellStyle name="20% - Accent1 2 2 11" xfId="26509" xr:uid="{38DD5E23-6AA8-431F-BBE6-BC5C4453BF30}"/>
    <cellStyle name="20% - Accent1 2 2 2" xfId="4" xr:uid="{00000000-0005-0000-0000-000004000000}"/>
    <cellStyle name="20% - Accent1 2 2 2 10" xfId="26510" xr:uid="{2367E3C0-F58F-490F-9DEC-83E8435F946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2 2 2" xfId="24839" xr:uid="{B8918D78-A85F-4EB2-BA8F-069FF39D4E72}"/>
    <cellStyle name="20% - Accent1 2 2 2 2 2 2 2 2" xfId="41733" xr:uid="{E3EF29EE-A6A3-4334-BC05-ED3019004499}"/>
    <cellStyle name="20% - Accent1 2 2 2 2 2 2 3" xfId="16392" xr:uid="{F701AA7E-9C74-400E-940D-37889AF51535}"/>
    <cellStyle name="20% - Accent1 2 2 2 2 2 2 4" xfId="33286" xr:uid="{94924297-949E-4472-9275-5C5B6F464FC4}"/>
    <cellStyle name="20% - Accent1 2 2 2 2 2 3" xfId="20622" xr:uid="{3FC097AA-74CA-4C78-84AE-E1CBAEE03024}"/>
    <cellStyle name="20% - Accent1 2 2 2 2 2 3 2" xfId="37516" xr:uid="{FE9BB103-D7C0-4196-BA29-62F017EDA7C7}"/>
    <cellStyle name="20% - Accent1 2 2 2 2 2 4" xfId="12175" xr:uid="{86A4A90D-2067-45BC-A852-F439AFEF435D}"/>
    <cellStyle name="20% - Accent1 2 2 2 2 2 5" xfId="29069" xr:uid="{52930CB2-CC1D-4331-AE8C-21A332C60167}"/>
    <cellStyle name="20% - Accent1 2 2 2 2 3" xfId="4921" xr:uid="{00000000-0005-0000-0000-000008000000}"/>
    <cellStyle name="20% - Accent1 2 2 2 2 3 2" xfId="22694" xr:uid="{10E6210F-EB8D-477C-955B-A3DD0FC87C1E}"/>
    <cellStyle name="20% - Accent1 2 2 2 2 3 2 2" xfId="39588" xr:uid="{E1675EB5-489F-4644-8052-8339E3B0661E}"/>
    <cellStyle name="20% - Accent1 2 2 2 2 3 3" xfId="14247" xr:uid="{79B68051-28C8-4D86-BE28-C68257DB1733}"/>
    <cellStyle name="20% - Accent1 2 2 2 2 3 4" xfId="31141" xr:uid="{08D020F3-FC4A-49AE-9192-D718423A8926}"/>
    <cellStyle name="20% - Accent1 2 2 2 2 4" xfId="9532" xr:uid="{D5FAB462-C5A9-4306-AA37-C118C84F9393}"/>
    <cellStyle name="20% - Accent1 2 2 2 2 4 2" xfId="18477" xr:uid="{C7A8E7FB-A546-4369-AF11-167C5B0DA611}"/>
    <cellStyle name="20% - Accent1 2 2 2 2 4 3" xfId="35371" xr:uid="{AD43BF64-96C3-4B12-BB9C-8F6FE90F6E8C}"/>
    <cellStyle name="20% - Accent1 2 2 2 2 5" xfId="10030" xr:uid="{6DC906EE-517A-4964-96B8-C9BFF0CB115D}"/>
    <cellStyle name="20% - Accent1 2 2 2 2 6" xfId="26924" xr:uid="{D6BD9696-D717-4EEB-8F18-34AB4F2C62DC}"/>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2 2 2" xfId="25252" xr:uid="{8958CC0C-A249-44E1-BBFF-9760DFC16887}"/>
    <cellStyle name="20% - Accent1 2 2 2 3 2 2 2 2" xfId="42146" xr:uid="{EE3E7E3F-9E43-430E-9477-2D373A0B41D2}"/>
    <cellStyle name="20% - Accent1 2 2 2 3 2 2 3" xfId="16805" xr:uid="{D24FDC4F-00A9-44A6-BA4F-29AB33DF997B}"/>
    <cellStyle name="20% - Accent1 2 2 2 3 2 2 4" xfId="33699" xr:uid="{48047255-80FE-4111-99C2-66C40BB47A2D}"/>
    <cellStyle name="20% - Accent1 2 2 2 3 2 3" xfId="21035" xr:uid="{2AE604EB-FFB1-4426-A9E1-F65FBA3BBA71}"/>
    <cellStyle name="20% - Accent1 2 2 2 3 2 3 2" xfId="37929" xr:uid="{3F8FF415-82C7-41AF-AD4D-A176FD4885A8}"/>
    <cellStyle name="20% - Accent1 2 2 2 3 2 4" xfId="12588" xr:uid="{A9AE54D7-562F-4366-91B0-D6D85AF66382}"/>
    <cellStyle name="20% - Accent1 2 2 2 3 2 5" xfId="29482" xr:uid="{354144D1-EFD2-4E01-906D-2BD5C4F406E8}"/>
    <cellStyle name="20% - Accent1 2 2 2 3 3" xfId="5334" xr:uid="{00000000-0005-0000-0000-00000C000000}"/>
    <cellStyle name="20% - Accent1 2 2 2 3 3 2" xfId="23107" xr:uid="{680E5907-8DEC-4500-B277-E5E2248EE0BF}"/>
    <cellStyle name="20% - Accent1 2 2 2 3 3 2 2" xfId="40001" xr:uid="{5D3086B6-09BF-4431-94BE-AA1BDB0F4124}"/>
    <cellStyle name="20% - Accent1 2 2 2 3 3 3" xfId="14660" xr:uid="{7F7BE875-5906-4B2B-AEBA-272431692E4B}"/>
    <cellStyle name="20% - Accent1 2 2 2 3 3 4" xfId="31554" xr:uid="{D7B5A3FA-D72E-4CF4-9CAC-A32F13E431C7}"/>
    <cellStyle name="20% - Accent1 2 2 2 3 4" xfId="18890" xr:uid="{9DE2990E-E442-442E-A4EB-A796F6B240AE}"/>
    <cellStyle name="20% - Accent1 2 2 2 3 4 2" xfId="35784" xr:uid="{04FE3740-5225-4519-9FB7-59E9B48FAE06}"/>
    <cellStyle name="20% - Accent1 2 2 2 3 5" xfId="10443" xr:uid="{0B53F89A-CCF2-4504-B6ED-6BC675C8A118}"/>
    <cellStyle name="20% - Accent1 2 2 2 3 6" xfId="27337" xr:uid="{BCD1A04C-E25E-4580-B69E-46D5836654BB}"/>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2 2 2" xfId="25665" xr:uid="{77BCFDBC-1A2B-462A-BB68-98D79C6EB1F3}"/>
    <cellStyle name="20% - Accent1 2 2 2 4 2 2 2 2" xfId="42559" xr:uid="{66D0C79F-DF15-40B7-BC56-63C190611757}"/>
    <cellStyle name="20% - Accent1 2 2 2 4 2 2 3" xfId="17218" xr:uid="{32DF38E5-E198-4728-99AB-8BDDA1C366B6}"/>
    <cellStyle name="20% - Accent1 2 2 2 4 2 2 4" xfId="34112" xr:uid="{B51F0041-7B89-447E-AC47-6A545F3316FD}"/>
    <cellStyle name="20% - Accent1 2 2 2 4 2 3" xfId="21448" xr:uid="{9F9EAF12-ED93-4E84-B0FC-96CFB44EB1C6}"/>
    <cellStyle name="20% - Accent1 2 2 2 4 2 3 2" xfId="38342" xr:uid="{218C9049-7000-41EF-8CB5-5B8C54111C2C}"/>
    <cellStyle name="20% - Accent1 2 2 2 4 2 4" xfId="13001" xr:uid="{2551AD8C-395B-4603-8307-5CCD7FE7E284}"/>
    <cellStyle name="20% - Accent1 2 2 2 4 2 5" xfId="29895" xr:uid="{F3EF5CD5-D432-4388-A6ED-686712BE9DE2}"/>
    <cellStyle name="20% - Accent1 2 2 2 4 3" xfId="5747" xr:uid="{00000000-0005-0000-0000-000010000000}"/>
    <cellStyle name="20% - Accent1 2 2 2 4 3 2" xfId="23520" xr:uid="{D6BA1C26-C1FA-4BCE-BF6B-B62AED049BF8}"/>
    <cellStyle name="20% - Accent1 2 2 2 4 3 2 2" xfId="40414" xr:uid="{7F3B0DEC-B526-4960-A52B-4BB281A799EC}"/>
    <cellStyle name="20% - Accent1 2 2 2 4 3 3" xfId="15073" xr:uid="{F3722824-1C86-42D4-8016-E3739F4B153F}"/>
    <cellStyle name="20% - Accent1 2 2 2 4 3 4" xfId="31967" xr:uid="{4407903C-2089-4A1A-AE34-8766E808E1E4}"/>
    <cellStyle name="20% - Accent1 2 2 2 4 4" xfId="19303" xr:uid="{4495FFCA-886C-418F-BE39-D95B4A9EBA42}"/>
    <cellStyle name="20% - Accent1 2 2 2 4 4 2" xfId="36197" xr:uid="{F077B7ED-2DD0-4EFB-8356-7D074E69A13B}"/>
    <cellStyle name="20% - Accent1 2 2 2 4 5" xfId="10856" xr:uid="{41E820D7-9591-45B3-98B2-62C48FDED872}"/>
    <cellStyle name="20% - Accent1 2 2 2 4 6" xfId="27750" xr:uid="{F6CBF6B3-8BF2-4A72-9025-E7105413E2CA}"/>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2 2 2" xfId="26078" xr:uid="{79E471A4-A391-4FFB-A420-1A6CD8C963EC}"/>
    <cellStyle name="20% - Accent1 2 2 2 5 2 2 2 2" xfId="42972" xr:uid="{38FB0973-400E-4CC1-A8D3-8C22C191B2BD}"/>
    <cellStyle name="20% - Accent1 2 2 2 5 2 2 3" xfId="17631" xr:uid="{D25BA693-61F3-41DD-AAFD-5A3DB9694766}"/>
    <cellStyle name="20% - Accent1 2 2 2 5 2 2 4" xfId="34525" xr:uid="{D0906DF3-CF84-4C0C-A2EF-442E7B3899F2}"/>
    <cellStyle name="20% - Accent1 2 2 2 5 2 3" xfId="21861" xr:uid="{D0A17E11-A9C5-43EB-9D24-949D4C6206ED}"/>
    <cellStyle name="20% - Accent1 2 2 2 5 2 3 2" xfId="38755" xr:uid="{BD8F30B5-3684-4388-BEDF-921842E86670}"/>
    <cellStyle name="20% - Accent1 2 2 2 5 2 4" xfId="13414" xr:uid="{D3A115DC-3761-47B3-855D-997BBE7914BE}"/>
    <cellStyle name="20% - Accent1 2 2 2 5 2 5" xfId="30308" xr:uid="{998A8E8A-F650-493A-91EA-1C975E11B9B9}"/>
    <cellStyle name="20% - Accent1 2 2 2 5 3" xfId="6160" xr:uid="{00000000-0005-0000-0000-000014000000}"/>
    <cellStyle name="20% - Accent1 2 2 2 5 3 2" xfId="23933" xr:uid="{C0FCD1DB-84CE-4763-9E85-6E1C65E6E6E9}"/>
    <cellStyle name="20% - Accent1 2 2 2 5 3 2 2" xfId="40827" xr:uid="{2CB348DE-01B1-4FC7-8DD8-33C2D6558598}"/>
    <cellStyle name="20% - Accent1 2 2 2 5 3 3" xfId="15486" xr:uid="{400284D1-1212-4F61-9A93-11C0E668F994}"/>
    <cellStyle name="20% - Accent1 2 2 2 5 3 4" xfId="32380" xr:uid="{3FBF8C20-062C-4628-9DFA-947D5446142F}"/>
    <cellStyle name="20% - Accent1 2 2 2 5 4" xfId="19716" xr:uid="{05473432-F32D-406E-B6DB-E5AA9F20E5F5}"/>
    <cellStyle name="20% - Accent1 2 2 2 5 4 2" xfId="36610" xr:uid="{2F89FD2E-FC9D-4084-BCDA-A8CBAB475525}"/>
    <cellStyle name="20% - Accent1 2 2 2 5 5" xfId="11269" xr:uid="{D8046436-5172-4030-83AB-EBA997525019}"/>
    <cellStyle name="20% - Accent1 2 2 2 5 6" xfId="28163" xr:uid="{344EC3EA-4AB8-45E7-B5AE-E51D21F03E0E}"/>
    <cellStyle name="20% - Accent1 2 2 2 6" xfId="2267" xr:uid="{00000000-0005-0000-0000-000015000000}"/>
    <cellStyle name="20% - Accent1 2 2 2 6 2" xfId="6573" xr:uid="{00000000-0005-0000-0000-000016000000}"/>
    <cellStyle name="20% - Accent1 2 2 2 6 2 2" xfId="24346" xr:uid="{9C7C41ED-A005-4E91-8ED7-D00FD03AB8BC}"/>
    <cellStyle name="20% - Accent1 2 2 2 6 2 2 2" xfId="41240" xr:uid="{993AB30C-8645-44C7-95C2-7AAC11A8765B}"/>
    <cellStyle name="20% - Accent1 2 2 2 6 2 3" xfId="15899" xr:uid="{108C72E1-69AF-4C60-8480-5F18C4FA905B}"/>
    <cellStyle name="20% - Accent1 2 2 2 6 2 4" xfId="32793" xr:uid="{CA49808D-9C85-4F13-BA01-F08F3AA78222}"/>
    <cellStyle name="20% - Accent1 2 2 2 6 3" xfId="20129" xr:uid="{85C8520A-F2A0-4065-A460-7BEF82DDDD7E}"/>
    <cellStyle name="20% - Accent1 2 2 2 6 3 2" xfId="37023" xr:uid="{0106AA49-B3C8-4A09-BBAD-CE9F2C236451}"/>
    <cellStyle name="20% - Accent1 2 2 2 6 4" xfId="11682" xr:uid="{DE7AF80E-8F1D-4D35-B213-63093BC328AC}"/>
    <cellStyle name="20% - Accent1 2 2 2 6 5" xfId="28576" xr:uid="{CF94CE61-C0CF-43C6-904B-FEAD234DA323}"/>
    <cellStyle name="20% - Accent1 2 2 2 7" xfId="4507" xr:uid="{00000000-0005-0000-0000-000017000000}"/>
    <cellStyle name="20% - Accent1 2 2 2 7 2" xfId="22280" xr:uid="{2D3D2488-DF62-4412-97F7-EBA87734B66A}"/>
    <cellStyle name="20% - Accent1 2 2 2 7 2 2" xfId="39174" xr:uid="{8980BC73-881F-4B35-A574-0FDF73EC86AB}"/>
    <cellStyle name="20% - Accent1 2 2 2 7 3" xfId="13833" xr:uid="{B25BE63F-D6DB-455E-B9E4-27D7AEFC14E4}"/>
    <cellStyle name="20% - Accent1 2 2 2 7 4" xfId="30727" xr:uid="{BE96AD2F-C4E1-47FD-934E-1CAF69096385}"/>
    <cellStyle name="20% - Accent1 2 2 2 8" xfId="9107" xr:uid="{4168D01E-823F-4E8F-9A1D-70697AC1F241}"/>
    <cellStyle name="20% - Accent1 2 2 2 8 2" xfId="18063" xr:uid="{D6F6307D-8F7D-4A3F-89D7-FA26D0FFFA11}"/>
    <cellStyle name="20% - Accent1 2 2 2 8 3" xfId="34957" xr:uid="{429CC3F8-D959-48ED-8441-ACC25EC9C3D7}"/>
    <cellStyle name="20% - Accent1 2 2 2 9" xfId="9616" xr:uid="{CA8D486E-47D7-4FFA-A15A-E170B9F84E7D}"/>
    <cellStyle name="20% - Accent1 2 2 3" xfId="572" xr:uid="{00000000-0005-0000-0000-000018000000}"/>
    <cellStyle name="20% - Accent1 2 2 3 2" xfId="2843" xr:uid="{00000000-0005-0000-0000-000019000000}"/>
    <cellStyle name="20% - Accent1 2 2 3 2 2" xfId="7065" xr:uid="{00000000-0005-0000-0000-00001A000000}"/>
    <cellStyle name="20% - Accent1 2 2 3 2 2 2" xfId="24838" xr:uid="{2F5E6326-8D02-4B71-9AD8-357F75763E16}"/>
    <cellStyle name="20% - Accent1 2 2 3 2 2 2 2" xfId="41732" xr:uid="{8B33BBBB-FAEA-4E26-85B5-6419FE84A2A4}"/>
    <cellStyle name="20% - Accent1 2 2 3 2 2 3" xfId="16391" xr:uid="{BF1481EC-A9E4-48B4-A245-F5742C64CEA9}"/>
    <cellStyle name="20% - Accent1 2 2 3 2 2 4" xfId="33285" xr:uid="{F2721A37-1257-42C6-9A70-CA4990B40D3A}"/>
    <cellStyle name="20% - Accent1 2 2 3 2 3" xfId="20621" xr:uid="{CD2D1C13-9833-4F69-ADF8-6821966CAB6A}"/>
    <cellStyle name="20% - Accent1 2 2 3 2 3 2" xfId="37515" xr:uid="{5DED6049-4862-4EFD-B7D6-44F4CB7FFFE0}"/>
    <cellStyle name="20% - Accent1 2 2 3 2 4" xfId="12174" xr:uid="{EB7C00F2-BFE8-487A-B6B4-B665E3C88BCC}"/>
    <cellStyle name="20% - Accent1 2 2 3 2 5" xfId="29068" xr:uid="{209A0FC5-0A2E-4CB4-95B6-102B6DA74312}"/>
    <cellStyle name="20% - Accent1 2 2 3 3" xfId="4920" xr:uid="{00000000-0005-0000-0000-00001B000000}"/>
    <cellStyle name="20% - Accent1 2 2 3 3 2" xfId="22693" xr:uid="{F05E5AEA-2889-4A8B-B5E5-1E7FC5AA2BAF}"/>
    <cellStyle name="20% - Accent1 2 2 3 3 2 2" xfId="39587" xr:uid="{08A78C96-CF7C-4BD0-9FC0-73BF812A89A0}"/>
    <cellStyle name="20% - Accent1 2 2 3 3 3" xfId="14246" xr:uid="{B8185665-3A33-4896-AA83-972ADE93E829}"/>
    <cellStyle name="20% - Accent1 2 2 3 3 4" xfId="31140" xr:uid="{F144947A-3DC0-44BA-B298-874D47EFA7F7}"/>
    <cellStyle name="20% - Accent1 2 2 3 4" xfId="9325" xr:uid="{DE19910B-698B-4F31-B25F-3533B35DDA95}"/>
    <cellStyle name="20% - Accent1 2 2 3 4 2" xfId="18476" xr:uid="{21041349-2C3C-490D-A452-1D40DA173351}"/>
    <cellStyle name="20% - Accent1 2 2 3 4 3" xfId="35370" xr:uid="{70BAF1A6-4EB3-4326-A938-4668B1D35EA2}"/>
    <cellStyle name="20% - Accent1 2 2 3 5" xfId="10029" xr:uid="{E38A850E-F0FD-4E36-BBD7-408303CCEB41}"/>
    <cellStyle name="20% - Accent1 2 2 3 6" xfId="26923" xr:uid="{DA1F3822-971E-4CE3-96DE-28B3EB084031}"/>
    <cellStyle name="20% - Accent1 2 2 4" xfId="1025" xr:uid="{00000000-0005-0000-0000-00001C000000}"/>
    <cellStyle name="20% - Accent1 2 2 4 2" xfId="3256" xr:uid="{00000000-0005-0000-0000-00001D000000}"/>
    <cellStyle name="20% - Accent1 2 2 4 2 2" xfId="7478" xr:uid="{00000000-0005-0000-0000-00001E000000}"/>
    <cellStyle name="20% - Accent1 2 2 4 2 2 2" xfId="25251" xr:uid="{63E4AFBC-AF49-4509-8617-35AC7ADFE7F4}"/>
    <cellStyle name="20% - Accent1 2 2 4 2 2 2 2" xfId="42145" xr:uid="{F0B27BAC-8639-4570-9D76-496F02021813}"/>
    <cellStyle name="20% - Accent1 2 2 4 2 2 3" xfId="16804" xr:uid="{AA42206F-6AA4-43D1-AE3C-CF7D3FA91CAD}"/>
    <cellStyle name="20% - Accent1 2 2 4 2 2 4" xfId="33698" xr:uid="{1BCB9E1C-BFB7-46CE-AF42-22B6CEE1B1A1}"/>
    <cellStyle name="20% - Accent1 2 2 4 2 3" xfId="21034" xr:uid="{9B5D6EEC-92E0-4B49-9748-92A49BB5D066}"/>
    <cellStyle name="20% - Accent1 2 2 4 2 3 2" xfId="37928" xr:uid="{775BF8DC-811E-4450-B6AB-0F2663F37EC5}"/>
    <cellStyle name="20% - Accent1 2 2 4 2 4" xfId="12587" xr:uid="{45875A52-7673-4D61-A02E-6167C4A1537A}"/>
    <cellStyle name="20% - Accent1 2 2 4 2 5" xfId="29481" xr:uid="{20B65524-E410-4493-BD6F-5424E2C11D95}"/>
    <cellStyle name="20% - Accent1 2 2 4 3" xfId="5333" xr:uid="{00000000-0005-0000-0000-00001F000000}"/>
    <cellStyle name="20% - Accent1 2 2 4 3 2" xfId="23106" xr:uid="{0C9ED0E0-7612-4922-98A8-95D425CA1658}"/>
    <cellStyle name="20% - Accent1 2 2 4 3 2 2" xfId="40000" xr:uid="{4D1CCCCA-903C-4F66-85F2-CB72B7488BAD}"/>
    <cellStyle name="20% - Accent1 2 2 4 3 3" xfId="14659" xr:uid="{D0FB7AC5-F817-4127-9D69-97E5748F48DA}"/>
    <cellStyle name="20% - Accent1 2 2 4 3 4" xfId="31553" xr:uid="{1E8F289D-3960-43C5-B3DE-B6606787FD07}"/>
    <cellStyle name="20% - Accent1 2 2 4 4" xfId="18889" xr:uid="{5D1527FD-8AA3-4A95-8EBF-9A4CFC09CA3B}"/>
    <cellStyle name="20% - Accent1 2 2 4 4 2" xfId="35783" xr:uid="{833CF0A0-0C28-4F0B-85E6-49F76CAD8464}"/>
    <cellStyle name="20% - Accent1 2 2 4 5" xfId="10442" xr:uid="{2F02A42B-96F4-45A5-81DB-9E6DC38AE16D}"/>
    <cellStyle name="20% - Accent1 2 2 4 6" xfId="27336" xr:uid="{EC12A1C9-C620-4445-89F9-C6659B732F8C}"/>
    <cellStyle name="20% - Accent1 2 2 5" xfId="1439" xr:uid="{00000000-0005-0000-0000-000020000000}"/>
    <cellStyle name="20% - Accent1 2 2 5 2" xfId="3669" xr:uid="{00000000-0005-0000-0000-000021000000}"/>
    <cellStyle name="20% - Accent1 2 2 5 2 2" xfId="7891" xr:uid="{00000000-0005-0000-0000-000022000000}"/>
    <cellStyle name="20% - Accent1 2 2 5 2 2 2" xfId="25664" xr:uid="{33737016-D71E-477F-96B1-D763A8A35918}"/>
    <cellStyle name="20% - Accent1 2 2 5 2 2 2 2" xfId="42558" xr:uid="{105D1CB0-9A56-4C96-8026-FFDBC88CBBCC}"/>
    <cellStyle name="20% - Accent1 2 2 5 2 2 3" xfId="17217" xr:uid="{B93A0002-1E2F-4397-AFD5-C057669C67DB}"/>
    <cellStyle name="20% - Accent1 2 2 5 2 2 4" xfId="34111" xr:uid="{306CC9F8-95FE-42A3-8FC6-4E210C24543C}"/>
    <cellStyle name="20% - Accent1 2 2 5 2 3" xfId="21447" xr:uid="{417B5865-5D88-4B95-90C8-BB2436293450}"/>
    <cellStyle name="20% - Accent1 2 2 5 2 3 2" xfId="38341" xr:uid="{1A4B826C-46A1-4CEB-A6D2-31571E02B671}"/>
    <cellStyle name="20% - Accent1 2 2 5 2 4" xfId="13000" xr:uid="{1BD1A495-1A61-4667-9FDE-673C391562FB}"/>
    <cellStyle name="20% - Accent1 2 2 5 2 5" xfId="29894" xr:uid="{46738D73-985F-4E20-B1EF-E5A22D1BE172}"/>
    <cellStyle name="20% - Accent1 2 2 5 3" xfId="5746" xr:uid="{00000000-0005-0000-0000-000023000000}"/>
    <cellStyle name="20% - Accent1 2 2 5 3 2" xfId="23519" xr:uid="{CEC3B884-F4C5-4BB9-ACED-79CFCC0EC0F7}"/>
    <cellStyle name="20% - Accent1 2 2 5 3 2 2" xfId="40413" xr:uid="{ECDD9288-A77B-4AE2-B52F-48D254F9C322}"/>
    <cellStyle name="20% - Accent1 2 2 5 3 3" xfId="15072" xr:uid="{06E318D7-C479-40E6-9ED7-58EF1F3A5160}"/>
    <cellStyle name="20% - Accent1 2 2 5 3 4" xfId="31966" xr:uid="{58259610-CC3A-4A64-90BD-E27DFB862036}"/>
    <cellStyle name="20% - Accent1 2 2 5 4" xfId="19302" xr:uid="{09D6452E-DE28-4ACC-A9C7-F16B51F4F165}"/>
    <cellStyle name="20% - Accent1 2 2 5 4 2" xfId="36196" xr:uid="{98D25B58-FF41-4750-B825-5E1E739E89E6}"/>
    <cellStyle name="20% - Accent1 2 2 5 5" xfId="10855" xr:uid="{69978AF7-B584-42C9-AAAD-5453FD67F3A3}"/>
    <cellStyle name="20% - Accent1 2 2 5 6" xfId="27749" xr:uid="{2667FCB3-1C66-4BD8-A37E-0EC459BBC62C}"/>
    <cellStyle name="20% - Accent1 2 2 6" xfId="1853" xr:uid="{00000000-0005-0000-0000-000024000000}"/>
    <cellStyle name="20% - Accent1 2 2 6 2" xfId="4082" xr:uid="{00000000-0005-0000-0000-000025000000}"/>
    <cellStyle name="20% - Accent1 2 2 6 2 2" xfId="8304" xr:uid="{00000000-0005-0000-0000-000026000000}"/>
    <cellStyle name="20% - Accent1 2 2 6 2 2 2" xfId="26077" xr:uid="{0AEB6BDB-3C3C-407B-A4CC-BC6066CDDD28}"/>
    <cellStyle name="20% - Accent1 2 2 6 2 2 2 2" xfId="42971" xr:uid="{CD048C56-70B7-42AC-97E5-797B92D6C35A}"/>
    <cellStyle name="20% - Accent1 2 2 6 2 2 3" xfId="17630" xr:uid="{5014EE39-B11D-40E4-A138-6A5EFB14FF58}"/>
    <cellStyle name="20% - Accent1 2 2 6 2 2 4" xfId="34524" xr:uid="{5820B3E6-9A3D-4239-9701-6B76FBB8046A}"/>
    <cellStyle name="20% - Accent1 2 2 6 2 3" xfId="21860" xr:uid="{94AB8809-8BDD-4BD3-813B-F5B2C5FF0A46}"/>
    <cellStyle name="20% - Accent1 2 2 6 2 3 2" xfId="38754" xr:uid="{8360BC30-8346-45F4-AEC0-9CEA31650243}"/>
    <cellStyle name="20% - Accent1 2 2 6 2 4" xfId="13413" xr:uid="{D3A947CE-0180-4902-94D0-470872C82A89}"/>
    <cellStyle name="20% - Accent1 2 2 6 2 5" xfId="30307" xr:uid="{9975133B-61BB-49BA-9DFC-8CAB85B8501A}"/>
    <cellStyle name="20% - Accent1 2 2 6 3" xfId="6159" xr:uid="{00000000-0005-0000-0000-000027000000}"/>
    <cellStyle name="20% - Accent1 2 2 6 3 2" xfId="23932" xr:uid="{C1EEA35E-8789-4E46-85A1-DA99D87A2F27}"/>
    <cellStyle name="20% - Accent1 2 2 6 3 2 2" xfId="40826" xr:uid="{20A94941-2D0C-46E6-88C6-07FA1BC69860}"/>
    <cellStyle name="20% - Accent1 2 2 6 3 3" xfId="15485" xr:uid="{6C5ED6A0-7D04-4E11-A6F3-18904E309E38}"/>
    <cellStyle name="20% - Accent1 2 2 6 3 4" xfId="32379" xr:uid="{EBFF46FA-A44A-4B30-A6D5-AF0A0B01930D}"/>
    <cellStyle name="20% - Accent1 2 2 6 4" xfId="19715" xr:uid="{F52AE8CC-ECAB-4AE0-AB7C-361BE2F9296F}"/>
    <cellStyle name="20% - Accent1 2 2 6 4 2" xfId="36609" xr:uid="{79C3E367-2EB3-4E13-93A6-F5F7729921D6}"/>
    <cellStyle name="20% - Accent1 2 2 6 5" xfId="11268" xr:uid="{575BBCED-823E-4ADB-9AAA-EEB421591BD9}"/>
    <cellStyle name="20% - Accent1 2 2 6 6" xfId="28162" xr:uid="{29BDBB8E-3317-4A78-A5A5-D23BBCE03B66}"/>
    <cellStyle name="20% - Accent1 2 2 7" xfId="2266" xr:uid="{00000000-0005-0000-0000-000028000000}"/>
    <cellStyle name="20% - Accent1 2 2 7 2" xfId="6572" xr:uid="{00000000-0005-0000-0000-000029000000}"/>
    <cellStyle name="20% - Accent1 2 2 7 2 2" xfId="24345" xr:uid="{698837A2-A1EB-4AE8-8122-1A68D34CB7A2}"/>
    <cellStyle name="20% - Accent1 2 2 7 2 2 2" xfId="41239" xr:uid="{EDB75377-F9B8-4B4A-8896-1773E0EEA11A}"/>
    <cellStyle name="20% - Accent1 2 2 7 2 3" xfId="15898" xr:uid="{2833CFBC-F8E6-43AD-9234-25879716DF3E}"/>
    <cellStyle name="20% - Accent1 2 2 7 2 4" xfId="32792" xr:uid="{ED30D613-E667-46D2-AD68-CBCF34634E05}"/>
    <cellStyle name="20% - Accent1 2 2 7 3" xfId="20128" xr:uid="{7B6218BC-4483-41FA-830B-3F68F6DA6462}"/>
    <cellStyle name="20% - Accent1 2 2 7 3 2" xfId="37022" xr:uid="{BF347BD0-91C1-47B4-8419-127541CCFDE8}"/>
    <cellStyle name="20% - Accent1 2 2 7 4" xfId="11681" xr:uid="{57AF4BBA-FA15-4124-868A-352BCEE5C5D4}"/>
    <cellStyle name="20% - Accent1 2 2 7 5" xfId="28575" xr:uid="{D211FB39-7238-401B-9B29-5FA1B40C4C07}"/>
    <cellStyle name="20% - Accent1 2 2 8" xfId="4506" xr:uid="{00000000-0005-0000-0000-00002A000000}"/>
    <cellStyle name="20% - Accent1 2 2 8 2" xfId="22279" xr:uid="{1DAD130D-7BC1-4BF6-9696-F4509DFB40C0}"/>
    <cellStyle name="20% - Accent1 2 2 8 2 2" xfId="39173" xr:uid="{216B0A3C-21FB-404F-A0A9-D97736C65F1C}"/>
    <cellStyle name="20% - Accent1 2 2 8 3" xfId="13832" xr:uid="{355F3D2B-15BE-4C97-8128-5DFFC2EE10CC}"/>
    <cellStyle name="20% - Accent1 2 2 8 4" xfId="30726" xr:uid="{AC59BE86-0A45-44A0-8319-FB0E8699D9DF}"/>
    <cellStyle name="20% - Accent1 2 2 9" xfId="8900" xr:uid="{7D7E3EAF-DF6A-403F-8C20-66BB9757790F}"/>
    <cellStyle name="20% - Accent1 2 2 9 2" xfId="18062" xr:uid="{1D93F3F0-65CD-4922-B620-B7E638FEE5CE}"/>
    <cellStyle name="20% - Accent1 2 2 9 3" xfId="34956" xr:uid="{28CE3B1D-70F3-45CD-9C0B-3C45B9ECFD2D}"/>
    <cellStyle name="20% - Accent1 2 3" xfId="5" xr:uid="{00000000-0005-0000-0000-00002B000000}"/>
    <cellStyle name="20% - Accent1 2 3 10" xfId="26511" xr:uid="{4FE6AF88-9CD0-45DE-B969-F2CE68B05408}"/>
    <cellStyle name="20% - Accent1 2 3 2" xfId="574" xr:uid="{00000000-0005-0000-0000-00002C000000}"/>
    <cellStyle name="20% - Accent1 2 3 2 2" xfId="2845" xr:uid="{00000000-0005-0000-0000-00002D000000}"/>
    <cellStyle name="20% - Accent1 2 3 2 2 2" xfId="7067" xr:uid="{00000000-0005-0000-0000-00002E000000}"/>
    <cellStyle name="20% - Accent1 2 3 2 2 2 2" xfId="24840" xr:uid="{339700B3-B557-4F68-9142-000E657EA39E}"/>
    <cellStyle name="20% - Accent1 2 3 2 2 2 2 2" xfId="41734" xr:uid="{DB7D7B34-E01A-4308-B35C-ACA5169D5F44}"/>
    <cellStyle name="20% - Accent1 2 3 2 2 2 3" xfId="16393" xr:uid="{3BE10884-EB62-4D56-B65A-D5CB7DB26C92}"/>
    <cellStyle name="20% - Accent1 2 3 2 2 2 4" xfId="33287" xr:uid="{A60A9A2B-92EF-4A9D-B7CA-C8B222A22453}"/>
    <cellStyle name="20% - Accent1 2 3 2 2 3" xfId="20623" xr:uid="{3DFE0B29-8525-4F7F-8CB4-05C8D47D1897}"/>
    <cellStyle name="20% - Accent1 2 3 2 2 3 2" xfId="37517" xr:uid="{27794DD2-C41B-4C12-85D9-2DAD34350584}"/>
    <cellStyle name="20% - Accent1 2 3 2 2 4" xfId="12176" xr:uid="{32C93CC0-681B-4C88-A903-08C05DA5AFD4}"/>
    <cellStyle name="20% - Accent1 2 3 2 2 5" xfId="29070" xr:uid="{657F5B63-B8EF-4943-A82A-796BE707D0C5}"/>
    <cellStyle name="20% - Accent1 2 3 2 3" xfId="4922" xr:uid="{00000000-0005-0000-0000-00002F000000}"/>
    <cellStyle name="20% - Accent1 2 3 2 3 2" xfId="22695" xr:uid="{9634B6F1-17DE-4A86-B09A-69F11B52724A}"/>
    <cellStyle name="20% - Accent1 2 3 2 3 2 2" xfId="39589" xr:uid="{C6CE8162-8042-4D43-BCEF-47846C94D020}"/>
    <cellStyle name="20% - Accent1 2 3 2 3 3" xfId="14248" xr:uid="{45168AB0-BBC8-4E1F-A8E8-1612C913F330}"/>
    <cellStyle name="20% - Accent1 2 3 2 3 4" xfId="31142" xr:uid="{931B5796-AE41-414B-BD10-52F614C2EDF3}"/>
    <cellStyle name="20% - Accent1 2 3 2 4" xfId="9429" xr:uid="{CCD4BD61-3143-497B-A316-8024A8762A6C}"/>
    <cellStyle name="20% - Accent1 2 3 2 4 2" xfId="18478" xr:uid="{3232C9B9-26B2-418C-97C9-BC0A7FCDB662}"/>
    <cellStyle name="20% - Accent1 2 3 2 4 3" xfId="35372" xr:uid="{F3A419D9-2059-4393-9534-D3A4CCE1DB60}"/>
    <cellStyle name="20% - Accent1 2 3 2 5" xfId="10031" xr:uid="{349D2C1B-1E14-431A-A865-5EEB861E0ABA}"/>
    <cellStyle name="20% - Accent1 2 3 2 6" xfId="26925" xr:uid="{FAC39EB5-417A-425F-9FD0-FC438F67029A}"/>
    <cellStyle name="20% - Accent1 2 3 3" xfId="1027" xr:uid="{00000000-0005-0000-0000-000030000000}"/>
    <cellStyle name="20% - Accent1 2 3 3 2" xfId="3258" xr:uid="{00000000-0005-0000-0000-000031000000}"/>
    <cellStyle name="20% - Accent1 2 3 3 2 2" xfId="7480" xr:uid="{00000000-0005-0000-0000-000032000000}"/>
    <cellStyle name="20% - Accent1 2 3 3 2 2 2" xfId="25253" xr:uid="{38B9628C-174E-42BA-8221-AD6D7E88588A}"/>
    <cellStyle name="20% - Accent1 2 3 3 2 2 2 2" xfId="42147" xr:uid="{BCBE88D1-8118-4DEA-BB11-A6B15F0A783F}"/>
    <cellStyle name="20% - Accent1 2 3 3 2 2 3" xfId="16806" xr:uid="{F1644680-844E-4745-B6D8-5D21CE553D6F}"/>
    <cellStyle name="20% - Accent1 2 3 3 2 2 4" xfId="33700" xr:uid="{00400156-1C22-4D9B-8053-C95D45FCA607}"/>
    <cellStyle name="20% - Accent1 2 3 3 2 3" xfId="21036" xr:uid="{9E2ED265-79D2-4C20-B3B8-0C054EB83C05}"/>
    <cellStyle name="20% - Accent1 2 3 3 2 3 2" xfId="37930" xr:uid="{829245F2-B9D5-4B60-93C2-BCD3DBE7ABF1}"/>
    <cellStyle name="20% - Accent1 2 3 3 2 4" xfId="12589" xr:uid="{F3150F2B-9AAD-4EED-A5C5-FC06EA9679F6}"/>
    <cellStyle name="20% - Accent1 2 3 3 2 5" xfId="29483" xr:uid="{BC0ECB50-B7B5-4851-8C25-2A6FD1E3FC3C}"/>
    <cellStyle name="20% - Accent1 2 3 3 3" xfId="5335" xr:uid="{00000000-0005-0000-0000-000033000000}"/>
    <cellStyle name="20% - Accent1 2 3 3 3 2" xfId="23108" xr:uid="{DC356082-F45A-4100-879C-2898EBCEEDD7}"/>
    <cellStyle name="20% - Accent1 2 3 3 3 2 2" xfId="40002" xr:uid="{A8E4FBBB-CD07-4725-BF3C-196AE45C8648}"/>
    <cellStyle name="20% - Accent1 2 3 3 3 3" xfId="14661" xr:uid="{9513A7D0-DCD3-4458-A921-E7C5319713D6}"/>
    <cellStyle name="20% - Accent1 2 3 3 3 4" xfId="31555" xr:uid="{74FDDAC7-B894-4A3A-B910-6F2ED22F3C93}"/>
    <cellStyle name="20% - Accent1 2 3 3 4" xfId="18891" xr:uid="{E14F8EB1-FFDA-42E7-96BB-5E24FB1C98E9}"/>
    <cellStyle name="20% - Accent1 2 3 3 4 2" xfId="35785" xr:uid="{562A6E73-C3ED-446B-AA1A-97DB9224E925}"/>
    <cellStyle name="20% - Accent1 2 3 3 5" xfId="10444" xr:uid="{85540DE6-ADC5-4C5E-8336-0CFEABEA3F22}"/>
    <cellStyle name="20% - Accent1 2 3 3 6" xfId="27338" xr:uid="{8896D522-A148-41CD-B9E6-3397678B64E6}"/>
    <cellStyle name="20% - Accent1 2 3 4" xfId="1441" xr:uid="{00000000-0005-0000-0000-000034000000}"/>
    <cellStyle name="20% - Accent1 2 3 4 2" xfId="3671" xr:uid="{00000000-0005-0000-0000-000035000000}"/>
    <cellStyle name="20% - Accent1 2 3 4 2 2" xfId="7893" xr:uid="{00000000-0005-0000-0000-000036000000}"/>
    <cellStyle name="20% - Accent1 2 3 4 2 2 2" xfId="25666" xr:uid="{822E8E10-0FD7-4C92-88E6-6D0B8C138B75}"/>
    <cellStyle name="20% - Accent1 2 3 4 2 2 2 2" xfId="42560" xr:uid="{4923A68D-DB35-43FB-9643-5E7FB2E66C96}"/>
    <cellStyle name="20% - Accent1 2 3 4 2 2 3" xfId="17219" xr:uid="{861FA9E4-BE3C-4021-90FD-1FA1667485EA}"/>
    <cellStyle name="20% - Accent1 2 3 4 2 2 4" xfId="34113" xr:uid="{6AC93F11-7D5B-4BA9-A915-265934BC74CD}"/>
    <cellStyle name="20% - Accent1 2 3 4 2 3" xfId="21449" xr:uid="{E2F79C1F-B5B4-492C-A6D3-E143B8423CAF}"/>
    <cellStyle name="20% - Accent1 2 3 4 2 3 2" xfId="38343" xr:uid="{B0966182-31F0-4F3E-87F3-345BD939AEDE}"/>
    <cellStyle name="20% - Accent1 2 3 4 2 4" xfId="13002" xr:uid="{ED453281-62CA-4B23-A02A-805FCAD0C4B0}"/>
    <cellStyle name="20% - Accent1 2 3 4 2 5" xfId="29896" xr:uid="{6FD6BACD-EC16-4E6F-9B4B-994B8CA28F24}"/>
    <cellStyle name="20% - Accent1 2 3 4 3" xfId="5748" xr:uid="{00000000-0005-0000-0000-000037000000}"/>
    <cellStyle name="20% - Accent1 2 3 4 3 2" xfId="23521" xr:uid="{44BF88C1-7B6E-4D6C-9A80-D30B15331E01}"/>
    <cellStyle name="20% - Accent1 2 3 4 3 2 2" xfId="40415" xr:uid="{94AB9C8A-CFEE-465E-A218-6B563261383E}"/>
    <cellStyle name="20% - Accent1 2 3 4 3 3" xfId="15074" xr:uid="{7CD79AD8-B0B3-4FBC-B504-676FE2728BAB}"/>
    <cellStyle name="20% - Accent1 2 3 4 3 4" xfId="31968" xr:uid="{79E0CE54-43BC-4B96-80DA-0A0E77C9FAF7}"/>
    <cellStyle name="20% - Accent1 2 3 4 4" xfId="19304" xr:uid="{21C0F737-399A-451D-8165-2A6FFD9C8F97}"/>
    <cellStyle name="20% - Accent1 2 3 4 4 2" xfId="36198" xr:uid="{EC89F727-2D68-42A6-A404-878A32BFBA9B}"/>
    <cellStyle name="20% - Accent1 2 3 4 5" xfId="10857" xr:uid="{8CE5D01E-9B5F-425F-BE0D-B37717D645DA}"/>
    <cellStyle name="20% - Accent1 2 3 4 6" xfId="27751" xr:uid="{9758D510-7C8C-44E0-9260-60D8574996DE}"/>
    <cellStyle name="20% - Accent1 2 3 5" xfId="1855" xr:uid="{00000000-0005-0000-0000-000038000000}"/>
    <cellStyle name="20% - Accent1 2 3 5 2" xfId="4084" xr:uid="{00000000-0005-0000-0000-000039000000}"/>
    <cellStyle name="20% - Accent1 2 3 5 2 2" xfId="8306" xr:uid="{00000000-0005-0000-0000-00003A000000}"/>
    <cellStyle name="20% - Accent1 2 3 5 2 2 2" xfId="26079" xr:uid="{D7F6D908-6E73-4154-ABBE-002DA4DA8342}"/>
    <cellStyle name="20% - Accent1 2 3 5 2 2 2 2" xfId="42973" xr:uid="{D66F35BB-E61C-467B-9E29-462A3194A96E}"/>
    <cellStyle name="20% - Accent1 2 3 5 2 2 3" xfId="17632" xr:uid="{0AB9B2BF-4F36-49C4-B793-BAFB28A6C5B4}"/>
    <cellStyle name="20% - Accent1 2 3 5 2 2 4" xfId="34526" xr:uid="{32908FFA-0359-4BDA-88BC-3ABAB08F7084}"/>
    <cellStyle name="20% - Accent1 2 3 5 2 3" xfId="21862" xr:uid="{0497E229-7A81-4964-BDBC-F34113633E30}"/>
    <cellStyle name="20% - Accent1 2 3 5 2 3 2" xfId="38756" xr:uid="{61A3D4B8-92E1-4646-AC39-1D5C573DDFCD}"/>
    <cellStyle name="20% - Accent1 2 3 5 2 4" xfId="13415" xr:uid="{EA022A33-D828-4EF2-8376-17A962486CAD}"/>
    <cellStyle name="20% - Accent1 2 3 5 2 5" xfId="30309" xr:uid="{5CA63E6C-20BC-46EF-A306-DF0D30AC9727}"/>
    <cellStyle name="20% - Accent1 2 3 5 3" xfId="6161" xr:uid="{00000000-0005-0000-0000-00003B000000}"/>
    <cellStyle name="20% - Accent1 2 3 5 3 2" xfId="23934" xr:uid="{E8DC8B4F-95E8-4F2B-9C82-6396C3236043}"/>
    <cellStyle name="20% - Accent1 2 3 5 3 2 2" xfId="40828" xr:uid="{386F4EC6-7311-4B1B-980C-7B7C19B1F603}"/>
    <cellStyle name="20% - Accent1 2 3 5 3 3" xfId="15487" xr:uid="{4DD1E5A1-3260-4E3F-BBE9-0A1EAFA1F63D}"/>
    <cellStyle name="20% - Accent1 2 3 5 3 4" xfId="32381" xr:uid="{D1ECB9CA-8A9E-4FE5-9C75-AEB8D9434437}"/>
    <cellStyle name="20% - Accent1 2 3 5 4" xfId="19717" xr:uid="{88BE7D4F-22C4-4E16-8562-2B2DCDF2A821}"/>
    <cellStyle name="20% - Accent1 2 3 5 4 2" xfId="36611" xr:uid="{63186721-022F-45AD-9DEA-3ECFA3D04C2A}"/>
    <cellStyle name="20% - Accent1 2 3 5 5" xfId="11270" xr:uid="{1F3373D4-6802-40BC-AA20-388C2D7A8F2C}"/>
    <cellStyle name="20% - Accent1 2 3 5 6" xfId="28164" xr:uid="{970187CE-3373-421B-8202-FFA6DE662E1C}"/>
    <cellStyle name="20% - Accent1 2 3 6" xfId="2268" xr:uid="{00000000-0005-0000-0000-00003C000000}"/>
    <cellStyle name="20% - Accent1 2 3 6 2" xfId="6574" xr:uid="{00000000-0005-0000-0000-00003D000000}"/>
    <cellStyle name="20% - Accent1 2 3 6 2 2" xfId="24347" xr:uid="{0D728236-2818-47BE-8DA3-950F7728FBB6}"/>
    <cellStyle name="20% - Accent1 2 3 6 2 2 2" xfId="41241" xr:uid="{F0AE6B00-B1DE-4A9C-973E-7B7967B1B4AA}"/>
    <cellStyle name="20% - Accent1 2 3 6 2 3" xfId="15900" xr:uid="{524A6440-9FF4-4D99-9C3F-1BEC9AE367A0}"/>
    <cellStyle name="20% - Accent1 2 3 6 2 4" xfId="32794" xr:uid="{07D60EE9-3688-476E-9EDE-E82A2749E87A}"/>
    <cellStyle name="20% - Accent1 2 3 6 3" xfId="20130" xr:uid="{B2C2C36B-4444-4E86-A9AF-9A88C8E8B5DA}"/>
    <cellStyle name="20% - Accent1 2 3 6 3 2" xfId="37024" xr:uid="{92D6186B-3561-43FE-99D7-0E7A684C113D}"/>
    <cellStyle name="20% - Accent1 2 3 6 4" xfId="11683" xr:uid="{F2D8ED5A-89F7-44C7-8BAD-C19BC83065AA}"/>
    <cellStyle name="20% - Accent1 2 3 6 5" xfId="28577" xr:uid="{09460940-7A25-45C5-A3EA-0E814D89D21D}"/>
    <cellStyle name="20% - Accent1 2 3 7" xfId="4508" xr:uid="{00000000-0005-0000-0000-00003E000000}"/>
    <cellStyle name="20% - Accent1 2 3 7 2" xfId="22281" xr:uid="{10BABE34-91B0-4EE8-B21C-9B3C4B2F4588}"/>
    <cellStyle name="20% - Accent1 2 3 7 2 2" xfId="39175" xr:uid="{B3A507D2-3CC9-4E59-90CF-E5BE2F60B160}"/>
    <cellStyle name="20% - Accent1 2 3 7 3" xfId="13834" xr:uid="{5AA5A28A-0DB8-4844-9880-EFB4A13D2CDA}"/>
    <cellStyle name="20% - Accent1 2 3 7 4" xfId="30728" xr:uid="{4F6BA38C-1C0B-45B2-A0F3-27BF4545324F}"/>
    <cellStyle name="20% - Accent1 2 3 8" xfId="9004" xr:uid="{14A9C135-BB7B-44DD-97E1-B6B10773DEE2}"/>
    <cellStyle name="20% - Accent1 2 3 8 2" xfId="18064" xr:uid="{27905F4A-F3E8-4744-BA81-E37CC243BF37}"/>
    <cellStyle name="20% - Accent1 2 3 8 3" xfId="34958" xr:uid="{A0681381-5295-4DD5-858A-44895368A366}"/>
    <cellStyle name="20% - Accent1 2 3 9" xfId="9617" xr:uid="{468DB306-363C-4765-B40A-1AA24E3C90BC}"/>
    <cellStyle name="20% - Accent1 2 4" xfId="571" xr:uid="{00000000-0005-0000-0000-00003F000000}"/>
    <cellStyle name="20% - Accent1 2 4 2" xfId="2842" xr:uid="{00000000-0005-0000-0000-000040000000}"/>
    <cellStyle name="20% - Accent1 2 4 2 2" xfId="7064" xr:uid="{00000000-0005-0000-0000-000041000000}"/>
    <cellStyle name="20% - Accent1 2 4 2 2 2" xfId="24837" xr:uid="{6E13BF62-E852-43AD-A397-95100F2BBD89}"/>
    <cellStyle name="20% - Accent1 2 4 2 2 2 2" xfId="41731" xr:uid="{C2DAD933-F530-48AD-8DFB-B2EE5BBA8838}"/>
    <cellStyle name="20% - Accent1 2 4 2 2 3" xfId="16390" xr:uid="{5F17D974-F937-4F30-8939-890F80DD5A34}"/>
    <cellStyle name="20% - Accent1 2 4 2 2 4" xfId="33284" xr:uid="{E4322B49-8592-475E-92A6-26FAD02C2C8A}"/>
    <cellStyle name="20% - Accent1 2 4 2 3" xfId="20620" xr:uid="{0D98F7FA-E79A-4DEB-A806-6B56520C18CB}"/>
    <cellStyle name="20% - Accent1 2 4 2 3 2" xfId="37514" xr:uid="{707CB924-400C-472F-8B5A-29C268DDAD30}"/>
    <cellStyle name="20% - Accent1 2 4 2 4" xfId="12173" xr:uid="{31F9E0E3-57FE-4A57-9332-E6714DFF14D7}"/>
    <cellStyle name="20% - Accent1 2 4 2 5" xfId="29067" xr:uid="{71FD26A6-1B74-41D6-9059-AAE608860A6E}"/>
    <cellStyle name="20% - Accent1 2 4 3" xfId="4919" xr:uid="{00000000-0005-0000-0000-000042000000}"/>
    <cellStyle name="20% - Accent1 2 4 3 2" xfId="22692" xr:uid="{353A01E8-3C04-4C20-8116-4308D0F9FC79}"/>
    <cellStyle name="20% - Accent1 2 4 3 2 2" xfId="39586" xr:uid="{06D5E974-F0DA-41BD-86A3-B85E153B37BA}"/>
    <cellStyle name="20% - Accent1 2 4 3 3" xfId="14245" xr:uid="{687572B6-8F8D-43FA-9B3C-4FED55B106CF}"/>
    <cellStyle name="20% - Accent1 2 4 3 4" xfId="31139" xr:uid="{ADF838F6-E3AE-45ED-A6A8-4BC0B1C49FBE}"/>
    <cellStyle name="20% - Accent1 2 4 4" xfId="9221" xr:uid="{11532E3F-E59C-4FF7-9F45-291A17A69435}"/>
    <cellStyle name="20% - Accent1 2 4 4 2" xfId="18475" xr:uid="{CCE80F44-4FFF-4AC5-BD08-988862E288F1}"/>
    <cellStyle name="20% - Accent1 2 4 4 3" xfId="35369" xr:uid="{393D619B-5250-48BB-A45B-727CD97CC570}"/>
    <cellStyle name="20% - Accent1 2 4 5" xfId="10028" xr:uid="{EF76652A-55F7-4504-9173-F9D38C7FFD69}"/>
    <cellStyle name="20% - Accent1 2 4 6" xfId="26922" xr:uid="{5F2BE5C3-54B6-4FD9-A4BD-85235848B118}"/>
    <cellStyle name="20% - Accent1 2 5" xfId="1024" xr:uid="{00000000-0005-0000-0000-000043000000}"/>
    <cellStyle name="20% - Accent1 2 5 2" xfId="3255" xr:uid="{00000000-0005-0000-0000-000044000000}"/>
    <cellStyle name="20% - Accent1 2 5 2 2" xfId="7477" xr:uid="{00000000-0005-0000-0000-000045000000}"/>
    <cellStyle name="20% - Accent1 2 5 2 2 2" xfId="25250" xr:uid="{675C9083-06A4-4D4B-943C-F0B4E779E4D1}"/>
    <cellStyle name="20% - Accent1 2 5 2 2 2 2" xfId="42144" xr:uid="{3C197863-00C8-4088-8738-6C7ABA7D3765}"/>
    <cellStyle name="20% - Accent1 2 5 2 2 3" xfId="16803" xr:uid="{921AD86B-89D6-415E-9FAA-49A3ED5EFBE8}"/>
    <cellStyle name="20% - Accent1 2 5 2 2 4" xfId="33697" xr:uid="{922C2CAD-39A7-4BA0-8D6B-F3C6EF22EE99}"/>
    <cellStyle name="20% - Accent1 2 5 2 3" xfId="21033" xr:uid="{3A7774EE-A606-44D8-84C1-565FE81D12C8}"/>
    <cellStyle name="20% - Accent1 2 5 2 3 2" xfId="37927" xr:uid="{113F7FA6-B96B-458D-A9E4-26B49175FD42}"/>
    <cellStyle name="20% - Accent1 2 5 2 4" xfId="12586" xr:uid="{60A76877-6B93-417F-94CA-83F39A5D6DEB}"/>
    <cellStyle name="20% - Accent1 2 5 2 5" xfId="29480" xr:uid="{2E5CA1E1-7D41-4092-8BE5-0A32E808436A}"/>
    <cellStyle name="20% - Accent1 2 5 3" xfId="5332" xr:uid="{00000000-0005-0000-0000-000046000000}"/>
    <cellStyle name="20% - Accent1 2 5 3 2" xfId="23105" xr:uid="{4ACCD9FF-FCD4-4FB5-A193-79721D336F79}"/>
    <cellStyle name="20% - Accent1 2 5 3 2 2" xfId="39999" xr:uid="{30632D42-5731-4C7C-BF21-5A8B4476355F}"/>
    <cellStyle name="20% - Accent1 2 5 3 3" xfId="14658" xr:uid="{87051D7F-E661-440E-88CA-B0A6E138D8C9}"/>
    <cellStyle name="20% - Accent1 2 5 3 4" xfId="31552" xr:uid="{07F6FD13-AEAC-47AB-819D-E823DAA41926}"/>
    <cellStyle name="20% - Accent1 2 5 4" xfId="18888" xr:uid="{EE903C07-0329-4881-B7BC-7EAB8439D7EB}"/>
    <cellStyle name="20% - Accent1 2 5 4 2" xfId="35782" xr:uid="{C0C3F553-A9FD-4C45-8743-F64B87B5E2EA}"/>
    <cellStyle name="20% - Accent1 2 5 5" xfId="10441" xr:uid="{54ED3DE8-7494-43C7-9F70-CD7EDD6F3F48}"/>
    <cellStyle name="20% - Accent1 2 5 6" xfId="27335" xr:uid="{E0A9780D-2099-4B5C-8059-D7A1D40CAD88}"/>
    <cellStyle name="20% - Accent1 2 6" xfId="1438" xr:uid="{00000000-0005-0000-0000-000047000000}"/>
    <cellStyle name="20% - Accent1 2 6 2" xfId="3668" xr:uid="{00000000-0005-0000-0000-000048000000}"/>
    <cellStyle name="20% - Accent1 2 6 2 2" xfId="7890" xr:uid="{00000000-0005-0000-0000-000049000000}"/>
    <cellStyle name="20% - Accent1 2 6 2 2 2" xfId="25663" xr:uid="{1E7CD134-0C15-4EBA-A388-283CAFB08D56}"/>
    <cellStyle name="20% - Accent1 2 6 2 2 2 2" xfId="42557" xr:uid="{E5168878-0A62-47CE-B261-44DA3141FA25}"/>
    <cellStyle name="20% - Accent1 2 6 2 2 3" xfId="17216" xr:uid="{E9E67EAE-510E-4934-9F64-34068E1571CC}"/>
    <cellStyle name="20% - Accent1 2 6 2 2 4" xfId="34110" xr:uid="{40173D21-F02B-4ADF-81BA-C4201D6D9C29}"/>
    <cellStyle name="20% - Accent1 2 6 2 3" xfId="21446" xr:uid="{766FB1FC-53C3-45C7-83C3-AF8D51F52744}"/>
    <cellStyle name="20% - Accent1 2 6 2 3 2" xfId="38340" xr:uid="{BE689F35-924E-4AB3-808C-2F12B91FB51B}"/>
    <cellStyle name="20% - Accent1 2 6 2 4" xfId="12999" xr:uid="{D1450906-558F-4774-8A28-28087C23622A}"/>
    <cellStyle name="20% - Accent1 2 6 2 5" xfId="29893" xr:uid="{9F91D495-3570-4CA1-A015-6B16AF5CB475}"/>
    <cellStyle name="20% - Accent1 2 6 3" xfId="5745" xr:uid="{00000000-0005-0000-0000-00004A000000}"/>
    <cellStyle name="20% - Accent1 2 6 3 2" xfId="23518" xr:uid="{326C1495-8EDF-4BF6-9DEE-928F84B6D059}"/>
    <cellStyle name="20% - Accent1 2 6 3 2 2" xfId="40412" xr:uid="{1A660BFF-8543-476E-AE43-09D97A50AF79}"/>
    <cellStyle name="20% - Accent1 2 6 3 3" xfId="15071" xr:uid="{4BCDD8C3-1B6C-44D5-958E-5ACD6C53874C}"/>
    <cellStyle name="20% - Accent1 2 6 3 4" xfId="31965" xr:uid="{14EC0620-E500-43E4-83C9-EFA2E6240918}"/>
    <cellStyle name="20% - Accent1 2 6 4" xfId="19301" xr:uid="{804B6A86-29A7-48E1-8343-22E7BF9370E1}"/>
    <cellStyle name="20% - Accent1 2 6 4 2" xfId="36195" xr:uid="{9C3EF206-0D24-4B04-AF29-82BEA27C695D}"/>
    <cellStyle name="20% - Accent1 2 6 5" xfId="10854" xr:uid="{911BF3E0-6C3D-4568-AA90-0C6777571173}"/>
    <cellStyle name="20% - Accent1 2 6 6" xfId="27748" xr:uid="{19024A62-E4D9-47CA-ADE8-FC23E7430D1F}"/>
    <cellStyle name="20% - Accent1 2 7" xfId="1852" xr:uid="{00000000-0005-0000-0000-00004B000000}"/>
    <cellStyle name="20% - Accent1 2 7 2" xfId="4081" xr:uid="{00000000-0005-0000-0000-00004C000000}"/>
    <cellStyle name="20% - Accent1 2 7 2 2" xfId="8303" xr:uid="{00000000-0005-0000-0000-00004D000000}"/>
    <cellStyle name="20% - Accent1 2 7 2 2 2" xfId="26076" xr:uid="{8930F50A-013F-42F8-A988-8B5A015F5B0C}"/>
    <cellStyle name="20% - Accent1 2 7 2 2 2 2" xfId="42970" xr:uid="{44C1DED4-79F4-4CCA-AD3F-E483D81D9F2B}"/>
    <cellStyle name="20% - Accent1 2 7 2 2 3" xfId="17629" xr:uid="{05C455E1-723E-42CC-95AE-5CDBDD2295AA}"/>
    <cellStyle name="20% - Accent1 2 7 2 2 4" xfId="34523" xr:uid="{890C6C9C-B087-41D0-9E21-D7664D06C557}"/>
    <cellStyle name="20% - Accent1 2 7 2 3" xfId="21859" xr:uid="{34EA825C-47D9-475D-B045-AEE89C34580B}"/>
    <cellStyle name="20% - Accent1 2 7 2 3 2" xfId="38753" xr:uid="{A33088CF-1564-4A53-90E8-F617B24F64E7}"/>
    <cellStyle name="20% - Accent1 2 7 2 4" xfId="13412" xr:uid="{D194795C-AB17-47BE-BF5D-59F9D8EF2DAB}"/>
    <cellStyle name="20% - Accent1 2 7 2 5" xfId="30306" xr:uid="{9E5495B4-D42C-4D9F-83F0-A78E92433B04}"/>
    <cellStyle name="20% - Accent1 2 7 3" xfId="6158" xr:uid="{00000000-0005-0000-0000-00004E000000}"/>
    <cellStyle name="20% - Accent1 2 7 3 2" xfId="23931" xr:uid="{0A5EE827-C455-4E40-910A-D4CC77891923}"/>
    <cellStyle name="20% - Accent1 2 7 3 2 2" xfId="40825" xr:uid="{12A0FEB3-6B96-48CF-901F-F26C97878B93}"/>
    <cellStyle name="20% - Accent1 2 7 3 3" xfId="15484" xr:uid="{39F6A397-07AD-4A77-9883-FA4257EB53DE}"/>
    <cellStyle name="20% - Accent1 2 7 3 4" xfId="32378" xr:uid="{2A5C749D-2EAC-4B36-8DBD-1EC9D5183213}"/>
    <cellStyle name="20% - Accent1 2 7 4" xfId="19714" xr:uid="{4843A997-546D-47C3-B9E1-3BCD8C09094B}"/>
    <cellStyle name="20% - Accent1 2 7 4 2" xfId="36608" xr:uid="{C2C21EA1-5D2A-4AB4-8A85-5E46A7F3490D}"/>
    <cellStyle name="20% - Accent1 2 7 5" xfId="11267" xr:uid="{A4842FF6-D646-49E5-A687-89F5384C48F7}"/>
    <cellStyle name="20% - Accent1 2 7 6" xfId="28161" xr:uid="{C89A0260-11EC-4E32-A9B5-456A20E92B60}"/>
    <cellStyle name="20% - Accent1 2 8" xfId="2265" xr:uid="{00000000-0005-0000-0000-00004F000000}"/>
    <cellStyle name="20% - Accent1 2 8 2" xfId="6571" xr:uid="{00000000-0005-0000-0000-000050000000}"/>
    <cellStyle name="20% - Accent1 2 8 2 2" xfId="24344" xr:uid="{F2F27301-C285-416D-AE4F-FD4C314DBE6E}"/>
    <cellStyle name="20% - Accent1 2 8 2 2 2" xfId="41238" xr:uid="{5A6D9155-186C-423B-902B-B495C87575E1}"/>
    <cellStyle name="20% - Accent1 2 8 2 3" xfId="15897" xr:uid="{914A4BCC-3A33-43CA-A473-A5F553EC94CE}"/>
    <cellStyle name="20% - Accent1 2 8 2 4" xfId="32791" xr:uid="{E02B4A33-2546-46D0-88D8-28AD7983853D}"/>
    <cellStyle name="20% - Accent1 2 8 3" xfId="20127" xr:uid="{5D08C3A8-2137-47D9-A504-1D42930A19A4}"/>
    <cellStyle name="20% - Accent1 2 8 3 2" xfId="37021" xr:uid="{0A3B16B9-3879-4EC2-B72C-5BF90F6F26A8}"/>
    <cellStyle name="20% - Accent1 2 8 4" xfId="11680" xr:uid="{3F3EA0D0-AA66-4D46-B8AA-0F8A3821DD40}"/>
    <cellStyle name="20% - Accent1 2 8 5" xfId="28574" xr:uid="{BA80C1BD-BDBC-4BBE-9F43-8956D8605B23}"/>
    <cellStyle name="20% - Accent1 2 9" xfId="4505" xr:uid="{00000000-0005-0000-0000-000051000000}"/>
    <cellStyle name="20% - Accent1 2 9 2" xfId="22278" xr:uid="{F2FD268C-845A-48BE-B733-B4622A229A01}"/>
    <cellStyle name="20% - Accent1 2 9 2 2" xfId="39172" xr:uid="{9E9F3462-69CE-42E5-97E4-415428D2649C}"/>
    <cellStyle name="20% - Accent1 2 9 3" xfId="13831" xr:uid="{103E4209-1BFB-44BF-916E-5941BBB3889F}"/>
    <cellStyle name="20% - Accent1 2 9 4" xfId="30725" xr:uid="{C868E328-D5C5-45AE-8960-FA25356592E4}"/>
    <cellStyle name="20% - Accent1 3" xfId="6" xr:uid="{00000000-0005-0000-0000-000052000000}"/>
    <cellStyle name="20% - Accent1 3 10" xfId="9618" xr:uid="{960FE50F-02F5-4610-A135-9B009243F491}"/>
    <cellStyle name="20% - Accent1 3 11" xfId="26512" xr:uid="{4F522620-BB70-4253-A30B-E628E6940C1F}"/>
    <cellStyle name="20% - Accent1 3 2" xfId="7" xr:uid="{00000000-0005-0000-0000-000053000000}"/>
    <cellStyle name="20% - Accent1 3 2 10" xfId="26513" xr:uid="{48F4841E-4DAD-4AC9-8D81-20ADF6692828}"/>
    <cellStyle name="20% - Accent1 3 2 2" xfId="576" xr:uid="{00000000-0005-0000-0000-000054000000}"/>
    <cellStyle name="20% - Accent1 3 2 2 2" xfId="2847" xr:uid="{00000000-0005-0000-0000-000055000000}"/>
    <cellStyle name="20% - Accent1 3 2 2 2 2" xfId="7069" xr:uid="{00000000-0005-0000-0000-000056000000}"/>
    <cellStyle name="20% - Accent1 3 2 2 2 2 2" xfId="24842" xr:uid="{61AEFF9F-43ED-44A5-AA5D-69943AFFFA1F}"/>
    <cellStyle name="20% - Accent1 3 2 2 2 2 2 2" xfId="41736" xr:uid="{A839C1E9-F64E-4438-92DC-0BFF11A6750A}"/>
    <cellStyle name="20% - Accent1 3 2 2 2 2 3" xfId="16395" xr:uid="{73E3FDFF-5104-45BE-97E7-9C52E9893B21}"/>
    <cellStyle name="20% - Accent1 3 2 2 2 2 4" xfId="33289" xr:uid="{CDF788AD-3106-4FF3-92EA-7041F02D970D}"/>
    <cellStyle name="20% - Accent1 3 2 2 2 3" xfId="20625" xr:uid="{14068CA4-C199-4346-B695-49D1C4150E5B}"/>
    <cellStyle name="20% - Accent1 3 2 2 2 3 2" xfId="37519" xr:uid="{287EC9BE-22A7-4EA6-A347-DC03F8A3552C}"/>
    <cellStyle name="20% - Accent1 3 2 2 2 4" xfId="12178" xr:uid="{3B842CFA-E422-4350-AEF5-B5FB09501A15}"/>
    <cellStyle name="20% - Accent1 3 2 2 2 5" xfId="29072" xr:uid="{E9A8F812-C021-4388-8BC3-C179DA5A44FF}"/>
    <cellStyle name="20% - Accent1 3 2 2 3" xfId="4924" xr:uid="{00000000-0005-0000-0000-000057000000}"/>
    <cellStyle name="20% - Accent1 3 2 2 3 2" xfId="22697" xr:uid="{A874DC7F-60BD-4366-A47A-712DCAF63A83}"/>
    <cellStyle name="20% - Accent1 3 2 2 3 2 2" xfId="39591" xr:uid="{DB2F788F-335F-49F8-AEEF-A3714A16CF4F}"/>
    <cellStyle name="20% - Accent1 3 2 2 3 3" xfId="14250" xr:uid="{15E3897A-75B3-4C12-B8DD-404D9ACBDEF1}"/>
    <cellStyle name="20% - Accent1 3 2 2 3 4" xfId="31144" xr:uid="{80CE0F7A-720C-423A-B7EF-34F78E9A89FB}"/>
    <cellStyle name="20% - Accent1 3 2 2 4" xfId="9493" xr:uid="{FCEFE71D-2A04-4899-B62A-B225DBF7F0BF}"/>
    <cellStyle name="20% - Accent1 3 2 2 4 2" xfId="18480" xr:uid="{CB221933-F5B5-4EEE-B55B-600A22C969CD}"/>
    <cellStyle name="20% - Accent1 3 2 2 4 3" xfId="35374" xr:uid="{C5949652-DB26-468F-A4EA-3EA8FAD7ADFA}"/>
    <cellStyle name="20% - Accent1 3 2 2 5" xfId="10033" xr:uid="{A7C39F5D-4906-4F77-8835-FFAAD41F4F1F}"/>
    <cellStyle name="20% - Accent1 3 2 2 6" xfId="26927" xr:uid="{C2F2D237-EB6C-47D8-A153-079C7D5874CD}"/>
    <cellStyle name="20% - Accent1 3 2 3" xfId="1029" xr:uid="{00000000-0005-0000-0000-000058000000}"/>
    <cellStyle name="20% - Accent1 3 2 3 2" xfId="3260" xr:uid="{00000000-0005-0000-0000-000059000000}"/>
    <cellStyle name="20% - Accent1 3 2 3 2 2" xfId="7482" xr:uid="{00000000-0005-0000-0000-00005A000000}"/>
    <cellStyle name="20% - Accent1 3 2 3 2 2 2" xfId="25255" xr:uid="{6CF81654-8738-4369-8ADF-D37E87B57FF0}"/>
    <cellStyle name="20% - Accent1 3 2 3 2 2 2 2" xfId="42149" xr:uid="{9CD0492E-2193-4CF7-A75E-9E0902BB9B93}"/>
    <cellStyle name="20% - Accent1 3 2 3 2 2 3" xfId="16808" xr:uid="{07611E3A-B968-40BD-BB18-E4BBEA30CC60}"/>
    <cellStyle name="20% - Accent1 3 2 3 2 2 4" xfId="33702" xr:uid="{6ADCBB1D-5E96-42DE-B4FE-DB5ABE82247C}"/>
    <cellStyle name="20% - Accent1 3 2 3 2 3" xfId="21038" xr:uid="{C8624FD3-EF0A-40D0-8C7D-B19A5A4E5B63}"/>
    <cellStyle name="20% - Accent1 3 2 3 2 3 2" xfId="37932" xr:uid="{06EB4CAB-C9BE-4ACB-BD27-97C181CDBC99}"/>
    <cellStyle name="20% - Accent1 3 2 3 2 4" xfId="12591" xr:uid="{D489057E-122B-476C-A63E-9589EADA76EB}"/>
    <cellStyle name="20% - Accent1 3 2 3 2 5" xfId="29485" xr:uid="{7608507D-1FB2-4B72-8F05-0E0F3F1BA116}"/>
    <cellStyle name="20% - Accent1 3 2 3 3" xfId="5337" xr:uid="{00000000-0005-0000-0000-00005B000000}"/>
    <cellStyle name="20% - Accent1 3 2 3 3 2" xfId="23110" xr:uid="{CA2548F6-F9C9-441E-A3E0-F4F010FC682E}"/>
    <cellStyle name="20% - Accent1 3 2 3 3 2 2" xfId="40004" xr:uid="{32B53F72-AE99-4D0F-9631-4A46FC63E241}"/>
    <cellStyle name="20% - Accent1 3 2 3 3 3" xfId="14663" xr:uid="{9A2E5505-258B-4E30-B657-C10E363F1948}"/>
    <cellStyle name="20% - Accent1 3 2 3 3 4" xfId="31557" xr:uid="{32B4A3D1-431C-4952-B74C-0C05105DC792}"/>
    <cellStyle name="20% - Accent1 3 2 3 4" xfId="18893" xr:uid="{031E001F-5DAB-4F52-8428-F66DEA0BD07F}"/>
    <cellStyle name="20% - Accent1 3 2 3 4 2" xfId="35787" xr:uid="{442CA249-8E4E-4A50-AC66-4395E96A65E5}"/>
    <cellStyle name="20% - Accent1 3 2 3 5" xfId="10446" xr:uid="{B85F0EBF-C21D-4A06-A3DF-DFF750FFA410}"/>
    <cellStyle name="20% - Accent1 3 2 3 6" xfId="27340" xr:uid="{B5E351F6-9432-4272-96FF-101EC75AA482}"/>
    <cellStyle name="20% - Accent1 3 2 4" xfId="1443" xr:uid="{00000000-0005-0000-0000-00005C000000}"/>
    <cellStyle name="20% - Accent1 3 2 4 2" xfId="3673" xr:uid="{00000000-0005-0000-0000-00005D000000}"/>
    <cellStyle name="20% - Accent1 3 2 4 2 2" xfId="7895" xr:uid="{00000000-0005-0000-0000-00005E000000}"/>
    <cellStyle name="20% - Accent1 3 2 4 2 2 2" xfId="25668" xr:uid="{9C7FF7A0-7679-4695-9956-9152B1D665C6}"/>
    <cellStyle name="20% - Accent1 3 2 4 2 2 2 2" xfId="42562" xr:uid="{1E14C119-BD02-4095-8D9D-7ACFF20AC47B}"/>
    <cellStyle name="20% - Accent1 3 2 4 2 2 3" xfId="17221" xr:uid="{506F4FAA-1D86-406B-AEE1-893CA3A40248}"/>
    <cellStyle name="20% - Accent1 3 2 4 2 2 4" xfId="34115" xr:uid="{0948CC95-1C96-4318-B874-53EB0C6D870C}"/>
    <cellStyle name="20% - Accent1 3 2 4 2 3" xfId="21451" xr:uid="{123FC034-8C2A-4DAD-B74C-0BF3F34F717D}"/>
    <cellStyle name="20% - Accent1 3 2 4 2 3 2" xfId="38345" xr:uid="{7B2860ED-A2E8-4793-B6FB-51D27881FAD9}"/>
    <cellStyle name="20% - Accent1 3 2 4 2 4" xfId="13004" xr:uid="{D266D1B9-F9FE-4510-AFB0-9E80F2DB87ED}"/>
    <cellStyle name="20% - Accent1 3 2 4 2 5" xfId="29898" xr:uid="{C455ABAE-9D71-4DDA-8DB8-6F221E9E7775}"/>
    <cellStyle name="20% - Accent1 3 2 4 3" xfId="5750" xr:uid="{00000000-0005-0000-0000-00005F000000}"/>
    <cellStyle name="20% - Accent1 3 2 4 3 2" xfId="23523" xr:uid="{FC2BCA0F-82BA-4F4E-8E01-EBEDE1D225A6}"/>
    <cellStyle name="20% - Accent1 3 2 4 3 2 2" xfId="40417" xr:uid="{11B3E3FE-150E-465F-A08D-0B745DE42173}"/>
    <cellStyle name="20% - Accent1 3 2 4 3 3" xfId="15076" xr:uid="{72161EA5-95BE-4CB6-9B21-9422DC530543}"/>
    <cellStyle name="20% - Accent1 3 2 4 3 4" xfId="31970" xr:uid="{46BF5AFE-8E3F-4F5A-9BE0-E987140DC9E9}"/>
    <cellStyle name="20% - Accent1 3 2 4 4" xfId="19306" xr:uid="{19A9146B-6D40-426C-BF3A-CD82B34EB228}"/>
    <cellStyle name="20% - Accent1 3 2 4 4 2" xfId="36200" xr:uid="{54734F50-DAA3-4A37-A927-9BB211C719F9}"/>
    <cellStyle name="20% - Accent1 3 2 4 5" xfId="10859" xr:uid="{D61762DB-F152-4FCC-A00D-6216B4DA7862}"/>
    <cellStyle name="20% - Accent1 3 2 4 6" xfId="27753" xr:uid="{17D83027-E200-4C62-ACFF-6356C50D78C1}"/>
    <cellStyle name="20% - Accent1 3 2 5" xfId="1857" xr:uid="{00000000-0005-0000-0000-000060000000}"/>
    <cellStyle name="20% - Accent1 3 2 5 2" xfId="4086" xr:uid="{00000000-0005-0000-0000-000061000000}"/>
    <cellStyle name="20% - Accent1 3 2 5 2 2" xfId="8308" xr:uid="{00000000-0005-0000-0000-000062000000}"/>
    <cellStyle name="20% - Accent1 3 2 5 2 2 2" xfId="26081" xr:uid="{CC74F27C-82B8-4506-ABFF-7664FEE7AB12}"/>
    <cellStyle name="20% - Accent1 3 2 5 2 2 2 2" xfId="42975" xr:uid="{57BC2B8A-99CF-49A4-B4EA-0682E3E19B37}"/>
    <cellStyle name="20% - Accent1 3 2 5 2 2 3" xfId="17634" xr:uid="{A0572189-AB7B-435F-AA17-3CA6DCC97A00}"/>
    <cellStyle name="20% - Accent1 3 2 5 2 2 4" xfId="34528" xr:uid="{8CDC50F4-39CA-4E1A-AFDA-2EF47F97F24C}"/>
    <cellStyle name="20% - Accent1 3 2 5 2 3" xfId="21864" xr:uid="{C450F850-FCEE-4390-B509-05F5F7CB4DEC}"/>
    <cellStyle name="20% - Accent1 3 2 5 2 3 2" xfId="38758" xr:uid="{047016B3-8445-434E-8CAE-725BDE65631F}"/>
    <cellStyle name="20% - Accent1 3 2 5 2 4" xfId="13417" xr:uid="{206A5C9E-AEAB-4C40-90B7-47DEEC24E00A}"/>
    <cellStyle name="20% - Accent1 3 2 5 2 5" xfId="30311" xr:uid="{5F73E067-6B7B-4432-9EEA-7506E67CBC95}"/>
    <cellStyle name="20% - Accent1 3 2 5 3" xfId="6163" xr:uid="{00000000-0005-0000-0000-000063000000}"/>
    <cellStyle name="20% - Accent1 3 2 5 3 2" xfId="23936" xr:uid="{A4A8D241-71E6-4084-9037-C71FCDCAA8F2}"/>
    <cellStyle name="20% - Accent1 3 2 5 3 2 2" xfId="40830" xr:uid="{4CF76AB9-6DF3-4B77-B312-94C4B015BEFB}"/>
    <cellStyle name="20% - Accent1 3 2 5 3 3" xfId="15489" xr:uid="{D80D3A6A-4195-4AE5-8703-F5EF1F5E2EB2}"/>
    <cellStyle name="20% - Accent1 3 2 5 3 4" xfId="32383" xr:uid="{6DE09EF6-17FB-4813-9376-56A19D099BC3}"/>
    <cellStyle name="20% - Accent1 3 2 5 4" xfId="19719" xr:uid="{7DD43120-B97E-4CE5-BCB0-0EDF64B4D9BD}"/>
    <cellStyle name="20% - Accent1 3 2 5 4 2" xfId="36613" xr:uid="{377FE858-B6F4-4386-94AF-5B7CE7F23242}"/>
    <cellStyle name="20% - Accent1 3 2 5 5" xfId="11272" xr:uid="{C4F1E01F-DB2C-4909-AC39-CDCB78B524BD}"/>
    <cellStyle name="20% - Accent1 3 2 5 6" xfId="28166" xr:uid="{9E60A85B-8DF8-499F-B151-DE5772E4D977}"/>
    <cellStyle name="20% - Accent1 3 2 6" xfId="2270" xr:uid="{00000000-0005-0000-0000-000064000000}"/>
    <cellStyle name="20% - Accent1 3 2 6 2" xfId="6576" xr:uid="{00000000-0005-0000-0000-000065000000}"/>
    <cellStyle name="20% - Accent1 3 2 6 2 2" xfId="24349" xr:uid="{294CE1F5-0CF2-44CD-9A98-9483292055E0}"/>
    <cellStyle name="20% - Accent1 3 2 6 2 2 2" xfId="41243" xr:uid="{79F5C4EA-5EAD-43BC-9430-26FAA612753D}"/>
    <cellStyle name="20% - Accent1 3 2 6 2 3" xfId="15902" xr:uid="{DD507348-4C4D-49BE-98DB-8D71C3ECC6E9}"/>
    <cellStyle name="20% - Accent1 3 2 6 2 4" xfId="32796" xr:uid="{04F8C3A5-610A-4158-BD38-74D62608EA4E}"/>
    <cellStyle name="20% - Accent1 3 2 6 3" xfId="20132" xr:uid="{81BFCABD-23A2-4D6F-8709-4A24BF75DF99}"/>
    <cellStyle name="20% - Accent1 3 2 6 3 2" xfId="37026" xr:uid="{7488A948-DADB-475D-A2A3-9EB64630249E}"/>
    <cellStyle name="20% - Accent1 3 2 6 4" xfId="11685" xr:uid="{9D7AB3CF-D95C-471E-BE32-DED4DE8818FC}"/>
    <cellStyle name="20% - Accent1 3 2 6 5" xfId="28579" xr:uid="{54F9E249-17E7-41BD-9A80-9C9EE6C5BD29}"/>
    <cellStyle name="20% - Accent1 3 2 7" xfId="4510" xr:uid="{00000000-0005-0000-0000-000066000000}"/>
    <cellStyle name="20% - Accent1 3 2 7 2" xfId="22283" xr:uid="{3E75F85F-5920-46D9-B271-6D7C516850CE}"/>
    <cellStyle name="20% - Accent1 3 2 7 2 2" xfId="39177" xr:uid="{251530CA-17DC-4E6A-ABC3-4E099FBEE4ED}"/>
    <cellStyle name="20% - Accent1 3 2 7 3" xfId="13836" xr:uid="{80B32BEF-9D32-49A3-94D9-BE6401BACD1D}"/>
    <cellStyle name="20% - Accent1 3 2 7 4" xfId="30730" xr:uid="{9BDBAB0E-842E-4AEF-9FE0-771CF318ACEB}"/>
    <cellStyle name="20% - Accent1 3 2 8" xfId="9068" xr:uid="{354460C9-AD38-4FCD-882B-4DFB81DE5890}"/>
    <cellStyle name="20% - Accent1 3 2 8 2" xfId="18066" xr:uid="{E21D4541-C60B-4F99-A6F5-1E86BE1B7DAF}"/>
    <cellStyle name="20% - Accent1 3 2 8 3" xfId="34960" xr:uid="{B46010E4-9D00-4DAC-A4CC-BED4B7D4CE2A}"/>
    <cellStyle name="20% - Accent1 3 2 9" xfId="9619" xr:uid="{78972996-9776-4874-8DB3-88E28B66D87F}"/>
    <cellStyle name="20% - Accent1 3 3" xfId="575" xr:uid="{00000000-0005-0000-0000-000067000000}"/>
    <cellStyle name="20% - Accent1 3 3 2" xfId="2846" xr:uid="{00000000-0005-0000-0000-000068000000}"/>
    <cellStyle name="20% - Accent1 3 3 2 2" xfId="7068" xr:uid="{00000000-0005-0000-0000-000069000000}"/>
    <cellStyle name="20% - Accent1 3 3 2 2 2" xfId="24841" xr:uid="{7E951475-FA46-47D6-A72F-B912D0D24958}"/>
    <cellStyle name="20% - Accent1 3 3 2 2 2 2" xfId="41735" xr:uid="{69163768-2CA5-447D-B5C5-75C468E685DE}"/>
    <cellStyle name="20% - Accent1 3 3 2 2 3" xfId="16394" xr:uid="{212C5CB5-A673-4306-B366-FB8345FEE2E9}"/>
    <cellStyle name="20% - Accent1 3 3 2 2 4" xfId="33288" xr:uid="{F5986B4C-E672-4425-A596-254A4065890C}"/>
    <cellStyle name="20% - Accent1 3 3 2 3" xfId="20624" xr:uid="{B5AC952B-55C7-4C07-AF24-D2A70214B7C6}"/>
    <cellStyle name="20% - Accent1 3 3 2 3 2" xfId="37518" xr:uid="{8EDFBE46-2EFE-499F-BCE3-5003103918F6}"/>
    <cellStyle name="20% - Accent1 3 3 2 4" xfId="12177" xr:uid="{725493D7-AB79-486E-B945-8F61D59A011A}"/>
    <cellStyle name="20% - Accent1 3 3 2 5" xfId="29071" xr:uid="{A014E8AE-BCC8-4221-870F-4CCC01874D24}"/>
    <cellStyle name="20% - Accent1 3 3 3" xfId="4923" xr:uid="{00000000-0005-0000-0000-00006A000000}"/>
    <cellStyle name="20% - Accent1 3 3 3 2" xfId="22696" xr:uid="{EDD7BE7D-8A0E-4A93-9A3C-1716011B3CA1}"/>
    <cellStyle name="20% - Accent1 3 3 3 2 2" xfId="39590" xr:uid="{137E4067-0CFF-4D8C-8026-AF97FB41485D}"/>
    <cellStyle name="20% - Accent1 3 3 3 3" xfId="14249" xr:uid="{7FC52EB8-9876-4534-B9FD-9874FEC6D865}"/>
    <cellStyle name="20% - Accent1 3 3 3 4" xfId="31143" xr:uid="{DF2C1D8F-F2DE-4FBE-8E22-5DC16EEFE258}"/>
    <cellStyle name="20% - Accent1 3 3 4" xfId="9286" xr:uid="{B5220C4B-EBE7-4AD0-9A24-7F16FA378184}"/>
    <cellStyle name="20% - Accent1 3 3 4 2" xfId="18479" xr:uid="{14FD626F-60C1-430E-A7EB-CD07BBA70CEB}"/>
    <cellStyle name="20% - Accent1 3 3 4 3" xfId="35373" xr:uid="{8F6583EC-E65A-4BC9-9F1F-A1FA2D520DDE}"/>
    <cellStyle name="20% - Accent1 3 3 5" xfId="10032" xr:uid="{D7281054-39F4-4345-B444-14C7B1EC07B3}"/>
    <cellStyle name="20% - Accent1 3 3 6" xfId="26926" xr:uid="{1FA72FB0-A35A-43A7-9D43-029664C871BF}"/>
    <cellStyle name="20% - Accent1 3 4" xfId="1028" xr:uid="{00000000-0005-0000-0000-00006B000000}"/>
    <cellStyle name="20% - Accent1 3 4 2" xfId="3259" xr:uid="{00000000-0005-0000-0000-00006C000000}"/>
    <cellStyle name="20% - Accent1 3 4 2 2" xfId="7481" xr:uid="{00000000-0005-0000-0000-00006D000000}"/>
    <cellStyle name="20% - Accent1 3 4 2 2 2" xfId="25254" xr:uid="{99E9A194-71ED-4650-8C12-C730F4D859A7}"/>
    <cellStyle name="20% - Accent1 3 4 2 2 2 2" xfId="42148" xr:uid="{C3D3C31E-9DC4-4CC2-B5D6-70A483A00B50}"/>
    <cellStyle name="20% - Accent1 3 4 2 2 3" xfId="16807" xr:uid="{E446E17F-EB9E-43F4-91E9-F89CCE7086EC}"/>
    <cellStyle name="20% - Accent1 3 4 2 2 4" xfId="33701" xr:uid="{E321CAA4-953A-4AF9-A38C-C80892576C58}"/>
    <cellStyle name="20% - Accent1 3 4 2 3" xfId="21037" xr:uid="{1A29848F-B230-4793-B1A0-FE8938E4D44E}"/>
    <cellStyle name="20% - Accent1 3 4 2 3 2" xfId="37931" xr:uid="{264A60B9-BF8C-4B15-BB5D-C065D6161334}"/>
    <cellStyle name="20% - Accent1 3 4 2 4" xfId="12590" xr:uid="{FB11F07E-75C6-41A7-9350-951037987627}"/>
    <cellStyle name="20% - Accent1 3 4 2 5" xfId="29484" xr:uid="{C4C5D767-B954-4791-B9AC-8E8A17EE0B16}"/>
    <cellStyle name="20% - Accent1 3 4 3" xfId="5336" xr:uid="{00000000-0005-0000-0000-00006E000000}"/>
    <cellStyle name="20% - Accent1 3 4 3 2" xfId="23109" xr:uid="{958D7937-5B7E-4FF3-A81A-CBEABE7A84B0}"/>
    <cellStyle name="20% - Accent1 3 4 3 2 2" xfId="40003" xr:uid="{32560825-0CEA-49C5-A08D-6B3CC545A275}"/>
    <cellStyle name="20% - Accent1 3 4 3 3" xfId="14662" xr:uid="{B618FFAA-095B-4D00-8D82-4EAA064075D1}"/>
    <cellStyle name="20% - Accent1 3 4 3 4" xfId="31556" xr:uid="{0ED28A46-3CF4-473F-A172-EC649D15222A}"/>
    <cellStyle name="20% - Accent1 3 4 4" xfId="18892" xr:uid="{83CC910C-C3BD-4893-833F-CFE20EC12142}"/>
    <cellStyle name="20% - Accent1 3 4 4 2" xfId="35786" xr:uid="{7DD6A07C-4D52-4E0B-A582-E0781EE99FB4}"/>
    <cellStyle name="20% - Accent1 3 4 5" xfId="10445" xr:uid="{7E0EE6DF-8E33-49FD-A46A-41DC441A5C4C}"/>
    <cellStyle name="20% - Accent1 3 4 6" xfId="27339" xr:uid="{2CE5986A-7723-4355-93D4-81BB322582C7}"/>
    <cellStyle name="20% - Accent1 3 5" xfId="1442" xr:uid="{00000000-0005-0000-0000-00006F000000}"/>
    <cellStyle name="20% - Accent1 3 5 2" xfId="3672" xr:uid="{00000000-0005-0000-0000-000070000000}"/>
    <cellStyle name="20% - Accent1 3 5 2 2" xfId="7894" xr:uid="{00000000-0005-0000-0000-000071000000}"/>
    <cellStyle name="20% - Accent1 3 5 2 2 2" xfId="25667" xr:uid="{0F49484F-14B0-410A-ABCE-1A610D09DFEA}"/>
    <cellStyle name="20% - Accent1 3 5 2 2 2 2" xfId="42561" xr:uid="{B3837E99-3CC2-4ACB-9600-A1D042607246}"/>
    <cellStyle name="20% - Accent1 3 5 2 2 3" xfId="17220" xr:uid="{FE731B99-8E8B-48F0-B86A-FF741DEA202B}"/>
    <cellStyle name="20% - Accent1 3 5 2 2 4" xfId="34114" xr:uid="{4D723809-DD52-4D80-94B1-B03C491E4FE2}"/>
    <cellStyle name="20% - Accent1 3 5 2 3" xfId="21450" xr:uid="{70BA725E-ED76-4928-B423-DB20CEF91F47}"/>
    <cellStyle name="20% - Accent1 3 5 2 3 2" xfId="38344" xr:uid="{EFD03F10-C3D9-48D5-BB29-DAB374BADD2F}"/>
    <cellStyle name="20% - Accent1 3 5 2 4" xfId="13003" xr:uid="{A8A37B65-4EAF-4A73-AC54-B550FF6A179F}"/>
    <cellStyle name="20% - Accent1 3 5 2 5" xfId="29897" xr:uid="{02BF65E5-F4C1-40F2-9D0D-715A152FE754}"/>
    <cellStyle name="20% - Accent1 3 5 3" xfId="5749" xr:uid="{00000000-0005-0000-0000-000072000000}"/>
    <cellStyle name="20% - Accent1 3 5 3 2" xfId="23522" xr:uid="{F609C0F3-076E-4EAA-AA7B-2F20EF65717D}"/>
    <cellStyle name="20% - Accent1 3 5 3 2 2" xfId="40416" xr:uid="{FAA437B4-12DF-4881-A125-5C6C3BCBCDB6}"/>
    <cellStyle name="20% - Accent1 3 5 3 3" xfId="15075" xr:uid="{727E4E71-17D6-4435-AD8A-65AEEC4E146F}"/>
    <cellStyle name="20% - Accent1 3 5 3 4" xfId="31969" xr:uid="{246EA3CD-E2BB-4956-B368-694F2B5E8297}"/>
    <cellStyle name="20% - Accent1 3 5 4" xfId="19305" xr:uid="{064A030C-3F35-47B0-BDFF-FBCC083F9855}"/>
    <cellStyle name="20% - Accent1 3 5 4 2" xfId="36199" xr:uid="{A37DF175-0BCE-48BC-9D7E-33D3B2833EA4}"/>
    <cellStyle name="20% - Accent1 3 5 5" xfId="10858" xr:uid="{039913EC-8D1A-44F4-A67C-FA5CE5815422}"/>
    <cellStyle name="20% - Accent1 3 5 6" xfId="27752" xr:uid="{B1844C5A-1E24-4F71-8D49-63701B4F8F9A}"/>
    <cellStyle name="20% - Accent1 3 6" xfId="1856" xr:uid="{00000000-0005-0000-0000-000073000000}"/>
    <cellStyle name="20% - Accent1 3 6 2" xfId="4085" xr:uid="{00000000-0005-0000-0000-000074000000}"/>
    <cellStyle name="20% - Accent1 3 6 2 2" xfId="8307" xr:uid="{00000000-0005-0000-0000-000075000000}"/>
    <cellStyle name="20% - Accent1 3 6 2 2 2" xfId="26080" xr:uid="{56D86704-BD5F-4880-B1F0-B6C030616874}"/>
    <cellStyle name="20% - Accent1 3 6 2 2 2 2" xfId="42974" xr:uid="{68D19BC6-C5B6-4A55-9CC1-1C084C049CAD}"/>
    <cellStyle name="20% - Accent1 3 6 2 2 3" xfId="17633" xr:uid="{1261588F-67AC-4B67-AAC7-20B807BB84A5}"/>
    <cellStyle name="20% - Accent1 3 6 2 2 4" xfId="34527" xr:uid="{12436863-0CB5-4E27-81C0-F9711558A245}"/>
    <cellStyle name="20% - Accent1 3 6 2 3" xfId="21863" xr:uid="{E783B0F1-7928-4800-946E-9D5B720B11CB}"/>
    <cellStyle name="20% - Accent1 3 6 2 3 2" xfId="38757" xr:uid="{E20E1D37-AA0B-4598-8610-6ACFA7C49E12}"/>
    <cellStyle name="20% - Accent1 3 6 2 4" xfId="13416" xr:uid="{4FAEAE88-52C3-4181-91EF-85870E766009}"/>
    <cellStyle name="20% - Accent1 3 6 2 5" xfId="30310" xr:uid="{A11105E4-848F-4051-9A5B-7219F885748B}"/>
    <cellStyle name="20% - Accent1 3 6 3" xfId="6162" xr:uid="{00000000-0005-0000-0000-000076000000}"/>
    <cellStyle name="20% - Accent1 3 6 3 2" xfId="23935" xr:uid="{16649382-257A-4817-9CED-D189F0B13C84}"/>
    <cellStyle name="20% - Accent1 3 6 3 2 2" xfId="40829" xr:uid="{AB9DED5A-95AC-41EB-96AC-97F14AF29506}"/>
    <cellStyle name="20% - Accent1 3 6 3 3" xfId="15488" xr:uid="{2CF6E97F-BAFA-4654-BA71-E65C09AD9658}"/>
    <cellStyle name="20% - Accent1 3 6 3 4" xfId="32382" xr:uid="{980E5752-7652-4C49-8C9D-97A68867656E}"/>
    <cellStyle name="20% - Accent1 3 6 4" xfId="19718" xr:uid="{2EC59F6D-CFB3-46B8-9607-A2519B364567}"/>
    <cellStyle name="20% - Accent1 3 6 4 2" xfId="36612" xr:uid="{6986ECFC-B3D3-4962-9B2B-F9F5ECD52730}"/>
    <cellStyle name="20% - Accent1 3 6 5" xfId="11271" xr:uid="{32A3698E-CBEF-453B-8DDA-41058178BE01}"/>
    <cellStyle name="20% - Accent1 3 6 6" xfId="28165" xr:uid="{0BC83470-B20E-4441-A83B-0D7BDE0EE9CA}"/>
    <cellStyle name="20% - Accent1 3 7" xfId="2269" xr:uid="{00000000-0005-0000-0000-000077000000}"/>
    <cellStyle name="20% - Accent1 3 7 2" xfId="6575" xr:uid="{00000000-0005-0000-0000-000078000000}"/>
    <cellStyle name="20% - Accent1 3 7 2 2" xfId="24348" xr:uid="{92207D06-F685-4A15-B0BC-61C925D71DD0}"/>
    <cellStyle name="20% - Accent1 3 7 2 2 2" xfId="41242" xr:uid="{F7A1BAE8-1A6F-4C14-BE3D-8B9F84949F24}"/>
    <cellStyle name="20% - Accent1 3 7 2 3" xfId="15901" xr:uid="{A4CF03E2-A608-41E9-BAD1-017ADD0F7506}"/>
    <cellStyle name="20% - Accent1 3 7 2 4" xfId="32795" xr:uid="{330E7E01-B623-431B-BF75-AF5675D52458}"/>
    <cellStyle name="20% - Accent1 3 7 3" xfId="20131" xr:uid="{AD6F4AF6-06F4-4F27-A16F-43D3E453744C}"/>
    <cellStyle name="20% - Accent1 3 7 3 2" xfId="37025" xr:uid="{8795C28D-293D-49AA-A31B-AF2C5D60E212}"/>
    <cellStyle name="20% - Accent1 3 7 4" xfId="11684" xr:uid="{05FD163E-C70B-4828-BA07-3436C67C5314}"/>
    <cellStyle name="20% - Accent1 3 7 5" xfId="28578" xr:uid="{2470E8D2-2C05-47C4-ACC3-4CC16106FA99}"/>
    <cellStyle name="20% - Accent1 3 8" xfId="4509" xr:uid="{00000000-0005-0000-0000-000079000000}"/>
    <cellStyle name="20% - Accent1 3 8 2" xfId="22282" xr:uid="{45D388CD-C991-43E5-A72F-6C046F7324C8}"/>
    <cellStyle name="20% - Accent1 3 8 2 2" xfId="39176" xr:uid="{E82F2BD7-62FB-45C9-8A74-D36C3125E50F}"/>
    <cellStyle name="20% - Accent1 3 8 3" xfId="13835" xr:uid="{A76F2A75-C1D9-46C2-81DB-C2F4A721CA8D}"/>
    <cellStyle name="20% - Accent1 3 8 4" xfId="30729" xr:uid="{3C7CA074-2AB2-4992-BF2E-238E980F5BD2}"/>
    <cellStyle name="20% - Accent1 3 9" xfId="8861" xr:uid="{C1B75176-75E3-4E31-86A7-851E7FD67A9E}"/>
    <cellStyle name="20% - Accent1 3 9 2" xfId="18065" xr:uid="{7DFE974C-17C3-4970-90E3-CC070B994DF3}"/>
    <cellStyle name="20% - Accent1 3 9 3" xfId="34959" xr:uid="{A5416F40-97B9-4175-94A8-30A0E0679214}"/>
    <cellStyle name="20% - Accent1 4" xfId="8" xr:uid="{00000000-0005-0000-0000-00007A000000}"/>
    <cellStyle name="20% - Accent1 4 10" xfId="26514" xr:uid="{65034ADB-2596-4DFC-BA36-3C232A45C74E}"/>
    <cellStyle name="20% - Accent1 4 2" xfId="577" xr:uid="{00000000-0005-0000-0000-00007B000000}"/>
    <cellStyle name="20% - Accent1 4 2 2" xfId="2848" xr:uid="{00000000-0005-0000-0000-00007C000000}"/>
    <cellStyle name="20% - Accent1 4 2 2 2" xfId="7070" xr:uid="{00000000-0005-0000-0000-00007D000000}"/>
    <cellStyle name="20% - Accent1 4 2 2 2 2" xfId="24843" xr:uid="{E934EABE-F4AF-4CDC-AD9F-477D0C63C56F}"/>
    <cellStyle name="20% - Accent1 4 2 2 2 2 2" xfId="41737" xr:uid="{D3E41C46-FB04-4C75-BD13-05800A3DA131}"/>
    <cellStyle name="20% - Accent1 4 2 2 2 3" xfId="16396" xr:uid="{EC9155C9-0AB8-4744-B80C-6056FA92AF22}"/>
    <cellStyle name="20% - Accent1 4 2 2 2 4" xfId="33290" xr:uid="{E31EBD7A-8C29-42DE-94D7-DD72194C2A20}"/>
    <cellStyle name="20% - Accent1 4 2 2 3" xfId="20626" xr:uid="{441BE417-BDE1-4D9C-873F-9BADE4E64122}"/>
    <cellStyle name="20% - Accent1 4 2 2 3 2" xfId="37520" xr:uid="{023C113D-093F-4A7C-AB57-6225FB63F76F}"/>
    <cellStyle name="20% - Accent1 4 2 2 4" xfId="12179" xr:uid="{9EFE876A-51CA-4F5F-A18C-2770350A412E}"/>
    <cellStyle name="20% - Accent1 4 2 2 5" xfId="29073" xr:uid="{997F331A-04D0-4AEB-8F65-4EF989C5EC1A}"/>
    <cellStyle name="20% - Accent1 4 2 3" xfId="4925" xr:uid="{00000000-0005-0000-0000-00007E000000}"/>
    <cellStyle name="20% - Accent1 4 2 3 2" xfId="22698" xr:uid="{F0B9F67F-A3D9-4740-BCEF-83CAC1D51A5B}"/>
    <cellStyle name="20% - Accent1 4 2 3 2 2" xfId="39592" xr:uid="{C5140E18-B713-40C6-9B03-9619A067FEAE}"/>
    <cellStyle name="20% - Accent1 4 2 3 3" xfId="14251" xr:uid="{156D8395-0CC5-4EA4-9102-6AB227C1FCCE}"/>
    <cellStyle name="20% - Accent1 4 2 3 4" xfId="31145" xr:uid="{BBAD000F-EA15-4E40-BF24-C805C5A8F28F}"/>
    <cellStyle name="20% - Accent1 4 2 4" xfId="9372" xr:uid="{E6B08341-6F7D-4580-9BCF-4BFC252FAE31}"/>
    <cellStyle name="20% - Accent1 4 2 4 2" xfId="18481" xr:uid="{2275BC72-8DBF-4CE5-8BD4-1F52335F99F7}"/>
    <cellStyle name="20% - Accent1 4 2 4 3" xfId="35375" xr:uid="{D3B0D871-1AA2-4DE3-8F1E-6EEB495AE47D}"/>
    <cellStyle name="20% - Accent1 4 2 5" xfId="10034" xr:uid="{187A42B2-B966-4BD4-88F1-56786FA92AEF}"/>
    <cellStyle name="20% - Accent1 4 2 6" xfId="26928" xr:uid="{1C13D614-0251-4FAE-B422-C8E32ECB9A07}"/>
    <cellStyle name="20% - Accent1 4 3" xfId="1030" xr:uid="{00000000-0005-0000-0000-00007F000000}"/>
    <cellStyle name="20% - Accent1 4 3 2" xfId="3261" xr:uid="{00000000-0005-0000-0000-000080000000}"/>
    <cellStyle name="20% - Accent1 4 3 2 2" xfId="7483" xr:uid="{00000000-0005-0000-0000-000081000000}"/>
    <cellStyle name="20% - Accent1 4 3 2 2 2" xfId="25256" xr:uid="{450F065E-5382-4399-95B1-54EB5EFAB3ED}"/>
    <cellStyle name="20% - Accent1 4 3 2 2 2 2" xfId="42150" xr:uid="{FD98561C-8259-4623-9CA3-835A0A9E30BD}"/>
    <cellStyle name="20% - Accent1 4 3 2 2 3" xfId="16809" xr:uid="{6056D333-6A7D-49E8-BD63-C7619E8C8AA0}"/>
    <cellStyle name="20% - Accent1 4 3 2 2 4" xfId="33703" xr:uid="{E010F439-99F0-4C3F-B0AB-BC11B3740D73}"/>
    <cellStyle name="20% - Accent1 4 3 2 3" xfId="21039" xr:uid="{BC5A6635-A9D7-474B-8727-C9FD10834FA2}"/>
    <cellStyle name="20% - Accent1 4 3 2 3 2" xfId="37933" xr:uid="{705F4916-1680-4CF3-9D80-23FEE06A647C}"/>
    <cellStyle name="20% - Accent1 4 3 2 4" xfId="12592" xr:uid="{B83CC8C4-7730-4B53-9835-7EE79BC5CE64}"/>
    <cellStyle name="20% - Accent1 4 3 2 5" xfId="29486" xr:uid="{13269A7E-A901-40B9-B951-E305AD277F41}"/>
    <cellStyle name="20% - Accent1 4 3 3" xfId="5338" xr:uid="{00000000-0005-0000-0000-000082000000}"/>
    <cellStyle name="20% - Accent1 4 3 3 2" xfId="23111" xr:uid="{40D2DF8E-CBE4-41C1-8FD1-FD5C32EA61A8}"/>
    <cellStyle name="20% - Accent1 4 3 3 2 2" xfId="40005" xr:uid="{6570DEF1-7AE0-4B51-8CF4-10A8D179C5DC}"/>
    <cellStyle name="20% - Accent1 4 3 3 3" xfId="14664" xr:uid="{9D56B9A5-A269-4673-9397-2491427D58EE}"/>
    <cellStyle name="20% - Accent1 4 3 3 4" xfId="31558" xr:uid="{12A9F1E0-DC15-4BDC-BC08-C854222A3FD5}"/>
    <cellStyle name="20% - Accent1 4 3 4" xfId="18894" xr:uid="{A131B660-18F0-4715-9CE7-9262760C35C8}"/>
    <cellStyle name="20% - Accent1 4 3 4 2" xfId="35788" xr:uid="{2BEDB15B-CCB3-4686-AD69-A902B38926D2}"/>
    <cellStyle name="20% - Accent1 4 3 5" xfId="10447" xr:uid="{986C7EB2-B543-4669-8257-A8675AF9CAAA}"/>
    <cellStyle name="20% - Accent1 4 3 6" xfId="27341" xr:uid="{3EFA8DF9-FD06-44DB-B1AD-C0EE7D222796}"/>
    <cellStyle name="20% - Accent1 4 4" xfId="1444" xr:uid="{00000000-0005-0000-0000-000083000000}"/>
    <cellStyle name="20% - Accent1 4 4 2" xfId="3674" xr:uid="{00000000-0005-0000-0000-000084000000}"/>
    <cellStyle name="20% - Accent1 4 4 2 2" xfId="7896" xr:uid="{00000000-0005-0000-0000-000085000000}"/>
    <cellStyle name="20% - Accent1 4 4 2 2 2" xfId="25669" xr:uid="{330848AA-68DE-4352-A16E-050AF29533E1}"/>
    <cellStyle name="20% - Accent1 4 4 2 2 2 2" xfId="42563" xr:uid="{1D7A3CD9-E6D3-4EF9-ACAE-339A2BD7D597}"/>
    <cellStyle name="20% - Accent1 4 4 2 2 3" xfId="17222" xr:uid="{F6B3D3F0-169F-418A-B198-3C52C9D3F269}"/>
    <cellStyle name="20% - Accent1 4 4 2 2 4" xfId="34116" xr:uid="{D93A0E35-6C43-4CB5-9324-C9DDF2B0C9A4}"/>
    <cellStyle name="20% - Accent1 4 4 2 3" xfId="21452" xr:uid="{2531852B-9851-4FEE-9BDE-72EFCBC230A1}"/>
    <cellStyle name="20% - Accent1 4 4 2 3 2" xfId="38346" xr:uid="{04A98599-9680-4C99-B1DC-2387007BB6BD}"/>
    <cellStyle name="20% - Accent1 4 4 2 4" xfId="13005" xr:uid="{3CD4496F-4EE1-4725-9191-C1519B8F1BA4}"/>
    <cellStyle name="20% - Accent1 4 4 2 5" xfId="29899" xr:uid="{6FF3054A-2B3A-453A-A935-D416F4E0191A}"/>
    <cellStyle name="20% - Accent1 4 4 3" xfId="5751" xr:uid="{00000000-0005-0000-0000-000086000000}"/>
    <cellStyle name="20% - Accent1 4 4 3 2" xfId="23524" xr:uid="{D64D6F0D-92BD-4E9F-9B68-C979E21D8260}"/>
    <cellStyle name="20% - Accent1 4 4 3 2 2" xfId="40418" xr:uid="{CFB4FEB6-FFB8-4AE4-A8BE-DD6BDAE43FD4}"/>
    <cellStyle name="20% - Accent1 4 4 3 3" xfId="15077" xr:uid="{67CA2277-CEA8-40D0-B9F7-3E4C09F964CA}"/>
    <cellStyle name="20% - Accent1 4 4 3 4" xfId="31971" xr:uid="{B64C645A-7D19-48CC-A8B0-93A046ABA468}"/>
    <cellStyle name="20% - Accent1 4 4 4" xfId="19307" xr:uid="{1C31EAC9-DB46-4A57-B644-3F234A81A008}"/>
    <cellStyle name="20% - Accent1 4 4 4 2" xfId="36201" xr:uid="{79BD4FA3-4827-4701-AB55-E58C6051C2C3}"/>
    <cellStyle name="20% - Accent1 4 4 5" xfId="10860" xr:uid="{5CD55708-FAC0-4FA3-8FEB-58F8D623678F}"/>
    <cellStyle name="20% - Accent1 4 4 6" xfId="27754" xr:uid="{FC400B10-1250-4847-AB77-C6E6A6BA36C3}"/>
    <cellStyle name="20% - Accent1 4 5" xfId="1858" xr:uid="{00000000-0005-0000-0000-000087000000}"/>
    <cellStyle name="20% - Accent1 4 5 2" xfId="4087" xr:uid="{00000000-0005-0000-0000-000088000000}"/>
    <cellStyle name="20% - Accent1 4 5 2 2" xfId="8309" xr:uid="{00000000-0005-0000-0000-000089000000}"/>
    <cellStyle name="20% - Accent1 4 5 2 2 2" xfId="26082" xr:uid="{1634E7EA-328D-4811-BDCD-F4CA7A564892}"/>
    <cellStyle name="20% - Accent1 4 5 2 2 2 2" xfId="42976" xr:uid="{68073F5E-373B-4AA4-965E-37EE2BAC928E}"/>
    <cellStyle name="20% - Accent1 4 5 2 2 3" xfId="17635" xr:uid="{7CBBC922-0A96-44A6-A230-159B93D4679C}"/>
    <cellStyle name="20% - Accent1 4 5 2 2 4" xfId="34529" xr:uid="{7D11111E-236F-4755-94CC-1A15144DA35B}"/>
    <cellStyle name="20% - Accent1 4 5 2 3" xfId="21865" xr:uid="{0BFCB2C8-D45C-4EF0-810B-39EC092CC21C}"/>
    <cellStyle name="20% - Accent1 4 5 2 3 2" xfId="38759" xr:uid="{337DB275-029B-43F7-8119-828000E94948}"/>
    <cellStyle name="20% - Accent1 4 5 2 4" xfId="13418" xr:uid="{70B589BA-0A60-47F3-8265-3BD0569CAC9B}"/>
    <cellStyle name="20% - Accent1 4 5 2 5" xfId="30312" xr:uid="{5FDC7E52-EAEA-4214-B450-D07FC43BA8AC}"/>
    <cellStyle name="20% - Accent1 4 5 3" xfId="6164" xr:uid="{00000000-0005-0000-0000-00008A000000}"/>
    <cellStyle name="20% - Accent1 4 5 3 2" xfId="23937" xr:uid="{F84399D0-9543-412C-B1ED-305E34CB47FB}"/>
    <cellStyle name="20% - Accent1 4 5 3 2 2" xfId="40831" xr:uid="{C6F910BB-00CF-47EE-9DA5-3E6DC0C7382B}"/>
    <cellStyle name="20% - Accent1 4 5 3 3" xfId="15490" xr:uid="{13211FAF-C66D-4D66-B832-2CB0738BAD41}"/>
    <cellStyle name="20% - Accent1 4 5 3 4" xfId="32384" xr:uid="{EE8B2A73-1B22-4786-A683-C71AB5F4B2F2}"/>
    <cellStyle name="20% - Accent1 4 5 4" xfId="19720" xr:uid="{27E43A42-5DBD-4557-92F4-6173B202F9B8}"/>
    <cellStyle name="20% - Accent1 4 5 4 2" xfId="36614" xr:uid="{78B54779-CE26-4C49-80E3-10B341C5990C}"/>
    <cellStyle name="20% - Accent1 4 5 5" xfId="11273" xr:uid="{D7661610-86E1-4B9F-B58A-9F789AFF8C86}"/>
    <cellStyle name="20% - Accent1 4 5 6" xfId="28167" xr:uid="{5C0290DA-CB67-4B56-B1C8-CA7935C8581C}"/>
    <cellStyle name="20% - Accent1 4 6" xfId="2271" xr:uid="{00000000-0005-0000-0000-00008B000000}"/>
    <cellStyle name="20% - Accent1 4 6 2" xfId="6577" xr:uid="{00000000-0005-0000-0000-00008C000000}"/>
    <cellStyle name="20% - Accent1 4 6 2 2" xfId="24350" xr:uid="{AB2BF5F8-252C-409F-B5B7-FD51ED795B0A}"/>
    <cellStyle name="20% - Accent1 4 6 2 2 2" xfId="41244" xr:uid="{4E18EE81-0276-4477-B385-63C338D6FFD0}"/>
    <cellStyle name="20% - Accent1 4 6 2 3" xfId="15903" xr:uid="{A8123FA2-1A7E-4584-940E-E3B0843EBA3D}"/>
    <cellStyle name="20% - Accent1 4 6 2 4" xfId="32797" xr:uid="{0CE9A842-2D54-4C59-83AF-B88CE8811AE7}"/>
    <cellStyle name="20% - Accent1 4 6 3" xfId="20133" xr:uid="{43F58432-42EF-4F49-BCD7-810EC5C3DF88}"/>
    <cellStyle name="20% - Accent1 4 6 3 2" xfId="37027" xr:uid="{CF5A1098-F7D4-4375-AED6-637FCEA23B39}"/>
    <cellStyle name="20% - Accent1 4 6 4" xfId="11686" xr:uid="{1EFB9CD0-6BA8-432E-AF73-371FD5DCAD12}"/>
    <cellStyle name="20% - Accent1 4 6 5" xfId="28580" xr:uid="{F49479CB-CA07-46E1-B3CF-9316F9D33045}"/>
    <cellStyle name="20% - Accent1 4 7" xfId="4511" xr:uid="{00000000-0005-0000-0000-00008D000000}"/>
    <cellStyle name="20% - Accent1 4 7 2" xfId="22284" xr:uid="{89F12EEE-7A66-4C13-9CF9-5345D9025400}"/>
    <cellStyle name="20% - Accent1 4 7 2 2" xfId="39178" xr:uid="{99605C57-D532-4EFC-940A-A6BBF95F9EE7}"/>
    <cellStyle name="20% - Accent1 4 7 3" xfId="13837" xr:uid="{456D44EA-7D34-4EED-B1E8-94307252E8DF}"/>
    <cellStyle name="20% - Accent1 4 7 4" xfId="30731" xr:uid="{38828769-6481-45F3-BAA8-031163FD36CC}"/>
    <cellStyle name="20% - Accent1 4 8" xfId="8947" xr:uid="{1FCDBFE2-CC86-42DD-AD9B-D3EAF476002E}"/>
    <cellStyle name="20% - Accent1 4 8 2" xfId="18067" xr:uid="{7E1D2E3E-4A39-4356-8CE3-C2E5FF561A2F}"/>
    <cellStyle name="20% - Accent1 4 8 3" xfId="34961" xr:uid="{BD47DDD8-ED56-421C-B65E-A7B4A3E7B30D}"/>
    <cellStyle name="20% - Accent1 4 9" xfId="9620" xr:uid="{25B08813-389E-4CE7-AC0A-958B561525F1}"/>
    <cellStyle name="20% - Accent1 5" xfId="570" xr:uid="{00000000-0005-0000-0000-00008E000000}"/>
    <cellStyle name="20% - Accent1 5 2" xfId="2841" xr:uid="{00000000-0005-0000-0000-00008F000000}"/>
    <cellStyle name="20% - Accent1 5 2 2" xfId="7063" xr:uid="{00000000-0005-0000-0000-000090000000}"/>
    <cellStyle name="20% - Accent1 5 2 2 2" xfId="24836" xr:uid="{85643518-63E4-49BF-B94F-F58FE6511DB6}"/>
    <cellStyle name="20% - Accent1 5 2 2 2 2" xfId="41730" xr:uid="{609B7D18-BEAD-4B9C-8B8A-6DB1E9223C8B}"/>
    <cellStyle name="20% - Accent1 5 2 2 3" xfId="16389" xr:uid="{62F7DB66-0FEE-43D3-AE00-AA242BE4106A}"/>
    <cellStyle name="20% - Accent1 5 2 2 4" xfId="33283" xr:uid="{2DCBA225-1920-4115-B77F-1BBD54DA6E03}"/>
    <cellStyle name="20% - Accent1 5 2 3" xfId="20619" xr:uid="{B165C099-1CBE-47B5-8D3F-84FD684570A9}"/>
    <cellStyle name="20% - Accent1 5 2 3 2" xfId="37513" xr:uid="{BB905986-A55C-4236-A7F4-14BA86505DCA}"/>
    <cellStyle name="20% - Accent1 5 2 4" xfId="12172" xr:uid="{71395D7F-DD2B-419D-B3C8-B2C39137C8B2}"/>
    <cellStyle name="20% - Accent1 5 2 5" xfId="29066" xr:uid="{DB67C384-F95E-430F-AB61-B3D081A3C594}"/>
    <cellStyle name="20% - Accent1 5 3" xfId="4918" xr:uid="{00000000-0005-0000-0000-000091000000}"/>
    <cellStyle name="20% - Accent1 5 3 2" xfId="22691" xr:uid="{FA28EFA8-34ED-46EA-AA84-31E73DEDF26F}"/>
    <cellStyle name="20% - Accent1 5 3 2 2" xfId="39585" xr:uid="{55548901-6229-423D-A977-EBF91CBBEA33}"/>
    <cellStyle name="20% - Accent1 5 3 3" xfId="14244" xr:uid="{AF549D54-12D2-4A23-A20E-BC4548018B94}"/>
    <cellStyle name="20% - Accent1 5 3 4" xfId="31138" xr:uid="{183C1ED9-790B-4A93-A5A5-5F857713C610}"/>
    <cellStyle name="20% - Accent1 5 4" xfId="9180" xr:uid="{D0AEF57E-25E3-47C5-B910-DC1A0019F498}"/>
    <cellStyle name="20% - Accent1 5 4 2" xfId="18474" xr:uid="{E5630AC9-AA46-450C-986D-7CF9467D251F}"/>
    <cellStyle name="20% - Accent1 5 4 3" xfId="35368" xr:uid="{FFFDC630-ECBD-40C0-A9BD-7823D70D39F8}"/>
    <cellStyle name="20% - Accent1 5 5" xfId="10027" xr:uid="{DB3FE7FC-02CB-4669-A99E-BD9A9B2EDB28}"/>
    <cellStyle name="20% - Accent1 5 6" xfId="26921" xr:uid="{43B69C61-1045-43F5-917C-68AC227E2BE1}"/>
    <cellStyle name="20% - Accent1 6" xfId="1023" xr:uid="{00000000-0005-0000-0000-000092000000}"/>
    <cellStyle name="20% - Accent1 6 2" xfId="3254" xr:uid="{00000000-0005-0000-0000-000093000000}"/>
    <cellStyle name="20% - Accent1 6 2 2" xfId="7476" xr:uid="{00000000-0005-0000-0000-000094000000}"/>
    <cellStyle name="20% - Accent1 6 2 2 2" xfId="25249" xr:uid="{8F45A33B-ED2C-411C-901B-59AB1F831A63}"/>
    <cellStyle name="20% - Accent1 6 2 2 2 2" xfId="42143" xr:uid="{19F82B09-6840-493F-9169-5605919303E2}"/>
    <cellStyle name="20% - Accent1 6 2 2 3" xfId="16802" xr:uid="{6D52B19A-F160-4838-9D8F-43C528F84CD9}"/>
    <cellStyle name="20% - Accent1 6 2 2 4" xfId="33696" xr:uid="{5AEE0AE3-0F52-46A0-8BA1-1BF20755FE59}"/>
    <cellStyle name="20% - Accent1 6 2 3" xfId="21032" xr:uid="{640B1CFE-A145-4947-BB33-1B2BDEDA24F2}"/>
    <cellStyle name="20% - Accent1 6 2 3 2" xfId="37926" xr:uid="{108FF317-5487-4EB4-84C0-98ED5CD50BFF}"/>
    <cellStyle name="20% - Accent1 6 2 4" xfId="12585" xr:uid="{A096E751-3382-465B-A51E-A2E07F08B8D3}"/>
    <cellStyle name="20% - Accent1 6 2 5" xfId="29479" xr:uid="{39DEA3A1-70DD-4412-B6B7-C8A27716BFEB}"/>
    <cellStyle name="20% - Accent1 6 3" xfId="5331" xr:uid="{00000000-0005-0000-0000-000095000000}"/>
    <cellStyle name="20% - Accent1 6 3 2" xfId="23104" xr:uid="{4301F875-EA20-493C-A155-DD695874ECDB}"/>
    <cellStyle name="20% - Accent1 6 3 2 2" xfId="39998" xr:uid="{1D89EBC4-58A4-4E98-89EF-CF16324A9A93}"/>
    <cellStyle name="20% - Accent1 6 3 3" xfId="14657" xr:uid="{5C67B241-6F93-4082-97E2-DF7BAF87A58C}"/>
    <cellStyle name="20% - Accent1 6 3 4" xfId="31551" xr:uid="{E3EAD8CC-DD3F-4AD7-A2E5-92CF95E4DEBC}"/>
    <cellStyle name="20% - Accent1 6 4" xfId="18887" xr:uid="{F769F671-6310-4B2E-852B-08E8FF541FC0}"/>
    <cellStyle name="20% - Accent1 6 4 2" xfId="35781" xr:uid="{21C45E47-8B5E-4D06-8251-C0C5CB39392A}"/>
    <cellStyle name="20% - Accent1 6 5" xfId="10440" xr:uid="{EA6C8432-31CA-44ED-9BE8-DB5C7DCB14C1}"/>
    <cellStyle name="20% - Accent1 6 6" xfId="27334" xr:uid="{E499CE52-D461-44C1-9C58-146930BC8D08}"/>
    <cellStyle name="20% - Accent1 7" xfId="1437" xr:uid="{00000000-0005-0000-0000-000096000000}"/>
    <cellStyle name="20% - Accent1 7 2" xfId="3667" xr:uid="{00000000-0005-0000-0000-000097000000}"/>
    <cellStyle name="20% - Accent1 7 2 2" xfId="7889" xr:uid="{00000000-0005-0000-0000-000098000000}"/>
    <cellStyle name="20% - Accent1 7 2 2 2" xfId="25662" xr:uid="{324AFE18-EDF6-4F09-B994-051C5D446207}"/>
    <cellStyle name="20% - Accent1 7 2 2 2 2" xfId="42556" xr:uid="{F8CAD51E-E37A-4805-B508-DE5943BC9F2E}"/>
    <cellStyle name="20% - Accent1 7 2 2 3" xfId="17215" xr:uid="{44849C41-DA50-436D-9356-86BBC5B2C213}"/>
    <cellStyle name="20% - Accent1 7 2 2 4" xfId="34109" xr:uid="{9CF4C794-D637-4CA8-A573-A2A4B0FE00E2}"/>
    <cellStyle name="20% - Accent1 7 2 3" xfId="21445" xr:uid="{45F2D245-CA70-44E3-B9F0-6FCF1B5DBE01}"/>
    <cellStyle name="20% - Accent1 7 2 3 2" xfId="38339" xr:uid="{0303A1C7-FE11-409E-AAC5-7DCEFAB4DBB1}"/>
    <cellStyle name="20% - Accent1 7 2 4" xfId="12998" xr:uid="{4D1D5B11-7F18-4442-950C-C175574E8F59}"/>
    <cellStyle name="20% - Accent1 7 2 5" xfId="29892" xr:uid="{52227795-D0EE-4CD4-AB97-DBA300CC4F83}"/>
    <cellStyle name="20% - Accent1 7 3" xfId="5744" xr:uid="{00000000-0005-0000-0000-000099000000}"/>
    <cellStyle name="20% - Accent1 7 3 2" xfId="23517" xr:uid="{5354D237-F316-4328-9C36-002731A78999}"/>
    <cellStyle name="20% - Accent1 7 3 2 2" xfId="40411" xr:uid="{7C1032B9-EC3B-44B2-8F2E-31F85BE567DA}"/>
    <cellStyle name="20% - Accent1 7 3 3" xfId="15070" xr:uid="{2B06F52F-1918-4C84-A9E2-2FB21E48A625}"/>
    <cellStyle name="20% - Accent1 7 3 4" xfId="31964" xr:uid="{80380D6E-9D00-42DE-8D14-8BF618929460}"/>
    <cellStyle name="20% - Accent1 7 4" xfId="19300" xr:uid="{A78854C7-E9F7-4767-9312-364FA27B31E6}"/>
    <cellStyle name="20% - Accent1 7 4 2" xfId="36194" xr:uid="{35E44F04-53A1-4CA6-A5EA-914BC2187D45}"/>
    <cellStyle name="20% - Accent1 7 5" xfId="10853" xr:uid="{F4D8737D-3C05-4C79-B155-45B68095C272}"/>
    <cellStyle name="20% - Accent1 7 6" xfId="27747" xr:uid="{EE982D9A-389E-4058-A073-3C02539C7CBE}"/>
    <cellStyle name="20% - Accent1 8" xfId="1851" xr:uid="{00000000-0005-0000-0000-00009A000000}"/>
    <cellStyle name="20% - Accent1 8 2" xfId="4080" xr:uid="{00000000-0005-0000-0000-00009B000000}"/>
    <cellStyle name="20% - Accent1 8 2 2" xfId="8302" xr:uid="{00000000-0005-0000-0000-00009C000000}"/>
    <cellStyle name="20% - Accent1 8 2 2 2" xfId="26075" xr:uid="{DAD4F280-E193-489A-ACCD-28C26810665F}"/>
    <cellStyle name="20% - Accent1 8 2 2 2 2" xfId="42969" xr:uid="{761960C6-F834-4A30-86EF-8ABB8E54860F}"/>
    <cellStyle name="20% - Accent1 8 2 2 3" xfId="17628" xr:uid="{9C9EC319-3838-4FD3-8191-799B646D50E4}"/>
    <cellStyle name="20% - Accent1 8 2 2 4" xfId="34522" xr:uid="{44030AF7-4C73-4D8E-BACB-E8FC0077B08B}"/>
    <cellStyle name="20% - Accent1 8 2 3" xfId="21858" xr:uid="{81A1C9B1-A308-4BA5-9845-D005F473D795}"/>
    <cellStyle name="20% - Accent1 8 2 3 2" xfId="38752" xr:uid="{C2E14888-FBB5-4877-B69B-2ED9AB2A099C}"/>
    <cellStyle name="20% - Accent1 8 2 4" xfId="13411" xr:uid="{2D4AC9BE-12DE-4085-BBCE-5E7FFFFFF52B}"/>
    <cellStyle name="20% - Accent1 8 2 5" xfId="30305" xr:uid="{3725749D-0C50-454C-9039-571D4FB77D6D}"/>
    <cellStyle name="20% - Accent1 8 3" xfId="6157" xr:uid="{00000000-0005-0000-0000-00009D000000}"/>
    <cellStyle name="20% - Accent1 8 3 2" xfId="23930" xr:uid="{71DEC2CC-62EF-45BF-9D0E-1993281DA743}"/>
    <cellStyle name="20% - Accent1 8 3 2 2" xfId="40824" xr:uid="{690014AF-0088-4592-87A4-0153E74884C2}"/>
    <cellStyle name="20% - Accent1 8 3 3" xfId="15483" xr:uid="{D9EC2463-7576-4DBB-B698-8692ABF8C913}"/>
    <cellStyle name="20% - Accent1 8 3 4" xfId="32377" xr:uid="{4244A368-4B14-460C-AD86-43DFAACA51C5}"/>
    <cellStyle name="20% - Accent1 8 4" xfId="19713" xr:uid="{08AB4E80-1395-46CA-99A7-1E8BF3F66A80}"/>
    <cellStyle name="20% - Accent1 8 4 2" xfId="36607" xr:uid="{07B69C9C-E0D9-43A7-8254-7CE75AD578FD}"/>
    <cellStyle name="20% - Accent1 8 5" xfId="11266" xr:uid="{EC99C0CB-982B-475B-83B3-32F2CB434592}"/>
    <cellStyle name="20% - Accent1 8 6" xfId="28160" xr:uid="{B8B6C8DE-CC38-46B1-B0E9-84FFAE55E7E9}"/>
    <cellStyle name="20% - Accent1 9" xfId="2264" xr:uid="{00000000-0005-0000-0000-00009E000000}"/>
    <cellStyle name="20% - Accent1 9 2" xfId="6570" xr:uid="{00000000-0005-0000-0000-00009F000000}"/>
    <cellStyle name="20% - Accent1 9 2 2" xfId="24343" xr:uid="{1E5CA012-6B02-467D-8464-DBDE9F906A95}"/>
    <cellStyle name="20% - Accent1 9 2 2 2" xfId="41237" xr:uid="{2658FFC4-8E37-4FC8-B7E9-C4005F4C786D}"/>
    <cellStyle name="20% - Accent1 9 2 3" xfId="15896" xr:uid="{C8C72C4E-0B9A-44F5-A26C-BA84964D1188}"/>
    <cellStyle name="20% - Accent1 9 2 4" xfId="32790" xr:uid="{BE985A48-6933-49B6-82CE-B5823587B417}"/>
    <cellStyle name="20% - Accent1 9 3" xfId="20126" xr:uid="{E94143C5-836D-4382-AD44-043C724C22E6}"/>
    <cellStyle name="20% - Accent1 9 3 2" xfId="37020" xr:uid="{BD861D62-774A-4281-BE52-792F33D8BD69}"/>
    <cellStyle name="20% - Accent1 9 4" xfId="11679" xr:uid="{C778B0CE-9EE3-4C32-9EC7-73A1EF0615B6}"/>
    <cellStyle name="20% - Accent1 9 5" xfId="28573" xr:uid="{072F7D3D-8B2C-49CC-B7C7-5B988E8B7550}"/>
    <cellStyle name="20% - Accent2" xfId="9" builtinId="34" customBuiltin="1"/>
    <cellStyle name="20% - Accent2 10" xfId="4512" xr:uid="{00000000-0005-0000-0000-0000A1000000}"/>
    <cellStyle name="20% - Accent2 10 2" xfId="22285" xr:uid="{4DE42C4C-B03A-49B8-B7D6-795A19D6F168}"/>
    <cellStyle name="20% - Accent2 10 2 2" xfId="39179" xr:uid="{2071ED67-EF14-446B-9F7C-D4CC6A70DCBE}"/>
    <cellStyle name="20% - Accent2 10 3" xfId="13838" xr:uid="{236BF680-0BD2-489F-A3D4-6478C323BFAB}"/>
    <cellStyle name="20% - Accent2 10 4" xfId="30732" xr:uid="{8C133D35-F222-427D-973C-6AF1E764C87B}"/>
    <cellStyle name="20% - Accent2 11" xfId="8760" xr:uid="{2F9D8AF1-C115-467C-ADFB-3BF13039D076}"/>
    <cellStyle name="20% - Accent2 11 2" xfId="18068" xr:uid="{34C5C9E3-C94C-4CC5-A1B7-FE30C9EB377E}"/>
    <cellStyle name="20% - Accent2 11 3" xfId="34962" xr:uid="{D2465B17-0587-47F4-853E-3326861D93A7}"/>
    <cellStyle name="20% - Accent2 12" xfId="9621" xr:uid="{6ED999C9-12CD-4AF2-8BFC-8F2ED86AB11A}"/>
    <cellStyle name="20% - Accent2 13" xfId="26515" xr:uid="{AD48AEE9-4006-480C-8753-F4B3D65F418B}"/>
    <cellStyle name="20% - Accent2 2" xfId="10" xr:uid="{00000000-0005-0000-0000-0000A2000000}"/>
    <cellStyle name="20% - Accent2 2 10" xfId="8793" xr:uid="{AA7C3473-3A75-4F75-9E25-D7658C57F3A0}"/>
    <cellStyle name="20% - Accent2 2 10 2" xfId="18069" xr:uid="{D2186F0A-BFC2-492E-AFA7-F9A345B765B7}"/>
    <cellStyle name="20% - Accent2 2 10 3" xfId="34963" xr:uid="{CF088E29-A000-4B70-A375-30F6AA76C677}"/>
    <cellStyle name="20% - Accent2 2 11" xfId="9622" xr:uid="{9D58659C-A91B-42AF-8303-D5EDF52D994F}"/>
    <cellStyle name="20% - Accent2 2 12" xfId="26516" xr:uid="{90A5035F-EB35-4AF7-BC2E-44AE9D0645B2}"/>
    <cellStyle name="20% - Accent2 2 2" xfId="11" xr:uid="{00000000-0005-0000-0000-0000A3000000}"/>
    <cellStyle name="20% - Accent2 2 2 10" xfId="9623" xr:uid="{1EF27CD5-D429-4C70-875B-856707BBBD36}"/>
    <cellStyle name="20% - Accent2 2 2 11" xfId="26517" xr:uid="{DB4F087E-5438-4B01-B7E7-D50A67247159}"/>
    <cellStyle name="20% - Accent2 2 2 2" xfId="12" xr:uid="{00000000-0005-0000-0000-0000A4000000}"/>
    <cellStyle name="20% - Accent2 2 2 2 10" xfId="26518" xr:uid="{208836B3-B41D-40AA-8192-D8BF1E82C7DE}"/>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2 2 2" xfId="24847" xr:uid="{77224A86-0BA6-4A9B-AF5B-92B3B50749A9}"/>
    <cellStyle name="20% - Accent2 2 2 2 2 2 2 2 2" xfId="41741" xr:uid="{A00F87F4-61E2-4F78-9158-A10ADAC8FD98}"/>
    <cellStyle name="20% - Accent2 2 2 2 2 2 2 3" xfId="16400" xr:uid="{872DE94E-EA4D-4580-9512-C45C1FB9163F}"/>
    <cellStyle name="20% - Accent2 2 2 2 2 2 2 4" xfId="33294" xr:uid="{744A9898-0DFC-4389-943C-C210D7C2EC1E}"/>
    <cellStyle name="20% - Accent2 2 2 2 2 2 3" xfId="20630" xr:uid="{568421D2-F441-4B01-9219-3471839EBADA}"/>
    <cellStyle name="20% - Accent2 2 2 2 2 2 3 2" xfId="37524" xr:uid="{EB5596A1-5B9D-4A12-A532-5619016A7CD8}"/>
    <cellStyle name="20% - Accent2 2 2 2 2 2 4" xfId="12183" xr:uid="{68A796FC-CE00-4D99-BC20-C6C2F9D64E72}"/>
    <cellStyle name="20% - Accent2 2 2 2 2 2 5" xfId="29077" xr:uid="{69E3284D-A807-4EE5-B7C8-F5538347C1E5}"/>
    <cellStyle name="20% - Accent2 2 2 2 2 3" xfId="4929" xr:uid="{00000000-0005-0000-0000-0000A8000000}"/>
    <cellStyle name="20% - Accent2 2 2 2 2 3 2" xfId="22702" xr:uid="{EE108B6D-0599-4963-A6FC-904B98242B71}"/>
    <cellStyle name="20% - Accent2 2 2 2 2 3 2 2" xfId="39596" xr:uid="{B408CFAE-560F-4667-B279-68348C3ABC07}"/>
    <cellStyle name="20% - Accent2 2 2 2 2 3 3" xfId="14255" xr:uid="{E790DE43-570F-443A-851A-C63D108F297D}"/>
    <cellStyle name="20% - Accent2 2 2 2 2 3 4" xfId="31149" xr:uid="{6F575ACA-6F80-4C2A-8A63-B132F67DDB76}"/>
    <cellStyle name="20% - Accent2 2 2 2 2 4" xfId="9528" xr:uid="{C8BEA541-FD8B-4449-95AA-43E1904F35BB}"/>
    <cellStyle name="20% - Accent2 2 2 2 2 4 2" xfId="18485" xr:uid="{8F61FBCD-7719-4592-9043-545FEEE8FAAA}"/>
    <cellStyle name="20% - Accent2 2 2 2 2 4 3" xfId="35379" xr:uid="{2DEC407A-AAEE-45B9-98B6-2FD05F1645E5}"/>
    <cellStyle name="20% - Accent2 2 2 2 2 5" xfId="10038" xr:uid="{270F44E5-F6B8-4B8E-BAA2-FB16AFD6BB40}"/>
    <cellStyle name="20% - Accent2 2 2 2 2 6" xfId="26932" xr:uid="{DF07BD3D-DE19-48BA-959A-888E216546E3}"/>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2 2 2" xfId="25260" xr:uid="{76254C57-CC58-4571-8548-AAF67C2DF720}"/>
    <cellStyle name="20% - Accent2 2 2 2 3 2 2 2 2" xfId="42154" xr:uid="{30FDF0E5-CDB5-4B8B-B106-4D315D744D7A}"/>
    <cellStyle name="20% - Accent2 2 2 2 3 2 2 3" xfId="16813" xr:uid="{A5C4A8DF-9DCE-4A66-9757-F057BFD104C6}"/>
    <cellStyle name="20% - Accent2 2 2 2 3 2 2 4" xfId="33707" xr:uid="{A964002E-E42A-4788-80EE-0700ABF39213}"/>
    <cellStyle name="20% - Accent2 2 2 2 3 2 3" xfId="21043" xr:uid="{39D42BEE-D861-4B66-9F14-B3E4EFD836B0}"/>
    <cellStyle name="20% - Accent2 2 2 2 3 2 3 2" xfId="37937" xr:uid="{13581E47-B616-4D43-AA1A-E7AECDB3D6C9}"/>
    <cellStyle name="20% - Accent2 2 2 2 3 2 4" xfId="12596" xr:uid="{819501DF-D91E-4C84-AE6C-0BF12E34E6E4}"/>
    <cellStyle name="20% - Accent2 2 2 2 3 2 5" xfId="29490" xr:uid="{0466C6E0-AD8D-4E67-BCA4-067CC10EEE05}"/>
    <cellStyle name="20% - Accent2 2 2 2 3 3" xfId="5342" xr:uid="{00000000-0005-0000-0000-0000AC000000}"/>
    <cellStyle name="20% - Accent2 2 2 2 3 3 2" xfId="23115" xr:uid="{BAE1FBC2-1C43-4168-A5D1-D0F97D879890}"/>
    <cellStyle name="20% - Accent2 2 2 2 3 3 2 2" xfId="40009" xr:uid="{0EF6E6A0-26FA-4D3F-A0FE-C3DD443BC411}"/>
    <cellStyle name="20% - Accent2 2 2 2 3 3 3" xfId="14668" xr:uid="{71DFE049-ACBF-465E-9501-B4580168CCE5}"/>
    <cellStyle name="20% - Accent2 2 2 2 3 3 4" xfId="31562" xr:uid="{110A1663-8066-43CD-B72C-61E91D9538F0}"/>
    <cellStyle name="20% - Accent2 2 2 2 3 4" xfId="18898" xr:uid="{548C4ECA-3045-4782-9D28-8643ED9B8B7B}"/>
    <cellStyle name="20% - Accent2 2 2 2 3 4 2" xfId="35792" xr:uid="{5255D502-87D2-4A47-863C-80B4AD37BD4E}"/>
    <cellStyle name="20% - Accent2 2 2 2 3 5" xfId="10451" xr:uid="{EF7F68B7-236B-4BAF-961D-AF9C8ABCE878}"/>
    <cellStyle name="20% - Accent2 2 2 2 3 6" xfId="27345" xr:uid="{954DDDA8-7A1A-4378-90E0-2370B61F86E8}"/>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2 2 2" xfId="25673" xr:uid="{146AEC5E-0150-4726-B50E-8C436E1E2296}"/>
    <cellStyle name="20% - Accent2 2 2 2 4 2 2 2 2" xfId="42567" xr:uid="{56FCCEB4-BE2A-4C1E-8AD5-18C510478071}"/>
    <cellStyle name="20% - Accent2 2 2 2 4 2 2 3" xfId="17226" xr:uid="{013E0283-D461-49EF-BCF6-BF86D244DC79}"/>
    <cellStyle name="20% - Accent2 2 2 2 4 2 2 4" xfId="34120" xr:uid="{5B79DFA9-212F-4690-8B67-03CFCD7D87CA}"/>
    <cellStyle name="20% - Accent2 2 2 2 4 2 3" xfId="21456" xr:uid="{F64666B9-7ADB-41F7-A740-3ADB34160692}"/>
    <cellStyle name="20% - Accent2 2 2 2 4 2 3 2" xfId="38350" xr:uid="{04EC0D23-CBAE-4E3E-8AD7-DA47708B5F1D}"/>
    <cellStyle name="20% - Accent2 2 2 2 4 2 4" xfId="13009" xr:uid="{51F6B2A7-7017-4F82-A2D9-F17B8B2469F4}"/>
    <cellStyle name="20% - Accent2 2 2 2 4 2 5" xfId="29903" xr:uid="{D3AE64AD-CD4C-4173-B6D1-C94DCFA86736}"/>
    <cellStyle name="20% - Accent2 2 2 2 4 3" xfId="5755" xr:uid="{00000000-0005-0000-0000-0000B0000000}"/>
    <cellStyle name="20% - Accent2 2 2 2 4 3 2" xfId="23528" xr:uid="{793ECC82-9EC5-4B46-BAAE-A0F34B39D5AF}"/>
    <cellStyle name="20% - Accent2 2 2 2 4 3 2 2" xfId="40422" xr:uid="{1B767DF1-43CC-46F6-9F90-E53525A4ED9D}"/>
    <cellStyle name="20% - Accent2 2 2 2 4 3 3" xfId="15081" xr:uid="{725A6934-680E-49CA-9585-EF4140C9EB98}"/>
    <cellStyle name="20% - Accent2 2 2 2 4 3 4" xfId="31975" xr:uid="{4BEC0A6A-46CF-4A2E-988D-F93ED2103118}"/>
    <cellStyle name="20% - Accent2 2 2 2 4 4" xfId="19311" xr:uid="{2BDD071B-B4C7-48BE-AD72-702B298A118E}"/>
    <cellStyle name="20% - Accent2 2 2 2 4 4 2" xfId="36205" xr:uid="{B3F8407C-98F7-437B-B3D8-7B3DFE527B02}"/>
    <cellStyle name="20% - Accent2 2 2 2 4 5" xfId="10864" xr:uid="{CD8F0BD8-11CD-49C6-93D0-E079C6297E64}"/>
    <cellStyle name="20% - Accent2 2 2 2 4 6" xfId="27758" xr:uid="{D00D7E7F-8DA0-4B80-9FA0-5777941E73AD}"/>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2 2 2" xfId="26086" xr:uid="{547F9ABA-A2BF-456B-892E-19BCAD1E1175}"/>
    <cellStyle name="20% - Accent2 2 2 2 5 2 2 2 2" xfId="42980" xr:uid="{69B2F7B1-A436-4832-938B-45CD57A2074D}"/>
    <cellStyle name="20% - Accent2 2 2 2 5 2 2 3" xfId="17639" xr:uid="{F8F1F807-A8D7-4882-AD11-CCC5B8E09230}"/>
    <cellStyle name="20% - Accent2 2 2 2 5 2 2 4" xfId="34533" xr:uid="{4665A309-D7D3-41F2-8C40-608ADC994AF4}"/>
    <cellStyle name="20% - Accent2 2 2 2 5 2 3" xfId="21869" xr:uid="{3EA61DD1-240D-4531-8108-9B9F7B2E4939}"/>
    <cellStyle name="20% - Accent2 2 2 2 5 2 3 2" xfId="38763" xr:uid="{C6CF07F0-3DA7-4DC2-A319-5F92A09D1AC6}"/>
    <cellStyle name="20% - Accent2 2 2 2 5 2 4" xfId="13422" xr:uid="{37FCF163-229F-43E4-BF0B-81A92A7FC25F}"/>
    <cellStyle name="20% - Accent2 2 2 2 5 2 5" xfId="30316" xr:uid="{0A07A94A-8C98-437F-975B-2070383DB9E4}"/>
    <cellStyle name="20% - Accent2 2 2 2 5 3" xfId="6168" xr:uid="{00000000-0005-0000-0000-0000B4000000}"/>
    <cellStyle name="20% - Accent2 2 2 2 5 3 2" xfId="23941" xr:uid="{6C5D4B02-4500-42FD-A3D1-3F2B7C53DF06}"/>
    <cellStyle name="20% - Accent2 2 2 2 5 3 2 2" xfId="40835" xr:uid="{B1770FCC-71E1-4ED1-9E63-B2FC9DE8765E}"/>
    <cellStyle name="20% - Accent2 2 2 2 5 3 3" xfId="15494" xr:uid="{602BC327-21E5-4FD5-AF0F-2389B7ACF1F4}"/>
    <cellStyle name="20% - Accent2 2 2 2 5 3 4" xfId="32388" xr:uid="{DAC0A620-8CF7-4DE4-A385-A4B722275131}"/>
    <cellStyle name="20% - Accent2 2 2 2 5 4" xfId="19724" xr:uid="{433E738E-3B56-4497-9979-003E3D2D6047}"/>
    <cellStyle name="20% - Accent2 2 2 2 5 4 2" xfId="36618" xr:uid="{B02A7660-98B5-4F4B-B173-78B227A725D9}"/>
    <cellStyle name="20% - Accent2 2 2 2 5 5" xfId="11277" xr:uid="{59E017C2-C9E1-425A-A1EF-425A0BFF0F86}"/>
    <cellStyle name="20% - Accent2 2 2 2 5 6" xfId="28171" xr:uid="{FFC6D048-D4C9-4D00-A212-BEEC09100DF7}"/>
    <cellStyle name="20% - Accent2 2 2 2 6" xfId="2275" xr:uid="{00000000-0005-0000-0000-0000B5000000}"/>
    <cellStyle name="20% - Accent2 2 2 2 6 2" xfId="6581" xr:uid="{00000000-0005-0000-0000-0000B6000000}"/>
    <cellStyle name="20% - Accent2 2 2 2 6 2 2" xfId="24354" xr:uid="{A3862EFA-E8F6-43E8-90BC-41D8518AD391}"/>
    <cellStyle name="20% - Accent2 2 2 2 6 2 2 2" xfId="41248" xr:uid="{0D80BB09-0C81-4C57-93DB-FC3BEE7A9249}"/>
    <cellStyle name="20% - Accent2 2 2 2 6 2 3" xfId="15907" xr:uid="{C0896881-D551-4870-84A2-0E9D67758E47}"/>
    <cellStyle name="20% - Accent2 2 2 2 6 2 4" xfId="32801" xr:uid="{8EE35F98-21F0-4DA1-A5B2-D942C18222C2}"/>
    <cellStyle name="20% - Accent2 2 2 2 6 3" xfId="20137" xr:uid="{057FDE74-64AD-4843-BC92-3BAC48E2E432}"/>
    <cellStyle name="20% - Accent2 2 2 2 6 3 2" xfId="37031" xr:uid="{784FC196-0253-4691-86B9-A16F9CE57717}"/>
    <cellStyle name="20% - Accent2 2 2 2 6 4" xfId="11690" xr:uid="{DCED85FA-269B-450B-93D6-82E4BCD48F57}"/>
    <cellStyle name="20% - Accent2 2 2 2 6 5" xfId="28584" xr:uid="{F6DDDD74-5A8F-478B-83E3-094C85E1B149}"/>
    <cellStyle name="20% - Accent2 2 2 2 7" xfId="4515" xr:uid="{00000000-0005-0000-0000-0000B7000000}"/>
    <cellStyle name="20% - Accent2 2 2 2 7 2" xfId="22288" xr:uid="{9D8AD003-EE90-424B-A9F5-EE8A16F4B6DE}"/>
    <cellStyle name="20% - Accent2 2 2 2 7 2 2" xfId="39182" xr:uid="{3F0D7FC7-5683-4113-A1B2-1A75BC313169}"/>
    <cellStyle name="20% - Accent2 2 2 2 7 3" xfId="13841" xr:uid="{EE82D1D9-C7BF-48E1-916B-373BD1132C3D}"/>
    <cellStyle name="20% - Accent2 2 2 2 7 4" xfId="30735" xr:uid="{77F57D01-6438-41F1-BF06-100E2CDB7CC5}"/>
    <cellStyle name="20% - Accent2 2 2 2 8" xfId="9103" xr:uid="{91DB80A1-3464-4086-B948-71B6A26537C4}"/>
    <cellStyle name="20% - Accent2 2 2 2 8 2" xfId="18071" xr:uid="{540BAF3A-DE96-4554-9CC0-82EF85D37036}"/>
    <cellStyle name="20% - Accent2 2 2 2 8 3" xfId="34965" xr:uid="{287C0A60-71C5-4112-AFFE-6657CA8280B7}"/>
    <cellStyle name="20% - Accent2 2 2 2 9" xfId="9624" xr:uid="{B23DA153-4270-49C9-A109-8155BC857B41}"/>
    <cellStyle name="20% - Accent2 2 2 3" xfId="580" xr:uid="{00000000-0005-0000-0000-0000B8000000}"/>
    <cellStyle name="20% - Accent2 2 2 3 2" xfId="2851" xr:uid="{00000000-0005-0000-0000-0000B9000000}"/>
    <cellStyle name="20% - Accent2 2 2 3 2 2" xfId="7073" xr:uid="{00000000-0005-0000-0000-0000BA000000}"/>
    <cellStyle name="20% - Accent2 2 2 3 2 2 2" xfId="24846" xr:uid="{BD32F677-7031-4260-812B-D58C3302E895}"/>
    <cellStyle name="20% - Accent2 2 2 3 2 2 2 2" xfId="41740" xr:uid="{6ADF6F54-4B9D-46D4-A5EF-F5BC6A9F0095}"/>
    <cellStyle name="20% - Accent2 2 2 3 2 2 3" xfId="16399" xr:uid="{0283A2C5-D63B-4DAB-824E-EBA6C79D50C5}"/>
    <cellStyle name="20% - Accent2 2 2 3 2 2 4" xfId="33293" xr:uid="{6988FC86-100F-4B1F-AB0B-5267E4C2C863}"/>
    <cellStyle name="20% - Accent2 2 2 3 2 3" xfId="20629" xr:uid="{97C402F5-ABED-411D-BE59-707030B2FFEF}"/>
    <cellStyle name="20% - Accent2 2 2 3 2 3 2" xfId="37523" xr:uid="{E4484DC4-688F-47F2-BBCC-BACDF72B73F6}"/>
    <cellStyle name="20% - Accent2 2 2 3 2 4" xfId="12182" xr:uid="{CAEDC4A7-316D-4CFC-9A4D-693B1DA48F90}"/>
    <cellStyle name="20% - Accent2 2 2 3 2 5" xfId="29076" xr:uid="{45A22467-3866-4487-8DE5-8F084B6F0E39}"/>
    <cellStyle name="20% - Accent2 2 2 3 3" xfId="4928" xr:uid="{00000000-0005-0000-0000-0000BB000000}"/>
    <cellStyle name="20% - Accent2 2 2 3 3 2" xfId="22701" xr:uid="{2B032D95-38EB-4D19-9B36-E0CF14C3DC3B}"/>
    <cellStyle name="20% - Accent2 2 2 3 3 2 2" xfId="39595" xr:uid="{1C52A065-73C8-498A-B258-54660C10E0ED}"/>
    <cellStyle name="20% - Accent2 2 2 3 3 3" xfId="14254" xr:uid="{6B05D86A-796C-42E9-BC60-D3ACB7AF24CC}"/>
    <cellStyle name="20% - Accent2 2 2 3 3 4" xfId="31148" xr:uid="{6C612A37-8975-47A8-9515-3F42FC351965}"/>
    <cellStyle name="20% - Accent2 2 2 3 4" xfId="9321" xr:uid="{32B21C3A-E360-4F19-B469-1116F045A0F3}"/>
    <cellStyle name="20% - Accent2 2 2 3 4 2" xfId="18484" xr:uid="{7F0E13D4-1F22-4425-92C4-8734A73CFC80}"/>
    <cellStyle name="20% - Accent2 2 2 3 4 3" xfId="35378" xr:uid="{5C4EFDE5-6DB0-4CC9-A183-E34F11F5B502}"/>
    <cellStyle name="20% - Accent2 2 2 3 5" xfId="10037" xr:uid="{276D548B-7A3A-40D5-8CD1-D23FF25DCD96}"/>
    <cellStyle name="20% - Accent2 2 2 3 6" xfId="26931" xr:uid="{3A897C49-C37F-4789-95D0-3993956F451B}"/>
    <cellStyle name="20% - Accent2 2 2 4" xfId="1033" xr:uid="{00000000-0005-0000-0000-0000BC000000}"/>
    <cellStyle name="20% - Accent2 2 2 4 2" xfId="3264" xr:uid="{00000000-0005-0000-0000-0000BD000000}"/>
    <cellStyle name="20% - Accent2 2 2 4 2 2" xfId="7486" xr:uid="{00000000-0005-0000-0000-0000BE000000}"/>
    <cellStyle name="20% - Accent2 2 2 4 2 2 2" xfId="25259" xr:uid="{B60F02C8-67DA-4EFA-B6A6-10292FCB223F}"/>
    <cellStyle name="20% - Accent2 2 2 4 2 2 2 2" xfId="42153" xr:uid="{8C482A5A-4C78-4727-A918-6EE591DC0B97}"/>
    <cellStyle name="20% - Accent2 2 2 4 2 2 3" xfId="16812" xr:uid="{F09E99AD-4532-418B-B8C9-BEEAD513DB75}"/>
    <cellStyle name="20% - Accent2 2 2 4 2 2 4" xfId="33706" xr:uid="{DDBBE96A-ADE8-4B61-9C1F-0CCCB7E82240}"/>
    <cellStyle name="20% - Accent2 2 2 4 2 3" xfId="21042" xr:uid="{DF8B3CA2-B288-4EED-A9A2-CCF621C32413}"/>
    <cellStyle name="20% - Accent2 2 2 4 2 3 2" xfId="37936" xr:uid="{B7D194B9-B98C-46DC-94B4-812CE0BB3A77}"/>
    <cellStyle name="20% - Accent2 2 2 4 2 4" xfId="12595" xr:uid="{1254E9CA-D0F9-40E2-8830-B14FAA5041C2}"/>
    <cellStyle name="20% - Accent2 2 2 4 2 5" xfId="29489" xr:uid="{D6039A73-29AE-412E-8A8D-FD072AF9881B}"/>
    <cellStyle name="20% - Accent2 2 2 4 3" xfId="5341" xr:uid="{00000000-0005-0000-0000-0000BF000000}"/>
    <cellStyle name="20% - Accent2 2 2 4 3 2" xfId="23114" xr:uid="{C2DF8A53-D98E-4E0F-9B8D-89EACEC4BD14}"/>
    <cellStyle name="20% - Accent2 2 2 4 3 2 2" xfId="40008" xr:uid="{91A1141D-9876-4070-9F07-9FE33031CA0C}"/>
    <cellStyle name="20% - Accent2 2 2 4 3 3" xfId="14667" xr:uid="{4C1104AA-BFD0-4052-A883-BA38FB43A9CE}"/>
    <cellStyle name="20% - Accent2 2 2 4 3 4" xfId="31561" xr:uid="{45FFDB83-9732-434E-8A42-7DBF53A26F0C}"/>
    <cellStyle name="20% - Accent2 2 2 4 4" xfId="18897" xr:uid="{68923A2B-65F1-4BAF-8E1E-58F00DC55940}"/>
    <cellStyle name="20% - Accent2 2 2 4 4 2" xfId="35791" xr:uid="{7FB90BD2-F079-4C10-8E71-53BC153B03E5}"/>
    <cellStyle name="20% - Accent2 2 2 4 5" xfId="10450" xr:uid="{78BF1159-6187-4ED8-A6E6-79084A4EF7CB}"/>
    <cellStyle name="20% - Accent2 2 2 4 6" xfId="27344" xr:uid="{69B99BCA-0ECF-4956-B153-78223095D879}"/>
    <cellStyle name="20% - Accent2 2 2 5" xfId="1447" xr:uid="{00000000-0005-0000-0000-0000C0000000}"/>
    <cellStyle name="20% - Accent2 2 2 5 2" xfId="3677" xr:uid="{00000000-0005-0000-0000-0000C1000000}"/>
    <cellStyle name="20% - Accent2 2 2 5 2 2" xfId="7899" xr:uid="{00000000-0005-0000-0000-0000C2000000}"/>
    <cellStyle name="20% - Accent2 2 2 5 2 2 2" xfId="25672" xr:uid="{492BADEF-D47A-4388-AAFA-A117B0ECDB75}"/>
    <cellStyle name="20% - Accent2 2 2 5 2 2 2 2" xfId="42566" xr:uid="{8C9769FE-4C7F-4336-B6C3-0F4476EED9A5}"/>
    <cellStyle name="20% - Accent2 2 2 5 2 2 3" xfId="17225" xr:uid="{5392DEEA-E417-45FA-93D7-CB14123AA0D0}"/>
    <cellStyle name="20% - Accent2 2 2 5 2 2 4" xfId="34119" xr:uid="{E49AEF9A-18E9-48AF-AFD9-5DEB18B995E8}"/>
    <cellStyle name="20% - Accent2 2 2 5 2 3" xfId="21455" xr:uid="{C1003B58-589D-47F8-8F9A-801D212A1A1C}"/>
    <cellStyle name="20% - Accent2 2 2 5 2 3 2" xfId="38349" xr:uid="{F61D947C-9575-4790-9348-FEC6BAFFEDEE}"/>
    <cellStyle name="20% - Accent2 2 2 5 2 4" xfId="13008" xr:uid="{7C5A964A-ED03-4BBA-A646-C22EAAD9F535}"/>
    <cellStyle name="20% - Accent2 2 2 5 2 5" xfId="29902" xr:uid="{5A5BF056-AFD4-4C86-B17F-8DB5A8B9147F}"/>
    <cellStyle name="20% - Accent2 2 2 5 3" xfId="5754" xr:uid="{00000000-0005-0000-0000-0000C3000000}"/>
    <cellStyle name="20% - Accent2 2 2 5 3 2" xfId="23527" xr:uid="{5B9BCB64-DBAE-4A89-B9EE-5B75B122FF4B}"/>
    <cellStyle name="20% - Accent2 2 2 5 3 2 2" xfId="40421" xr:uid="{B84C84F4-2839-4786-B8AE-E8AA1910181C}"/>
    <cellStyle name="20% - Accent2 2 2 5 3 3" xfId="15080" xr:uid="{D37D1A5B-0209-4B5D-BE52-27F750628851}"/>
    <cellStyle name="20% - Accent2 2 2 5 3 4" xfId="31974" xr:uid="{3500EC2F-E389-477B-92D7-BD0F681ECA06}"/>
    <cellStyle name="20% - Accent2 2 2 5 4" xfId="19310" xr:uid="{B62D7765-FF32-4DF3-8881-81983948C201}"/>
    <cellStyle name="20% - Accent2 2 2 5 4 2" xfId="36204" xr:uid="{25AD4A2B-9D04-4787-B5BD-6B8E36C1487B}"/>
    <cellStyle name="20% - Accent2 2 2 5 5" xfId="10863" xr:uid="{4141C860-DA33-4972-8501-CB4DB5D75ED8}"/>
    <cellStyle name="20% - Accent2 2 2 5 6" xfId="27757" xr:uid="{EEC8D213-8CD5-47D8-9F5D-BFFFA5DBF66F}"/>
    <cellStyle name="20% - Accent2 2 2 6" xfId="1861" xr:uid="{00000000-0005-0000-0000-0000C4000000}"/>
    <cellStyle name="20% - Accent2 2 2 6 2" xfId="4090" xr:uid="{00000000-0005-0000-0000-0000C5000000}"/>
    <cellStyle name="20% - Accent2 2 2 6 2 2" xfId="8312" xr:uid="{00000000-0005-0000-0000-0000C6000000}"/>
    <cellStyle name="20% - Accent2 2 2 6 2 2 2" xfId="26085" xr:uid="{7B5FEC27-CE94-490D-8C9E-3DAD9132A19B}"/>
    <cellStyle name="20% - Accent2 2 2 6 2 2 2 2" xfId="42979" xr:uid="{50537B81-58C0-4E47-94A1-A723BF05B632}"/>
    <cellStyle name="20% - Accent2 2 2 6 2 2 3" xfId="17638" xr:uid="{70242791-4F49-4415-8FD7-6FEB3FCD4BB9}"/>
    <cellStyle name="20% - Accent2 2 2 6 2 2 4" xfId="34532" xr:uid="{AC275267-F4EE-43DB-A375-D7DD538858D9}"/>
    <cellStyle name="20% - Accent2 2 2 6 2 3" xfId="21868" xr:uid="{F2F3DEF3-5397-4A5D-A99B-8E892489232B}"/>
    <cellStyle name="20% - Accent2 2 2 6 2 3 2" xfId="38762" xr:uid="{C1224E5B-CA47-43D8-8A3B-F6EFB183D070}"/>
    <cellStyle name="20% - Accent2 2 2 6 2 4" xfId="13421" xr:uid="{2AED8B93-D4C9-4568-8CD7-5E24CB0E4A69}"/>
    <cellStyle name="20% - Accent2 2 2 6 2 5" xfId="30315" xr:uid="{3A6D897E-A644-4ABF-8E59-1DAD9C95F26B}"/>
    <cellStyle name="20% - Accent2 2 2 6 3" xfId="6167" xr:uid="{00000000-0005-0000-0000-0000C7000000}"/>
    <cellStyle name="20% - Accent2 2 2 6 3 2" xfId="23940" xr:uid="{87A8DA1B-BA2B-4B00-92DC-65D902E55978}"/>
    <cellStyle name="20% - Accent2 2 2 6 3 2 2" xfId="40834" xr:uid="{0BF3FAA1-83F8-430B-AA16-C4602F615FA7}"/>
    <cellStyle name="20% - Accent2 2 2 6 3 3" xfId="15493" xr:uid="{68F1A339-A6E6-4A4D-904B-3B48F7F29BDA}"/>
    <cellStyle name="20% - Accent2 2 2 6 3 4" xfId="32387" xr:uid="{3D80EC38-0C16-42DF-AB99-9379B0EB73E9}"/>
    <cellStyle name="20% - Accent2 2 2 6 4" xfId="19723" xr:uid="{93B7D08D-B697-48FC-8211-E7A04CB014C3}"/>
    <cellStyle name="20% - Accent2 2 2 6 4 2" xfId="36617" xr:uid="{8FBAC4F9-8654-45C3-8444-6A175EEBB870}"/>
    <cellStyle name="20% - Accent2 2 2 6 5" xfId="11276" xr:uid="{680719E0-5E01-4421-8411-317CC6220589}"/>
    <cellStyle name="20% - Accent2 2 2 6 6" xfId="28170" xr:uid="{175B3887-0D10-4B04-8428-88F104DD502B}"/>
    <cellStyle name="20% - Accent2 2 2 7" xfId="2274" xr:uid="{00000000-0005-0000-0000-0000C8000000}"/>
    <cellStyle name="20% - Accent2 2 2 7 2" xfId="6580" xr:uid="{00000000-0005-0000-0000-0000C9000000}"/>
    <cellStyle name="20% - Accent2 2 2 7 2 2" xfId="24353" xr:uid="{89CE4B95-DE7D-43D2-8F6B-8B448121626E}"/>
    <cellStyle name="20% - Accent2 2 2 7 2 2 2" xfId="41247" xr:uid="{80CB01B6-801C-4156-A869-975657254C04}"/>
    <cellStyle name="20% - Accent2 2 2 7 2 3" xfId="15906" xr:uid="{A1CC47FF-6A84-45E0-B797-5EE3EA329EBC}"/>
    <cellStyle name="20% - Accent2 2 2 7 2 4" xfId="32800" xr:uid="{5781DE87-3B6C-4137-BA00-032EE63F89D6}"/>
    <cellStyle name="20% - Accent2 2 2 7 3" xfId="20136" xr:uid="{53F4A38D-2743-403E-98CE-599CF53141B3}"/>
    <cellStyle name="20% - Accent2 2 2 7 3 2" xfId="37030" xr:uid="{D5412114-3A8C-4078-821C-6C3A3671BDFF}"/>
    <cellStyle name="20% - Accent2 2 2 7 4" xfId="11689" xr:uid="{4969EFC8-228E-45E7-8CDE-E5E533232264}"/>
    <cellStyle name="20% - Accent2 2 2 7 5" xfId="28583" xr:uid="{6DEE73C4-E9A7-417D-B220-7C52CF3E209D}"/>
    <cellStyle name="20% - Accent2 2 2 8" xfId="4514" xr:uid="{00000000-0005-0000-0000-0000CA000000}"/>
    <cellStyle name="20% - Accent2 2 2 8 2" xfId="22287" xr:uid="{835E1989-7EBC-41BD-82D3-B6D4F8F7F609}"/>
    <cellStyle name="20% - Accent2 2 2 8 2 2" xfId="39181" xr:uid="{20D0D13E-3C67-4B75-9910-8816000F5726}"/>
    <cellStyle name="20% - Accent2 2 2 8 3" xfId="13840" xr:uid="{28634F4D-B468-4A6A-8E2F-1407053C8903}"/>
    <cellStyle name="20% - Accent2 2 2 8 4" xfId="30734" xr:uid="{7ED2DEA2-DDDF-4620-BD31-D9DD06C31D7F}"/>
    <cellStyle name="20% - Accent2 2 2 9" xfId="8896" xr:uid="{7CDAA0F1-5BE6-4749-AD4D-5424E0EA26D8}"/>
    <cellStyle name="20% - Accent2 2 2 9 2" xfId="18070" xr:uid="{5AFA924B-3776-4A7B-BE6C-8A73B7D55F6D}"/>
    <cellStyle name="20% - Accent2 2 2 9 3" xfId="34964" xr:uid="{1C0A5709-9BE6-4B62-8508-DAC6D10091BA}"/>
    <cellStyle name="20% - Accent2 2 3" xfId="13" xr:uid="{00000000-0005-0000-0000-0000CB000000}"/>
    <cellStyle name="20% - Accent2 2 3 10" xfId="26519" xr:uid="{1EF3D4E9-38CB-48F2-9F0A-49BBEDBFD576}"/>
    <cellStyle name="20% - Accent2 2 3 2" xfId="582" xr:uid="{00000000-0005-0000-0000-0000CC000000}"/>
    <cellStyle name="20% - Accent2 2 3 2 2" xfId="2853" xr:uid="{00000000-0005-0000-0000-0000CD000000}"/>
    <cellStyle name="20% - Accent2 2 3 2 2 2" xfId="7075" xr:uid="{00000000-0005-0000-0000-0000CE000000}"/>
    <cellStyle name="20% - Accent2 2 3 2 2 2 2" xfId="24848" xr:uid="{EC75EC92-220A-40BF-8CC1-36D12212B1CC}"/>
    <cellStyle name="20% - Accent2 2 3 2 2 2 2 2" xfId="41742" xr:uid="{FB1D2541-5962-489B-B1B2-5D25F84C1D72}"/>
    <cellStyle name="20% - Accent2 2 3 2 2 2 3" xfId="16401" xr:uid="{8E9E2290-2BFC-487D-BC86-CCF1B7D5D9EC}"/>
    <cellStyle name="20% - Accent2 2 3 2 2 2 4" xfId="33295" xr:uid="{603D8582-1D6A-4358-A98A-512878DD6D33}"/>
    <cellStyle name="20% - Accent2 2 3 2 2 3" xfId="20631" xr:uid="{D8D38157-4FDF-41F9-A240-B7B73EC6C0D6}"/>
    <cellStyle name="20% - Accent2 2 3 2 2 3 2" xfId="37525" xr:uid="{FCB56306-CBCD-4AE3-8BE9-76DF50CCF5D6}"/>
    <cellStyle name="20% - Accent2 2 3 2 2 4" xfId="12184" xr:uid="{ADF9165C-30BD-4C99-A6BD-95CF0D8492C6}"/>
    <cellStyle name="20% - Accent2 2 3 2 2 5" xfId="29078" xr:uid="{B3A8416A-740F-4AFF-AC19-91AA2B98F9CB}"/>
    <cellStyle name="20% - Accent2 2 3 2 3" xfId="4930" xr:uid="{00000000-0005-0000-0000-0000CF000000}"/>
    <cellStyle name="20% - Accent2 2 3 2 3 2" xfId="22703" xr:uid="{A2471BA1-CF5C-4F3E-9E96-EF897D5E407B}"/>
    <cellStyle name="20% - Accent2 2 3 2 3 2 2" xfId="39597" xr:uid="{1606BAC5-53C6-4D2B-AFBE-B427E6C8818B}"/>
    <cellStyle name="20% - Accent2 2 3 2 3 3" xfId="14256" xr:uid="{9BDB7EA0-8FBC-455E-B453-091DF7209D1E}"/>
    <cellStyle name="20% - Accent2 2 3 2 3 4" xfId="31150" xr:uid="{D8B0EAB6-C0EE-4F36-A340-E905F4A4DFD9}"/>
    <cellStyle name="20% - Accent2 2 3 2 4" xfId="9425" xr:uid="{35BECFF4-0F5A-4F6E-AE6E-354891135B4F}"/>
    <cellStyle name="20% - Accent2 2 3 2 4 2" xfId="18486" xr:uid="{CDC99F4A-01ED-4177-9534-72479188EC1E}"/>
    <cellStyle name="20% - Accent2 2 3 2 4 3" xfId="35380" xr:uid="{4322D164-914A-4949-A091-25ADE7BBEBC8}"/>
    <cellStyle name="20% - Accent2 2 3 2 5" xfId="10039" xr:uid="{C5FEFA0D-F55C-4B84-919A-FDAE9147EC71}"/>
    <cellStyle name="20% - Accent2 2 3 2 6" xfId="26933" xr:uid="{3DD35D96-6DB2-4783-B4FF-4CC085B5D5C9}"/>
    <cellStyle name="20% - Accent2 2 3 3" xfId="1035" xr:uid="{00000000-0005-0000-0000-0000D0000000}"/>
    <cellStyle name="20% - Accent2 2 3 3 2" xfId="3266" xr:uid="{00000000-0005-0000-0000-0000D1000000}"/>
    <cellStyle name="20% - Accent2 2 3 3 2 2" xfId="7488" xr:uid="{00000000-0005-0000-0000-0000D2000000}"/>
    <cellStyle name="20% - Accent2 2 3 3 2 2 2" xfId="25261" xr:uid="{839C23FC-0F7E-4850-9E34-B9C8B2DAF269}"/>
    <cellStyle name="20% - Accent2 2 3 3 2 2 2 2" xfId="42155" xr:uid="{255C2645-E74B-4215-ACFB-F65F137A5988}"/>
    <cellStyle name="20% - Accent2 2 3 3 2 2 3" xfId="16814" xr:uid="{DE6D30F4-07C4-47A3-B978-8532EBA2609D}"/>
    <cellStyle name="20% - Accent2 2 3 3 2 2 4" xfId="33708" xr:uid="{647C8795-54F4-45FD-9597-BB8C79ED4DFD}"/>
    <cellStyle name="20% - Accent2 2 3 3 2 3" xfId="21044" xr:uid="{125F40F1-F380-47DF-8713-296DD72AB0E4}"/>
    <cellStyle name="20% - Accent2 2 3 3 2 3 2" xfId="37938" xr:uid="{A9F92F03-B602-46F5-AC8F-73A4C539583B}"/>
    <cellStyle name="20% - Accent2 2 3 3 2 4" xfId="12597" xr:uid="{3837134D-3560-412A-8667-FDF24542903B}"/>
    <cellStyle name="20% - Accent2 2 3 3 2 5" xfId="29491" xr:uid="{45E8D957-0464-4728-9A9C-507DC0D5029C}"/>
    <cellStyle name="20% - Accent2 2 3 3 3" xfId="5343" xr:uid="{00000000-0005-0000-0000-0000D3000000}"/>
    <cellStyle name="20% - Accent2 2 3 3 3 2" xfId="23116" xr:uid="{8785B10E-5384-4E22-AB61-EBC9578AEAF2}"/>
    <cellStyle name="20% - Accent2 2 3 3 3 2 2" xfId="40010" xr:uid="{5ADDCA93-4A78-4987-9607-035F17C6D336}"/>
    <cellStyle name="20% - Accent2 2 3 3 3 3" xfId="14669" xr:uid="{4159D906-F0B5-41E9-9AFF-A2196587D51B}"/>
    <cellStyle name="20% - Accent2 2 3 3 3 4" xfId="31563" xr:uid="{9F87843F-651C-43CE-9396-C80C26ABAE85}"/>
    <cellStyle name="20% - Accent2 2 3 3 4" xfId="18899" xr:uid="{C8B74DC4-B066-4E1C-9FF7-4CCCD76139BA}"/>
    <cellStyle name="20% - Accent2 2 3 3 4 2" xfId="35793" xr:uid="{4DFF34C0-A067-483B-9F76-8C8AC34062CC}"/>
    <cellStyle name="20% - Accent2 2 3 3 5" xfId="10452" xr:uid="{B38F0B7F-2A40-467C-A9B4-36393040379B}"/>
    <cellStyle name="20% - Accent2 2 3 3 6" xfId="27346" xr:uid="{B2D70EFC-C340-4E8B-BEE6-FCC5EA454028}"/>
    <cellStyle name="20% - Accent2 2 3 4" xfId="1449" xr:uid="{00000000-0005-0000-0000-0000D4000000}"/>
    <cellStyle name="20% - Accent2 2 3 4 2" xfId="3679" xr:uid="{00000000-0005-0000-0000-0000D5000000}"/>
    <cellStyle name="20% - Accent2 2 3 4 2 2" xfId="7901" xr:uid="{00000000-0005-0000-0000-0000D6000000}"/>
    <cellStyle name="20% - Accent2 2 3 4 2 2 2" xfId="25674" xr:uid="{F304FDE7-5B67-4C9E-9749-9809A8D74468}"/>
    <cellStyle name="20% - Accent2 2 3 4 2 2 2 2" xfId="42568" xr:uid="{8D1A317A-8E17-4E5F-A327-52D9D310FAA1}"/>
    <cellStyle name="20% - Accent2 2 3 4 2 2 3" xfId="17227" xr:uid="{9AA2BA4B-6728-451E-9FA6-1E1413C7C699}"/>
    <cellStyle name="20% - Accent2 2 3 4 2 2 4" xfId="34121" xr:uid="{6B457407-432D-47AA-AE59-7E423E6ABAB9}"/>
    <cellStyle name="20% - Accent2 2 3 4 2 3" xfId="21457" xr:uid="{2D5E7533-B15A-4AE7-8F87-4A8D49765F79}"/>
    <cellStyle name="20% - Accent2 2 3 4 2 3 2" xfId="38351" xr:uid="{F73656CF-C10A-4968-B817-5A26FA5895A1}"/>
    <cellStyle name="20% - Accent2 2 3 4 2 4" xfId="13010" xr:uid="{F4C43882-EE52-4917-A8E2-6970CF8BE802}"/>
    <cellStyle name="20% - Accent2 2 3 4 2 5" xfId="29904" xr:uid="{123722D9-D2C6-42B6-A849-CC823716EC30}"/>
    <cellStyle name="20% - Accent2 2 3 4 3" xfId="5756" xr:uid="{00000000-0005-0000-0000-0000D7000000}"/>
    <cellStyle name="20% - Accent2 2 3 4 3 2" xfId="23529" xr:uid="{7651BAD7-7AE0-4971-BB9A-604648E9D237}"/>
    <cellStyle name="20% - Accent2 2 3 4 3 2 2" xfId="40423" xr:uid="{C4DDFFD3-5CE2-4D22-A71C-11C069359E07}"/>
    <cellStyle name="20% - Accent2 2 3 4 3 3" xfId="15082" xr:uid="{D8C71E7E-2BD3-4B12-AB34-4B73C108AD1F}"/>
    <cellStyle name="20% - Accent2 2 3 4 3 4" xfId="31976" xr:uid="{D2F313F6-AFBD-4605-8A07-4CB42ED090F3}"/>
    <cellStyle name="20% - Accent2 2 3 4 4" xfId="19312" xr:uid="{32022DE8-C173-4D72-9A37-40EE1D2F9F63}"/>
    <cellStyle name="20% - Accent2 2 3 4 4 2" xfId="36206" xr:uid="{961401B3-CF86-4D8C-9297-C40DB973116C}"/>
    <cellStyle name="20% - Accent2 2 3 4 5" xfId="10865" xr:uid="{8F6D73F5-40BF-459D-AC83-9790C11CDCC5}"/>
    <cellStyle name="20% - Accent2 2 3 4 6" xfId="27759" xr:uid="{0EF7F6ED-4609-41CF-A360-D278EDE1B978}"/>
    <cellStyle name="20% - Accent2 2 3 5" xfId="1863" xr:uid="{00000000-0005-0000-0000-0000D8000000}"/>
    <cellStyle name="20% - Accent2 2 3 5 2" xfId="4092" xr:uid="{00000000-0005-0000-0000-0000D9000000}"/>
    <cellStyle name="20% - Accent2 2 3 5 2 2" xfId="8314" xr:uid="{00000000-0005-0000-0000-0000DA000000}"/>
    <cellStyle name="20% - Accent2 2 3 5 2 2 2" xfId="26087" xr:uid="{EC1F0C55-38BE-4346-919D-3684D17BBFEC}"/>
    <cellStyle name="20% - Accent2 2 3 5 2 2 2 2" xfId="42981" xr:uid="{E452244B-0912-4E13-8F86-565639D368AC}"/>
    <cellStyle name="20% - Accent2 2 3 5 2 2 3" xfId="17640" xr:uid="{FE27E9E0-2B29-4ED9-BC0C-FCEA7371FB45}"/>
    <cellStyle name="20% - Accent2 2 3 5 2 2 4" xfId="34534" xr:uid="{F7FA7E4A-39E1-43FE-BB58-E824A322AB82}"/>
    <cellStyle name="20% - Accent2 2 3 5 2 3" xfId="21870" xr:uid="{3A3B74B7-2DDB-43FB-9845-93BEDE6EAA55}"/>
    <cellStyle name="20% - Accent2 2 3 5 2 3 2" xfId="38764" xr:uid="{6915A925-5454-46CB-A0CA-90D69CC16DB9}"/>
    <cellStyle name="20% - Accent2 2 3 5 2 4" xfId="13423" xr:uid="{3ABBB25A-CE3C-4AD2-B508-61D85898462B}"/>
    <cellStyle name="20% - Accent2 2 3 5 2 5" xfId="30317" xr:uid="{D04A6E6D-661A-476B-8121-0C886DCE694C}"/>
    <cellStyle name="20% - Accent2 2 3 5 3" xfId="6169" xr:uid="{00000000-0005-0000-0000-0000DB000000}"/>
    <cellStyle name="20% - Accent2 2 3 5 3 2" xfId="23942" xr:uid="{67C405F0-F21C-466A-9FAC-34E4691AD9A8}"/>
    <cellStyle name="20% - Accent2 2 3 5 3 2 2" xfId="40836" xr:uid="{5C8928CE-F57B-4009-B532-ECC89C7C0F9B}"/>
    <cellStyle name="20% - Accent2 2 3 5 3 3" xfId="15495" xr:uid="{F73E3B81-954A-4656-A806-91F141DF8453}"/>
    <cellStyle name="20% - Accent2 2 3 5 3 4" xfId="32389" xr:uid="{CCFB027C-2937-4C99-81A4-B8BCCEA9AEC9}"/>
    <cellStyle name="20% - Accent2 2 3 5 4" xfId="19725" xr:uid="{6320B275-B89E-4AF8-9C66-C88DDF54E19A}"/>
    <cellStyle name="20% - Accent2 2 3 5 4 2" xfId="36619" xr:uid="{1830A503-A192-40F6-95CC-843B42508D6C}"/>
    <cellStyle name="20% - Accent2 2 3 5 5" xfId="11278" xr:uid="{FE846CE9-D972-419A-84E6-237560D88F8F}"/>
    <cellStyle name="20% - Accent2 2 3 5 6" xfId="28172" xr:uid="{52E046A4-49E5-4948-8D25-2E706D75AEC5}"/>
    <cellStyle name="20% - Accent2 2 3 6" xfId="2276" xr:uid="{00000000-0005-0000-0000-0000DC000000}"/>
    <cellStyle name="20% - Accent2 2 3 6 2" xfId="6582" xr:uid="{00000000-0005-0000-0000-0000DD000000}"/>
    <cellStyle name="20% - Accent2 2 3 6 2 2" xfId="24355" xr:uid="{95A25955-AA97-4A6C-9B55-03DAC4D3546C}"/>
    <cellStyle name="20% - Accent2 2 3 6 2 2 2" xfId="41249" xr:uid="{8A0317A8-3D61-4935-AEDF-3EC2E0CA8A90}"/>
    <cellStyle name="20% - Accent2 2 3 6 2 3" xfId="15908" xr:uid="{C0FCBCB6-9F7F-4ECA-9637-8AEB4DCDC9DE}"/>
    <cellStyle name="20% - Accent2 2 3 6 2 4" xfId="32802" xr:uid="{ACC5D083-C8B0-4C10-AB0F-EFDA388809C7}"/>
    <cellStyle name="20% - Accent2 2 3 6 3" xfId="20138" xr:uid="{A6DC440B-0F08-4306-B1F7-3844CA0334C4}"/>
    <cellStyle name="20% - Accent2 2 3 6 3 2" xfId="37032" xr:uid="{5CDD2BB1-B002-439C-8D30-4E980145CE40}"/>
    <cellStyle name="20% - Accent2 2 3 6 4" xfId="11691" xr:uid="{38519EB9-77D7-44C7-9103-7CE4CAFDEC46}"/>
    <cellStyle name="20% - Accent2 2 3 6 5" xfId="28585" xr:uid="{F3D097E3-C401-43A5-B369-D46AFA7F9C01}"/>
    <cellStyle name="20% - Accent2 2 3 7" xfId="4516" xr:uid="{00000000-0005-0000-0000-0000DE000000}"/>
    <cellStyle name="20% - Accent2 2 3 7 2" xfId="22289" xr:uid="{13633F49-012E-4298-A46D-E0FF3F3FA002}"/>
    <cellStyle name="20% - Accent2 2 3 7 2 2" xfId="39183" xr:uid="{1DFF2BF9-C546-4448-9BCA-A37E2054596C}"/>
    <cellStyle name="20% - Accent2 2 3 7 3" xfId="13842" xr:uid="{B2642FB6-23B4-4181-B309-DDBF6D5E380E}"/>
    <cellStyle name="20% - Accent2 2 3 7 4" xfId="30736" xr:uid="{6EE02425-3B1C-4F51-9172-1DAF38A2F135}"/>
    <cellStyle name="20% - Accent2 2 3 8" xfId="9000" xr:uid="{133DFC5C-F2FF-49E9-82EE-ABAA9C815393}"/>
    <cellStyle name="20% - Accent2 2 3 8 2" xfId="18072" xr:uid="{A0928FB3-D6BD-49EF-B31C-8900706453F4}"/>
    <cellStyle name="20% - Accent2 2 3 8 3" xfId="34966" xr:uid="{CD4CB826-E3C7-4246-A934-0DB41AE30C5A}"/>
    <cellStyle name="20% - Accent2 2 3 9" xfId="9625" xr:uid="{8AB03D3C-B96D-4EFE-9C34-7D21A471D19B}"/>
    <cellStyle name="20% - Accent2 2 4" xfId="579" xr:uid="{00000000-0005-0000-0000-0000DF000000}"/>
    <cellStyle name="20% - Accent2 2 4 2" xfId="2850" xr:uid="{00000000-0005-0000-0000-0000E0000000}"/>
    <cellStyle name="20% - Accent2 2 4 2 2" xfId="7072" xr:uid="{00000000-0005-0000-0000-0000E1000000}"/>
    <cellStyle name="20% - Accent2 2 4 2 2 2" xfId="24845" xr:uid="{DE0B90E1-F854-4945-8D2F-4EF971D6EEE7}"/>
    <cellStyle name="20% - Accent2 2 4 2 2 2 2" xfId="41739" xr:uid="{0F89B9AA-6D90-4E82-8104-8FED33E4966C}"/>
    <cellStyle name="20% - Accent2 2 4 2 2 3" xfId="16398" xr:uid="{9A17218C-CA50-4B21-8120-63DCA233C71B}"/>
    <cellStyle name="20% - Accent2 2 4 2 2 4" xfId="33292" xr:uid="{6E27E65E-6BC1-441B-AC43-5AE4EA42BF65}"/>
    <cellStyle name="20% - Accent2 2 4 2 3" xfId="20628" xr:uid="{6CEEE39D-C83B-4432-BF14-994A8783C105}"/>
    <cellStyle name="20% - Accent2 2 4 2 3 2" xfId="37522" xr:uid="{2243B4FD-CAC3-4BA8-96E6-8ADF7315A348}"/>
    <cellStyle name="20% - Accent2 2 4 2 4" xfId="12181" xr:uid="{DD81C647-B7C5-4856-8B56-34E8CAD20CD1}"/>
    <cellStyle name="20% - Accent2 2 4 2 5" xfId="29075" xr:uid="{1AF66893-59A5-46F3-B7AB-2DFE8EC59F1F}"/>
    <cellStyle name="20% - Accent2 2 4 3" xfId="4927" xr:uid="{00000000-0005-0000-0000-0000E2000000}"/>
    <cellStyle name="20% - Accent2 2 4 3 2" xfId="22700" xr:uid="{A075EAAE-6059-4D31-BEDF-080C917B93BA}"/>
    <cellStyle name="20% - Accent2 2 4 3 2 2" xfId="39594" xr:uid="{248D80F1-71FA-47C5-BA71-5B5ED2B2780F}"/>
    <cellStyle name="20% - Accent2 2 4 3 3" xfId="14253" xr:uid="{444FDDC1-BFFB-4988-812F-4A3AF655529C}"/>
    <cellStyle name="20% - Accent2 2 4 3 4" xfId="31147" xr:uid="{FC0A8286-3E7F-478B-AA5D-0BE3BE235E37}"/>
    <cellStyle name="20% - Accent2 2 4 4" xfId="9217" xr:uid="{28DDC3F5-BA57-40F8-8D06-6CFF141CF9A1}"/>
    <cellStyle name="20% - Accent2 2 4 4 2" xfId="18483" xr:uid="{7871A4AC-9793-4C8A-B39E-E471777103FF}"/>
    <cellStyle name="20% - Accent2 2 4 4 3" xfId="35377" xr:uid="{FBAB7C9E-1979-457F-A8B6-EDD1A9DAD5CD}"/>
    <cellStyle name="20% - Accent2 2 4 5" xfId="10036" xr:uid="{D3A5CA63-17D9-41DB-B98B-B4BC5025AC0A}"/>
    <cellStyle name="20% - Accent2 2 4 6" xfId="26930" xr:uid="{B5BCE459-37EC-401C-97B5-AB07AB285A1F}"/>
    <cellStyle name="20% - Accent2 2 5" xfId="1032" xr:uid="{00000000-0005-0000-0000-0000E3000000}"/>
    <cellStyle name="20% - Accent2 2 5 2" xfId="3263" xr:uid="{00000000-0005-0000-0000-0000E4000000}"/>
    <cellStyle name="20% - Accent2 2 5 2 2" xfId="7485" xr:uid="{00000000-0005-0000-0000-0000E5000000}"/>
    <cellStyle name="20% - Accent2 2 5 2 2 2" xfId="25258" xr:uid="{EA39E6FB-A03B-4D88-951B-546428804E03}"/>
    <cellStyle name="20% - Accent2 2 5 2 2 2 2" xfId="42152" xr:uid="{5814EEE2-E08E-4283-9CD8-0B0A5A2517D8}"/>
    <cellStyle name="20% - Accent2 2 5 2 2 3" xfId="16811" xr:uid="{B3E15874-E473-497D-BCDB-4DB39883A07D}"/>
    <cellStyle name="20% - Accent2 2 5 2 2 4" xfId="33705" xr:uid="{899C3C14-8CF4-4359-B716-96A5653979C8}"/>
    <cellStyle name="20% - Accent2 2 5 2 3" xfId="21041" xr:uid="{991BAEB0-F6E5-48FC-879F-F963E18C293B}"/>
    <cellStyle name="20% - Accent2 2 5 2 3 2" xfId="37935" xr:uid="{95DB2AF3-09A9-4892-8606-CF4654ED624F}"/>
    <cellStyle name="20% - Accent2 2 5 2 4" xfId="12594" xr:uid="{58E88B9F-36E9-4BEB-B668-43270F636BC8}"/>
    <cellStyle name="20% - Accent2 2 5 2 5" xfId="29488" xr:uid="{0406C0FE-5987-42B8-ABD4-09199EAAAE2F}"/>
    <cellStyle name="20% - Accent2 2 5 3" xfId="5340" xr:uid="{00000000-0005-0000-0000-0000E6000000}"/>
    <cellStyle name="20% - Accent2 2 5 3 2" xfId="23113" xr:uid="{73EA004A-60FF-4935-B09F-FB1F83232996}"/>
    <cellStyle name="20% - Accent2 2 5 3 2 2" xfId="40007" xr:uid="{2C51A6D5-E633-435C-AD18-EE158949E130}"/>
    <cellStyle name="20% - Accent2 2 5 3 3" xfId="14666" xr:uid="{8CE3FBF0-42D3-4457-B235-98603A1E71A7}"/>
    <cellStyle name="20% - Accent2 2 5 3 4" xfId="31560" xr:uid="{5BA2DBF3-F0CE-4E7F-926C-AC8AD16A1DD2}"/>
    <cellStyle name="20% - Accent2 2 5 4" xfId="18896" xr:uid="{11DB3D67-9C87-42A8-842A-81F94B06D817}"/>
    <cellStyle name="20% - Accent2 2 5 4 2" xfId="35790" xr:uid="{ED61ECB6-746E-4C3B-8154-CE3E4AA11C7D}"/>
    <cellStyle name="20% - Accent2 2 5 5" xfId="10449" xr:uid="{8AA808E2-2402-4935-B7E4-6955101339AB}"/>
    <cellStyle name="20% - Accent2 2 5 6" xfId="27343" xr:uid="{C7215DFD-9890-4168-9015-2C2C89E504DD}"/>
    <cellStyle name="20% - Accent2 2 6" xfId="1446" xr:uid="{00000000-0005-0000-0000-0000E7000000}"/>
    <cellStyle name="20% - Accent2 2 6 2" xfId="3676" xr:uid="{00000000-0005-0000-0000-0000E8000000}"/>
    <cellStyle name="20% - Accent2 2 6 2 2" xfId="7898" xr:uid="{00000000-0005-0000-0000-0000E9000000}"/>
    <cellStyle name="20% - Accent2 2 6 2 2 2" xfId="25671" xr:uid="{92F4CAD4-2D83-433F-A7C0-CB21A403E0D9}"/>
    <cellStyle name="20% - Accent2 2 6 2 2 2 2" xfId="42565" xr:uid="{89589FBE-24E4-43A2-A7F5-31985C296428}"/>
    <cellStyle name="20% - Accent2 2 6 2 2 3" xfId="17224" xr:uid="{0E1C7741-292C-4724-B6D0-8026D92A7CB6}"/>
    <cellStyle name="20% - Accent2 2 6 2 2 4" xfId="34118" xr:uid="{DF3DDCB4-5796-4A0F-B123-65392BDAFC8B}"/>
    <cellStyle name="20% - Accent2 2 6 2 3" xfId="21454" xr:uid="{96EBD96E-AB1E-4E96-B903-C580378912F2}"/>
    <cellStyle name="20% - Accent2 2 6 2 3 2" xfId="38348" xr:uid="{ACCF6857-E749-45FE-ACB0-6D301BD2361D}"/>
    <cellStyle name="20% - Accent2 2 6 2 4" xfId="13007" xr:uid="{1D20BFA4-7BAA-47DF-BBF3-B3570F59F6B7}"/>
    <cellStyle name="20% - Accent2 2 6 2 5" xfId="29901" xr:uid="{4F856B45-F9AA-4B79-9734-BA3BD5A025A8}"/>
    <cellStyle name="20% - Accent2 2 6 3" xfId="5753" xr:uid="{00000000-0005-0000-0000-0000EA000000}"/>
    <cellStyle name="20% - Accent2 2 6 3 2" xfId="23526" xr:uid="{50776BE8-F852-4714-A7BD-A7E40D242B8B}"/>
    <cellStyle name="20% - Accent2 2 6 3 2 2" xfId="40420" xr:uid="{C6C15ECF-C2EB-441C-B2E4-6AABC3690BF5}"/>
    <cellStyle name="20% - Accent2 2 6 3 3" xfId="15079" xr:uid="{EF373771-51F1-42FC-8F45-CC69B5E911F0}"/>
    <cellStyle name="20% - Accent2 2 6 3 4" xfId="31973" xr:uid="{2F587F4C-0DBC-4A33-AFC1-A8182ABE3231}"/>
    <cellStyle name="20% - Accent2 2 6 4" xfId="19309" xr:uid="{ABF7A50A-5050-4B87-9DC2-4F1DDE51C159}"/>
    <cellStyle name="20% - Accent2 2 6 4 2" xfId="36203" xr:uid="{5858BD47-3263-4EED-B506-5CFB52320E6A}"/>
    <cellStyle name="20% - Accent2 2 6 5" xfId="10862" xr:uid="{8A1C8090-4998-41F0-99F0-1FEC795E3B7B}"/>
    <cellStyle name="20% - Accent2 2 6 6" xfId="27756" xr:uid="{A3F38651-E58D-43C1-B75C-FADED85325FB}"/>
    <cellStyle name="20% - Accent2 2 7" xfId="1860" xr:uid="{00000000-0005-0000-0000-0000EB000000}"/>
    <cellStyle name="20% - Accent2 2 7 2" xfId="4089" xr:uid="{00000000-0005-0000-0000-0000EC000000}"/>
    <cellStyle name="20% - Accent2 2 7 2 2" xfId="8311" xr:uid="{00000000-0005-0000-0000-0000ED000000}"/>
    <cellStyle name="20% - Accent2 2 7 2 2 2" xfId="26084" xr:uid="{F731E698-5F41-4DAD-A068-B7A18419C297}"/>
    <cellStyle name="20% - Accent2 2 7 2 2 2 2" xfId="42978" xr:uid="{948488AC-68CC-4C4C-AC26-087887D446F3}"/>
    <cellStyle name="20% - Accent2 2 7 2 2 3" xfId="17637" xr:uid="{F73E8CE7-9C64-4447-8A30-75D59C27370A}"/>
    <cellStyle name="20% - Accent2 2 7 2 2 4" xfId="34531" xr:uid="{9E8B6E68-AC60-4B83-8683-089451B1F34D}"/>
    <cellStyle name="20% - Accent2 2 7 2 3" xfId="21867" xr:uid="{0EDB5E95-D20B-43EE-A87D-03E375E9855E}"/>
    <cellStyle name="20% - Accent2 2 7 2 3 2" xfId="38761" xr:uid="{B840C628-AE9F-4CE8-B888-B680A49D4892}"/>
    <cellStyle name="20% - Accent2 2 7 2 4" xfId="13420" xr:uid="{8CE87E57-AFB3-47B8-9695-213406C5971D}"/>
    <cellStyle name="20% - Accent2 2 7 2 5" xfId="30314" xr:uid="{194772D5-66E6-4B82-AC58-6E011B5A047B}"/>
    <cellStyle name="20% - Accent2 2 7 3" xfId="6166" xr:uid="{00000000-0005-0000-0000-0000EE000000}"/>
    <cellStyle name="20% - Accent2 2 7 3 2" xfId="23939" xr:uid="{8CB2FA5D-8658-4453-B5E8-99D8E16F6AF8}"/>
    <cellStyle name="20% - Accent2 2 7 3 2 2" xfId="40833" xr:uid="{7FA39DCB-BC4D-40D4-A2E9-BB684F052FEA}"/>
    <cellStyle name="20% - Accent2 2 7 3 3" xfId="15492" xr:uid="{E84CC840-2767-4311-BC54-E3EFFED5C3A4}"/>
    <cellStyle name="20% - Accent2 2 7 3 4" xfId="32386" xr:uid="{2108E386-971F-4781-9192-852C09593F3C}"/>
    <cellStyle name="20% - Accent2 2 7 4" xfId="19722" xr:uid="{246C2A90-7186-4A63-BBFB-1C8E9FEB7536}"/>
    <cellStyle name="20% - Accent2 2 7 4 2" xfId="36616" xr:uid="{63D04336-DD0E-4075-A3AF-B45D3628E623}"/>
    <cellStyle name="20% - Accent2 2 7 5" xfId="11275" xr:uid="{65BBA373-5D07-4EBE-84C9-00F4438D0FB3}"/>
    <cellStyle name="20% - Accent2 2 7 6" xfId="28169" xr:uid="{406FAC56-63F4-4835-99D4-48EBD966017B}"/>
    <cellStyle name="20% - Accent2 2 8" xfId="2273" xr:uid="{00000000-0005-0000-0000-0000EF000000}"/>
    <cellStyle name="20% - Accent2 2 8 2" xfId="6579" xr:uid="{00000000-0005-0000-0000-0000F0000000}"/>
    <cellStyle name="20% - Accent2 2 8 2 2" xfId="24352" xr:uid="{41613BCC-ECD0-46BB-8DB1-27B3253110E9}"/>
    <cellStyle name="20% - Accent2 2 8 2 2 2" xfId="41246" xr:uid="{62AAE9AF-38B3-4D3A-AF9B-780BD3BDC8FD}"/>
    <cellStyle name="20% - Accent2 2 8 2 3" xfId="15905" xr:uid="{CF22102D-4D77-4C09-ACC4-CD6BC1EE681E}"/>
    <cellStyle name="20% - Accent2 2 8 2 4" xfId="32799" xr:uid="{E00D6EA8-1D58-4DB6-9907-39EEEA6942A2}"/>
    <cellStyle name="20% - Accent2 2 8 3" xfId="20135" xr:uid="{4BF3B3B6-6A03-442E-B08D-3FC8AA0CC773}"/>
    <cellStyle name="20% - Accent2 2 8 3 2" xfId="37029" xr:uid="{168B2D59-3832-4381-B005-96999F3BD23F}"/>
    <cellStyle name="20% - Accent2 2 8 4" xfId="11688" xr:uid="{186A45F3-A45E-4CFE-96EA-E96276832953}"/>
    <cellStyle name="20% - Accent2 2 8 5" xfId="28582" xr:uid="{F661C818-328C-42FB-8A42-1824E3E420CB}"/>
    <cellStyle name="20% - Accent2 2 9" xfId="4513" xr:uid="{00000000-0005-0000-0000-0000F1000000}"/>
    <cellStyle name="20% - Accent2 2 9 2" xfId="22286" xr:uid="{1BF5A89A-4989-4779-BC34-89E44FD334E2}"/>
    <cellStyle name="20% - Accent2 2 9 2 2" xfId="39180" xr:uid="{B9E23E39-604F-4742-8ACF-77CD54750332}"/>
    <cellStyle name="20% - Accent2 2 9 3" xfId="13839" xr:uid="{A043BD54-F42B-4EED-9F4F-D7F13A9016AB}"/>
    <cellStyle name="20% - Accent2 2 9 4" xfId="30733" xr:uid="{EF795160-42F9-4DEC-A874-9F2EF8C4B824}"/>
    <cellStyle name="20% - Accent2 3" xfId="14" xr:uid="{00000000-0005-0000-0000-0000F2000000}"/>
    <cellStyle name="20% - Accent2 3 10" xfId="9626" xr:uid="{A1ED9E9A-26C2-4EA7-BC81-8570FFDC1469}"/>
    <cellStyle name="20% - Accent2 3 11" xfId="26520" xr:uid="{78B8C3F3-6E08-4DC2-8D58-DBA976AF31CD}"/>
    <cellStyle name="20% - Accent2 3 2" xfId="15" xr:uid="{00000000-0005-0000-0000-0000F3000000}"/>
    <cellStyle name="20% - Accent2 3 2 10" xfId="26521" xr:uid="{EFC197BD-97F6-4B8C-8969-482543C28CF8}"/>
    <cellStyle name="20% - Accent2 3 2 2" xfId="584" xr:uid="{00000000-0005-0000-0000-0000F4000000}"/>
    <cellStyle name="20% - Accent2 3 2 2 2" xfId="2855" xr:uid="{00000000-0005-0000-0000-0000F5000000}"/>
    <cellStyle name="20% - Accent2 3 2 2 2 2" xfId="7077" xr:uid="{00000000-0005-0000-0000-0000F6000000}"/>
    <cellStyle name="20% - Accent2 3 2 2 2 2 2" xfId="24850" xr:uid="{2C2F8542-3B56-4C93-B7C2-8A5DA4EF8F2A}"/>
    <cellStyle name="20% - Accent2 3 2 2 2 2 2 2" xfId="41744" xr:uid="{DE223EB6-D561-4050-84AC-4D0D4BC18C36}"/>
    <cellStyle name="20% - Accent2 3 2 2 2 2 3" xfId="16403" xr:uid="{028642BD-BC33-4BB0-B7CE-D49C69AC6250}"/>
    <cellStyle name="20% - Accent2 3 2 2 2 2 4" xfId="33297" xr:uid="{D12BB385-69A2-4A75-85AC-A1427789FF7B}"/>
    <cellStyle name="20% - Accent2 3 2 2 2 3" xfId="20633" xr:uid="{AFFFD68E-CB4C-4B99-BF61-62D721547E32}"/>
    <cellStyle name="20% - Accent2 3 2 2 2 3 2" xfId="37527" xr:uid="{49AAC0FF-0613-4F53-9990-2C848CE83132}"/>
    <cellStyle name="20% - Accent2 3 2 2 2 4" xfId="12186" xr:uid="{01F85CE4-E2C9-4636-993F-6F8B867DAD1A}"/>
    <cellStyle name="20% - Accent2 3 2 2 2 5" xfId="29080" xr:uid="{A22FA546-ABE7-4BA0-9EB6-3E9738CF3494}"/>
    <cellStyle name="20% - Accent2 3 2 2 3" xfId="4932" xr:uid="{00000000-0005-0000-0000-0000F7000000}"/>
    <cellStyle name="20% - Accent2 3 2 2 3 2" xfId="22705" xr:uid="{6B5E58D7-702C-4791-90DA-3206113D0270}"/>
    <cellStyle name="20% - Accent2 3 2 2 3 2 2" xfId="39599" xr:uid="{2875B56F-581F-49AA-9DD0-05DB2B70BFD6}"/>
    <cellStyle name="20% - Accent2 3 2 2 3 3" xfId="14258" xr:uid="{A78BF25D-26C1-4F1F-8AB4-157399E218C4}"/>
    <cellStyle name="20% - Accent2 3 2 2 3 4" xfId="31152" xr:uid="{BB221D8C-E809-4C72-B191-1AC617AA4156}"/>
    <cellStyle name="20% - Accent2 3 2 2 4" xfId="9495" xr:uid="{9F5A6FE7-BBC9-4787-8EC4-2112F4D5A0EA}"/>
    <cellStyle name="20% - Accent2 3 2 2 4 2" xfId="18488" xr:uid="{9B10EC2D-14E0-49AC-B1BC-A8E0296152DE}"/>
    <cellStyle name="20% - Accent2 3 2 2 4 3" xfId="35382" xr:uid="{355BE1B7-D248-4662-B55C-FF195ABD7DA1}"/>
    <cellStyle name="20% - Accent2 3 2 2 5" xfId="10041" xr:uid="{07373C39-DD9E-417C-AED2-92E27D2AFFD8}"/>
    <cellStyle name="20% - Accent2 3 2 2 6" xfId="26935" xr:uid="{94FBFB95-5344-42F3-BF49-D35C781D18B4}"/>
    <cellStyle name="20% - Accent2 3 2 3" xfId="1037" xr:uid="{00000000-0005-0000-0000-0000F8000000}"/>
    <cellStyle name="20% - Accent2 3 2 3 2" xfId="3268" xr:uid="{00000000-0005-0000-0000-0000F9000000}"/>
    <cellStyle name="20% - Accent2 3 2 3 2 2" xfId="7490" xr:uid="{00000000-0005-0000-0000-0000FA000000}"/>
    <cellStyle name="20% - Accent2 3 2 3 2 2 2" xfId="25263" xr:uid="{8415A016-81FD-4E86-B90B-B94BEF94D8FA}"/>
    <cellStyle name="20% - Accent2 3 2 3 2 2 2 2" xfId="42157" xr:uid="{87172CA9-EA54-41A6-BB3A-C10EE55A47D3}"/>
    <cellStyle name="20% - Accent2 3 2 3 2 2 3" xfId="16816" xr:uid="{CC715758-34F4-4325-9429-3C42EBE3E43D}"/>
    <cellStyle name="20% - Accent2 3 2 3 2 2 4" xfId="33710" xr:uid="{74510AEB-4ABE-43A8-901B-04F2DE1C1007}"/>
    <cellStyle name="20% - Accent2 3 2 3 2 3" xfId="21046" xr:uid="{29221881-1CC0-4CBE-BF09-F61A2A815CB9}"/>
    <cellStyle name="20% - Accent2 3 2 3 2 3 2" xfId="37940" xr:uid="{9AB7A2DC-9FCF-40EE-A1C9-172AA6A026F5}"/>
    <cellStyle name="20% - Accent2 3 2 3 2 4" xfId="12599" xr:uid="{EFE84374-B5B0-43ED-BDDD-C4A93D8956FC}"/>
    <cellStyle name="20% - Accent2 3 2 3 2 5" xfId="29493" xr:uid="{EB9C7615-5065-4983-864D-E0A75D93350C}"/>
    <cellStyle name="20% - Accent2 3 2 3 3" xfId="5345" xr:uid="{00000000-0005-0000-0000-0000FB000000}"/>
    <cellStyle name="20% - Accent2 3 2 3 3 2" xfId="23118" xr:uid="{ADD3ED10-6304-4A32-A1E4-E53E1D99B990}"/>
    <cellStyle name="20% - Accent2 3 2 3 3 2 2" xfId="40012" xr:uid="{1637C453-21A8-4D80-9BB9-A11559FFC250}"/>
    <cellStyle name="20% - Accent2 3 2 3 3 3" xfId="14671" xr:uid="{F9141437-0DC5-4175-AA79-6A22DE37CD0A}"/>
    <cellStyle name="20% - Accent2 3 2 3 3 4" xfId="31565" xr:uid="{AD01E971-12CA-456E-A2AD-4A5D5C9FDBB2}"/>
    <cellStyle name="20% - Accent2 3 2 3 4" xfId="18901" xr:uid="{CAB8BD81-2C3B-42EA-B842-410C64A25339}"/>
    <cellStyle name="20% - Accent2 3 2 3 4 2" xfId="35795" xr:uid="{BFD954D1-ECEA-4777-A975-279C2CAC1653}"/>
    <cellStyle name="20% - Accent2 3 2 3 5" xfId="10454" xr:uid="{9C0D547B-EF2F-4E86-B755-3E2C34F0CA65}"/>
    <cellStyle name="20% - Accent2 3 2 3 6" xfId="27348" xr:uid="{E1C60925-14E2-4723-A634-B332020C317E}"/>
    <cellStyle name="20% - Accent2 3 2 4" xfId="1451" xr:uid="{00000000-0005-0000-0000-0000FC000000}"/>
    <cellStyle name="20% - Accent2 3 2 4 2" xfId="3681" xr:uid="{00000000-0005-0000-0000-0000FD000000}"/>
    <cellStyle name="20% - Accent2 3 2 4 2 2" xfId="7903" xr:uid="{00000000-0005-0000-0000-0000FE000000}"/>
    <cellStyle name="20% - Accent2 3 2 4 2 2 2" xfId="25676" xr:uid="{95DAD311-3193-4B0B-9C65-C31A793DE3A5}"/>
    <cellStyle name="20% - Accent2 3 2 4 2 2 2 2" xfId="42570" xr:uid="{7C3F9115-67CB-46F9-8BAD-E9B08BE1557B}"/>
    <cellStyle name="20% - Accent2 3 2 4 2 2 3" xfId="17229" xr:uid="{17824A53-25E7-4E80-9547-30FFA44AF2E1}"/>
    <cellStyle name="20% - Accent2 3 2 4 2 2 4" xfId="34123" xr:uid="{47045384-2F66-46B1-ADE4-0902BD3917A9}"/>
    <cellStyle name="20% - Accent2 3 2 4 2 3" xfId="21459" xr:uid="{4D2EC84E-B9B6-4857-9431-7F881E87AC71}"/>
    <cellStyle name="20% - Accent2 3 2 4 2 3 2" xfId="38353" xr:uid="{22556B76-1152-40BF-B2DC-2B2D295ACF28}"/>
    <cellStyle name="20% - Accent2 3 2 4 2 4" xfId="13012" xr:uid="{9A5FCB9D-5B79-4235-8575-E6654CAF3EAD}"/>
    <cellStyle name="20% - Accent2 3 2 4 2 5" xfId="29906" xr:uid="{6620C28A-61D3-44B9-90E4-DA19134C65CB}"/>
    <cellStyle name="20% - Accent2 3 2 4 3" xfId="5758" xr:uid="{00000000-0005-0000-0000-0000FF000000}"/>
    <cellStyle name="20% - Accent2 3 2 4 3 2" xfId="23531" xr:uid="{FFA3026F-CD24-47B7-BF7F-5BE7E5B24D0E}"/>
    <cellStyle name="20% - Accent2 3 2 4 3 2 2" xfId="40425" xr:uid="{9ACB8083-EA2C-45D8-AE70-BAFD1BF9EC2E}"/>
    <cellStyle name="20% - Accent2 3 2 4 3 3" xfId="15084" xr:uid="{20AC6347-80FF-44D7-8893-0E6275C3E0C5}"/>
    <cellStyle name="20% - Accent2 3 2 4 3 4" xfId="31978" xr:uid="{84599D32-CE49-442E-A94F-428246B1AFA0}"/>
    <cellStyle name="20% - Accent2 3 2 4 4" xfId="19314" xr:uid="{1011CB90-BC7A-4830-94AC-8477B33CA427}"/>
    <cellStyle name="20% - Accent2 3 2 4 4 2" xfId="36208" xr:uid="{1FA5DAE3-3426-4966-983B-E5727F1CEC30}"/>
    <cellStyle name="20% - Accent2 3 2 4 5" xfId="10867" xr:uid="{5963B132-461E-4196-A2E0-4610D1EA90A2}"/>
    <cellStyle name="20% - Accent2 3 2 4 6" xfId="27761" xr:uid="{81B60F34-62C2-485A-87D4-C1DB9A9B1769}"/>
    <cellStyle name="20% - Accent2 3 2 5" xfId="1865" xr:uid="{00000000-0005-0000-0000-000000010000}"/>
    <cellStyle name="20% - Accent2 3 2 5 2" xfId="4094" xr:uid="{00000000-0005-0000-0000-000001010000}"/>
    <cellStyle name="20% - Accent2 3 2 5 2 2" xfId="8316" xr:uid="{00000000-0005-0000-0000-000002010000}"/>
    <cellStyle name="20% - Accent2 3 2 5 2 2 2" xfId="26089" xr:uid="{B1C1DE3C-D921-4A0E-B042-42A4D4D7D95E}"/>
    <cellStyle name="20% - Accent2 3 2 5 2 2 2 2" xfId="42983" xr:uid="{F7342C25-DBE6-44EC-900C-EC90E0D5D96F}"/>
    <cellStyle name="20% - Accent2 3 2 5 2 2 3" xfId="17642" xr:uid="{30F1F09E-C7C9-4C5C-9938-FE5B41BDED01}"/>
    <cellStyle name="20% - Accent2 3 2 5 2 2 4" xfId="34536" xr:uid="{79D5526A-5D0E-4CB4-88AB-1431BBC076BC}"/>
    <cellStyle name="20% - Accent2 3 2 5 2 3" xfId="21872" xr:uid="{5353F99B-1956-4F3A-A756-A8A0576BA3F1}"/>
    <cellStyle name="20% - Accent2 3 2 5 2 3 2" xfId="38766" xr:uid="{9D480693-3D21-48D7-B5A9-1F9FC63157CC}"/>
    <cellStyle name="20% - Accent2 3 2 5 2 4" xfId="13425" xr:uid="{E82BDACA-17CA-4540-8634-B98663CD48F1}"/>
    <cellStyle name="20% - Accent2 3 2 5 2 5" xfId="30319" xr:uid="{2038B5E7-6DD9-4B90-9A7B-FD9DF9447EFE}"/>
    <cellStyle name="20% - Accent2 3 2 5 3" xfId="6171" xr:uid="{00000000-0005-0000-0000-000003010000}"/>
    <cellStyle name="20% - Accent2 3 2 5 3 2" xfId="23944" xr:uid="{274E2C94-515B-4EC0-9659-117C77984EC3}"/>
    <cellStyle name="20% - Accent2 3 2 5 3 2 2" xfId="40838" xr:uid="{9524A41C-9E1B-4D5C-897D-F5DAA29FB13C}"/>
    <cellStyle name="20% - Accent2 3 2 5 3 3" xfId="15497" xr:uid="{DEC031F5-64EA-4A72-B1AA-DF2F094E77A4}"/>
    <cellStyle name="20% - Accent2 3 2 5 3 4" xfId="32391" xr:uid="{00470D5C-9E58-4DBE-928A-B68E1D09A29B}"/>
    <cellStyle name="20% - Accent2 3 2 5 4" xfId="19727" xr:uid="{FC417C28-A1B7-4CA4-93B0-E712C4DD6CA8}"/>
    <cellStyle name="20% - Accent2 3 2 5 4 2" xfId="36621" xr:uid="{5B5A7BBD-A84F-4B7D-91C6-D3F9D20452E2}"/>
    <cellStyle name="20% - Accent2 3 2 5 5" xfId="11280" xr:uid="{111ED544-85EC-47A8-81EA-EE826CE8C25E}"/>
    <cellStyle name="20% - Accent2 3 2 5 6" xfId="28174" xr:uid="{B091DA28-EA3D-48C1-ABDB-D94453FF3569}"/>
    <cellStyle name="20% - Accent2 3 2 6" xfId="2278" xr:uid="{00000000-0005-0000-0000-000004010000}"/>
    <cellStyle name="20% - Accent2 3 2 6 2" xfId="6584" xr:uid="{00000000-0005-0000-0000-000005010000}"/>
    <cellStyle name="20% - Accent2 3 2 6 2 2" xfId="24357" xr:uid="{C511BF59-0C7A-4856-BDAD-703A2D0C47C3}"/>
    <cellStyle name="20% - Accent2 3 2 6 2 2 2" xfId="41251" xr:uid="{8BC6B335-8CC0-42F6-9530-777C7DBBBFEF}"/>
    <cellStyle name="20% - Accent2 3 2 6 2 3" xfId="15910" xr:uid="{426D9AF3-FFFD-4659-829B-A182DAEB3B0B}"/>
    <cellStyle name="20% - Accent2 3 2 6 2 4" xfId="32804" xr:uid="{F12374FF-0FB5-42E6-A4D5-0842C4E851BB}"/>
    <cellStyle name="20% - Accent2 3 2 6 3" xfId="20140" xr:uid="{291E0267-EC38-4783-9123-303262A77384}"/>
    <cellStyle name="20% - Accent2 3 2 6 3 2" xfId="37034" xr:uid="{66E56E26-0836-4100-80CD-6DFAC9BE260E}"/>
    <cellStyle name="20% - Accent2 3 2 6 4" xfId="11693" xr:uid="{7CDBFC30-2A1D-4108-B68D-D67E1271BBC7}"/>
    <cellStyle name="20% - Accent2 3 2 6 5" xfId="28587" xr:uid="{7F0C6466-88B9-4471-BD1E-1DDF831BED6D}"/>
    <cellStyle name="20% - Accent2 3 2 7" xfId="4518" xr:uid="{00000000-0005-0000-0000-000006010000}"/>
    <cellStyle name="20% - Accent2 3 2 7 2" xfId="22291" xr:uid="{8B170C8D-7A3F-4317-ABCC-A8969D010DC1}"/>
    <cellStyle name="20% - Accent2 3 2 7 2 2" xfId="39185" xr:uid="{8F3B3518-8037-4783-B698-4B172DECAB9C}"/>
    <cellStyle name="20% - Accent2 3 2 7 3" xfId="13844" xr:uid="{4969D1EF-6FF3-462E-8955-87AEB2A2B474}"/>
    <cellStyle name="20% - Accent2 3 2 7 4" xfId="30738" xr:uid="{B28D42B8-FF7C-4B83-8015-3FC30AC7B0F1}"/>
    <cellStyle name="20% - Accent2 3 2 8" xfId="9070" xr:uid="{8A9168BA-490F-4E57-83EA-22187D24153F}"/>
    <cellStyle name="20% - Accent2 3 2 8 2" xfId="18074" xr:uid="{A3AA8820-6F76-4699-8F65-00AA1A8B67F8}"/>
    <cellStyle name="20% - Accent2 3 2 8 3" xfId="34968" xr:uid="{BDA7CDB1-A786-4FBE-8FD3-7CE81D2716BD}"/>
    <cellStyle name="20% - Accent2 3 2 9" xfId="9627" xr:uid="{A85670F9-0E30-468C-A3AD-A918E17F1A3D}"/>
    <cellStyle name="20% - Accent2 3 3" xfId="583" xr:uid="{00000000-0005-0000-0000-000007010000}"/>
    <cellStyle name="20% - Accent2 3 3 2" xfId="2854" xr:uid="{00000000-0005-0000-0000-000008010000}"/>
    <cellStyle name="20% - Accent2 3 3 2 2" xfId="7076" xr:uid="{00000000-0005-0000-0000-000009010000}"/>
    <cellStyle name="20% - Accent2 3 3 2 2 2" xfId="24849" xr:uid="{2A24110E-126C-4DDA-AF12-EBCB132F7FA5}"/>
    <cellStyle name="20% - Accent2 3 3 2 2 2 2" xfId="41743" xr:uid="{8A7B8203-0468-4D66-AE82-0083C764FD7E}"/>
    <cellStyle name="20% - Accent2 3 3 2 2 3" xfId="16402" xr:uid="{D8A9A545-DE4D-45B6-A708-68A42D17643C}"/>
    <cellStyle name="20% - Accent2 3 3 2 2 4" xfId="33296" xr:uid="{C2F294BF-C367-449E-8659-0AF8AD0E7387}"/>
    <cellStyle name="20% - Accent2 3 3 2 3" xfId="20632" xr:uid="{869ACCCE-A517-462C-BD39-D24FA6328E69}"/>
    <cellStyle name="20% - Accent2 3 3 2 3 2" xfId="37526" xr:uid="{F3088684-4573-4D11-8F8E-6F8D0EDBB5C2}"/>
    <cellStyle name="20% - Accent2 3 3 2 4" xfId="12185" xr:uid="{E01125B7-1C8C-4F57-BAB6-38A4A6EBC151}"/>
    <cellStyle name="20% - Accent2 3 3 2 5" xfId="29079" xr:uid="{165A1082-C95F-4F31-8DAB-DF1B62088766}"/>
    <cellStyle name="20% - Accent2 3 3 3" xfId="4931" xr:uid="{00000000-0005-0000-0000-00000A010000}"/>
    <cellStyle name="20% - Accent2 3 3 3 2" xfId="22704" xr:uid="{3DA06527-52B9-479F-9005-312EC4C91F3F}"/>
    <cellStyle name="20% - Accent2 3 3 3 2 2" xfId="39598" xr:uid="{05CD0C5A-FF02-4E66-AC86-34186D9AE5D2}"/>
    <cellStyle name="20% - Accent2 3 3 3 3" xfId="14257" xr:uid="{BF2C287B-5B95-4570-9842-C3A6C8E9FDEA}"/>
    <cellStyle name="20% - Accent2 3 3 3 4" xfId="31151" xr:uid="{854A4EC7-F6AD-4496-BB8D-5D011F032F2B}"/>
    <cellStyle name="20% - Accent2 3 3 4" xfId="9288" xr:uid="{FCD70616-ECAD-4A0B-889F-4698E1AD889E}"/>
    <cellStyle name="20% - Accent2 3 3 4 2" xfId="18487" xr:uid="{5AA5072C-7BA5-4D9F-B91E-21FFB0D2D0EC}"/>
    <cellStyle name="20% - Accent2 3 3 4 3" xfId="35381" xr:uid="{5CF09CA2-DAEA-4589-9D77-B59999D6738D}"/>
    <cellStyle name="20% - Accent2 3 3 5" xfId="10040" xr:uid="{7E157C38-5C34-40C9-BA88-5FE3CFC0E6F3}"/>
    <cellStyle name="20% - Accent2 3 3 6" xfId="26934" xr:uid="{BFA0C9DD-8F6E-4242-843C-9B8729F283D7}"/>
    <cellStyle name="20% - Accent2 3 4" xfId="1036" xr:uid="{00000000-0005-0000-0000-00000B010000}"/>
    <cellStyle name="20% - Accent2 3 4 2" xfId="3267" xr:uid="{00000000-0005-0000-0000-00000C010000}"/>
    <cellStyle name="20% - Accent2 3 4 2 2" xfId="7489" xr:uid="{00000000-0005-0000-0000-00000D010000}"/>
    <cellStyle name="20% - Accent2 3 4 2 2 2" xfId="25262" xr:uid="{6AD810BC-DDE7-48A8-B801-32793DCFB2A5}"/>
    <cellStyle name="20% - Accent2 3 4 2 2 2 2" xfId="42156" xr:uid="{DC259CB5-FBFE-46FE-BC9A-BF12500E86AE}"/>
    <cellStyle name="20% - Accent2 3 4 2 2 3" xfId="16815" xr:uid="{371D95F5-733E-42FE-BF87-C6F2F6D4472F}"/>
    <cellStyle name="20% - Accent2 3 4 2 2 4" xfId="33709" xr:uid="{E2C2C716-F49F-4B62-91B2-BA0E16AF520A}"/>
    <cellStyle name="20% - Accent2 3 4 2 3" xfId="21045" xr:uid="{0233FBD9-4E4B-427A-A9E9-424C146453CF}"/>
    <cellStyle name="20% - Accent2 3 4 2 3 2" xfId="37939" xr:uid="{D7CBC2C3-142F-48AC-880C-93A6AF7AB982}"/>
    <cellStyle name="20% - Accent2 3 4 2 4" xfId="12598" xr:uid="{8AD78746-2180-40AD-A08F-644AC4085F14}"/>
    <cellStyle name="20% - Accent2 3 4 2 5" xfId="29492" xr:uid="{977040B6-FB97-4C4B-BB72-C01A4BD95897}"/>
    <cellStyle name="20% - Accent2 3 4 3" xfId="5344" xr:uid="{00000000-0005-0000-0000-00000E010000}"/>
    <cellStyle name="20% - Accent2 3 4 3 2" xfId="23117" xr:uid="{DB383507-BCCB-4B4A-8B02-F348D8A7B613}"/>
    <cellStyle name="20% - Accent2 3 4 3 2 2" xfId="40011" xr:uid="{10CB6B14-7FA1-410B-833C-EBF7054F72A5}"/>
    <cellStyle name="20% - Accent2 3 4 3 3" xfId="14670" xr:uid="{21F453B5-8F0F-4E9E-8D28-B26FA7867AFE}"/>
    <cellStyle name="20% - Accent2 3 4 3 4" xfId="31564" xr:uid="{63305E95-D65D-4F93-BA61-D9398292D6F8}"/>
    <cellStyle name="20% - Accent2 3 4 4" xfId="18900" xr:uid="{4452B7B3-CCCD-4A03-9617-639418F9FA60}"/>
    <cellStyle name="20% - Accent2 3 4 4 2" xfId="35794" xr:uid="{E0EA8028-9B21-4B5F-94EB-CA602AC11399}"/>
    <cellStyle name="20% - Accent2 3 4 5" xfId="10453" xr:uid="{970CE0F1-53DC-4B1A-8FAC-BD29FA6BE4C0}"/>
    <cellStyle name="20% - Accent2 3 4 6" xfId="27347" xr:uid="{9C41ABA8-17E9-4A9A-AF1B-0E963A1A904E}"/>
    <cellStyle name="20% - Accent2 3 5" xfId="1450" xr:uid="{00000000-0005-0000-0000-00000F010000}"/>
    <cellStyle name="20% - Accent2 3 5 2" xfId="3680" xr:uid="{00000000-0005-0000-0000-000010010000}"/>
    <cellStyle name="20% - Accent2 3 5 2 2" xfId="7902" xr:uid="{00000000-0005-0000-0000-000011010000}"/>
    <cellStyle name="20% - Accent2 3 5 2 2 2" xfId="25675" xr:uid="{CD90EB18-5194-482A-8708-FBAA71738914}"/>
    <cellStyle name="20% - Accent2 3 5 2 2 2 2" xfId="42569" xr:uid="{F3BBB1C7-62DA-45FA-9AEC-8AB269602F38}"/>
    <cellStyle name="20% - Accent2 3 5 2 2 3" xfId="17228" xr:uid="{355D3E70-6D73-45E5-9F22-FC93281C9415}"/>
    <cellStyle name="20% - Accent2 3 5 2 2 4" xfId="34122" xr:uid="{800FA11E-D986-4863-831B-15EFD95DCC4B}"/>
    <cellStyle name="20% - Accent2 3 5 2 3" xfId="21458" xr:uid="{329705C4-1695-4015-BD59-D618F53E3A8E}"/>
    <cellStyle name="20% - Accent2 3 5 2 3 2" xfId="38352" xr:uid="{57954FB5-2841-4BBE-B4D8-6B4AF4D7551C}"/>
    <cellStyle name="20% - Accent2 3 5 2 4" xfId="13011" xr:uid="{99376051-D55D-4C6F-BB63-4D0640C03350}"/>
    <cellStyle name="20% - Accent2 3 5 2 5" xfId="29905" xr:uid="{25FF2D43-CA49-4839-BE79-62EDE5E88CE8}"/>
    <cellStyle name="20% - Accent2 3 5 3" xfId="5757" xr:uid="{00000000-0005-0000-0000-000012010000}"/>
    <cellStyle name="20% - Accent2 3 5 3 2" xfId="23530" xr:uid="{E3476F65-6D85-44E6-80DE-5B2FC9ACAF9F}"/>
    <cellStyle name="20% - Accent2 3 5 3 2 2" xfId="40424" xr:uid="{068F97A8-FE3E-450B-8697-730048CF18C1}"/>
    <cellStyle name="20% - Accent2 3 5 3 3" xfId="15083" xr:uid="{5C89E064-23A9-4B48-862B-8A0D33B7A5D8}"/>
    <cellStyle name="20% - Accent2 3 5 3 4" xfId="31977" xr:uid="{C2838A42-806C-415D-B2F5-CA60857B9130}"/>
    <cellStyle name="20% - Accent2 3 5 4" xfId="19313" xr:uid="{241AB16E-8B60-4594-A344-300EA424AB2D}"/>
    <cellStyle name="20% - Accent2 3 5 4 2" xfId="36207" xr:uid="{B508A498-AEEA-4165-ACB0-82F7D5CB1371}"/>
    <cellStyle name="20% - Accent2 3 5 5" xfId="10866" xr:uid="{75506F74-5DA5-43BF-A52C-9FF30EC47D67}"/>
    <cellStyle name="20% - Accent2 3 5 6" xfId="27760" xr:uid="{40751323-0F6C-4771-A2AF-25E95254BAE2}"/>
    <cellStyle name="20% - Accent2 3 6" xfId="1864" xr:uid="{00000000-0005-0000-0000-000013010000}"/>
    <cellStyle name="20% - Accent2 3 6 2" xfId="4093" xr:uid="{00000000-0005-0000-0000-000014010000}"/>
    <cellStyle name="20% - Accent2 3 6 2 2" xfId="8315" xr:uid="{00000000-0005-0000-0000-000015010000}"/>
    <cellStyle name="20% - Accent2 3 6 2 2 2" xfId="26088" xr:uid="{A17AE672-AE3B-4258-A057-6DC0A305545A}"/>
    <cellStyle name="20% - Accent2 3 6 2 2 2 2" xfId="42982" xr:uid="{1AFADAD2-2D37-421B-9CE7-9A45D1177656}"/>
    <cellStyle name="20% - Accent2 3 6 2 2 3" xfId="17641" xr:uid="{A5B327DF-15EF-4E8D-A2CE-0F3BD3C8F68B}"/>
    <cellStyle name="20% - Accent2 3 6 2 2 4" xfId="34535" xr:uid="{D851C4BC-A124-4CB3-8AC2-7D95E207AA52}"/>
    <cellStyle name="20% - Accent2 3 6 2 3" xfId="21871" xr:uid="{F2714328-2AA4-46D4-A796-61E44243BD15}"/>
    <cellStyle name="20% - Accent2 3 6 2 3 2" xfId="38765" xr:uid="{5F5E4A2E-23CA-4DDE-8BE2-37C720E3394A}"/>
    <cellStyle name="20% - Accent2 3 6 2 4" xfId="13424" xr:uid="{C0F133A2-64DB-492B-92B1-B503B82A6761}"/>
    <cellStyle name="20% - Accent2 3 6 2 5" xfId="30318" xr:uid="{9E09870A-9A4D-4837-AF75-455BD4D6AB0A}"/>
    <cellStyle name="20% - Accent2 3 6 3" xfId="6170" xr:uid="{00000000-0005-0000-0000-000016010000}"/>
    <cellStyle name="20% - Accent2 3 6 3 2" xfId="23943" xr:uid="{832E97D0-41CB-4940-A3A8-C2DB825C2AA7}"/>
    <cellStyle name="20% - Accent2 3 6 3 2 2" xfId="40837" xr:uid="{20D006FC-5D44-427B-8D40-B79FC0508984}"/>
    <cellStyle name="20% - Accent2 3 6 3 3" xfId="15496" xr:uid="{E6E068FD-EF18-4873-A9D2-71893C4D3286}"/>
    <cellStyle name="20% - Accent2 3 6 3 4" xfId="32390" xr:uid="{4C37627A-9C55-4313-A93E-20F9BBF98B22}"/>
    <cellStyle name="20% - Accent2 3 6 4" xfId="19726" xr:uid="{ED9E4132-A9FC-4C43-A1E4-DD7A2A80AA64}"/>
    <cellStyle name="20% - Accent2 3 6 4 2" xfId="36620" xr:uid="{513E6850-9188-4E61-A9A0-C6F6051F1CBE}"/>
    <cellStyle name="20% - Accent2 3 6 5" xfId="11279" xr:uid="{4A581342-1FE2-4B74-BA00-00D51A739E1F}"/>
    <cellStyle name="20% - Accent2 3 6 6" xfId="28173" xr:uid="{02403E2A-03DB-49F4-AECC-786404AD29F2}"/>
    <cellStyle name="20% - Accent2 3 7" xfId="2277" xr:uid="{00000000-0005-0000-0000-000017010000}"/>
    <cellStyle name="20% - Accent2 3 7 2" xfId="6583" xr:uid="{00000000-0005-0000-0000-000018010000}"/>
    <cellStyle name="20% - Accent2 3 7 2 2" xfId="24356" xr:uid="{272A7DAA-AB86-4331-9CD5-279782082C0B}"/>
    <cellStyle name="20% - Accent2 3 7 2 2 2" xfId="41250" xr:uid="{A72976B6-C628-47A9-AEA7-65A6071F456D}"/>
    <cellStyle name="20% - Accent2 3 7 2 3" xfId="15909" xr:uid="{DB961F60-E752-4B74-8275-94C2F2B7AFAA}"/>
    <cellStyle name="20% - Accent2 3 7 2 4" xfId="32803" xr:uid="{7E8B9CAA-9C65-4B5C-B0D3-C3C007C0B7F8}"/>
    <cellStyle name="20% - Accent2 3 7 3" xfId="20139" xr:uid="{600B303F-84A6-49ED-B645-1DFBC262B210}"/>
    <cellStyle name="20% - Accent2 3 7 3 2" xfId="37033" xr:uid="{E1042D79-5D7B-44DB-9821-913B0ED1BAF8}"/>
    <cellStyle name="20% - Accent2 3 7 4" xfId="11692" xr:uid="{2760D443-6A1E-4040-9EB7-D218535D1E9C}"/>
    <cellStyle name="20% - Accent2 3 7 5" xfId="28586" xr:uid="{5A38FB1C-F446-4603-960E-5F52B8A4DD3A}"/>
    <cellStyle name="20% - Accent2 3 8" xfId="4517" xr:uid="{00000000-0005-0000-0000-000019010000}"/>
    <cellStyle name="20% - Accent2 3 8 2" xfId="22290" xr:uid="{40B334F6-3413-43A1-892B-0A87F07D0373}"/>
    <cellStyle name="20% - Accent2 3 8 2 2" xfId="39184" xr:uid="{4D889857-AD4B-4291-A162-0C5D467E1DE7}"/>
    <cellStyle name="20% - Accent2 3 8 3" xfId="13843" xr:uid="{E65C84A8-43BD-4C9E-89C8-FD87A4C75073}"/>
    <cellStyle name="20% - Accent2 3 8 4" xfId="30737" xr:uid="{15292C8E-C2B4-445D-A4C5-DE668A4375B7}"/>
    <cellStyle name="20% - Accent2 3 9" xfId="8863" xr:uid="{C6A258FB-33DC-4171-B9DD-C29513CA80FD}"/>
    <cellStyle name="20% - Accent2 3 9 2" xfId="18073" xr:uid="{932F8543-81EC-4B62-AE58-EB49267D32FA}"/>
    <cellStyle name="20% - Accent2 3 9 3" xfId="34967" xr:uid="{67D198E9-A72D-4138-813B-257EEA0C9914}"/>
    <cellStyle name="20% - Accent2 4" xfId="16" xr:uid="{00000000-0005-0000-0000-00001A010000}"/>
    <cellStyle name="20% - Accent2 4 10" xfId="26522" xr:uid="{DF6BF971-30EE-469F-A516-3B778CA942CF}"/>
    <cellStyle name="20% - Accent2 4 2" xfId="585" xr:uid="{00000000-0005-0000-0000-00001B010000}"/>
    <cellStyle name="20% - Accent2 4 2 2" xfId="2856" xr:uid="{00000000-0005-0000-0000-00001C010000}"/>
    <cellStyle name="20% - Accent2 4 2 2 2" xfId="7078" xr:uid="{00000000-0005-0000-0000-00001D010000}"/>
    <cellStyle name="20% - Accent2 4 2 2 2 2" xfId="24851" xr:uid="{21B0AAEF-2F93-426B-BC19-A7E95434C444}"/>
    <cellStyle name="20% - Accent2 4 2 2 2 2 2" xfId="41745" xr:uid="{F5F811CB-7D91-4DA5-AE5F-CC450B3ADD97}"/>
    <cellStyle name="20% - Accent2 4 2 2 2 3" xfId="16404" xr:uid="{D41FE0E3-FAAE-4BF6-AF18-81A05C12D8B7}"/>
    <cellStyle name="20% - Accent2 4 2 2 2 4" xfId="33298" xr:uid="{0239479B-BC14-42FA-80CC-9BB8E099F3AE}"/>
    <cellStyle name="20% - Accent2 4 2 2 3" xfId="20634" xr:uid="{3668EBAB-BDFD-4FB8-9F51-89B457E7C8C6}"/>
    <cellStyle name="20% - Accent2 4 2 2 3 2" xfId="37528" xr:uid="{EC2C7C30-EAE2-4481-B94C-FC6ACE9812C0}"/>
    <cellStyle name="20% - Accent2 4 2 2 4" xfId="12187" xr:uid="{FDE6B9B5-63EB-448F-B180-53827681C539}"/>
    <cellStyle name="20% - Accent2 4 2 2 5" xfId="29081" xr:uid="{535A83C6-A85E-4FDE-8B92-A8CFA8157899}"/>
    <cellStyle name="20% - Accent2 4 2 3" xfId="4933" xr:uid="{00000000-0005-0000-0000-00001E010000}"/>
    <cellStyle name="20% - Accent2 4 2 3 2" xfId="22706" xr:uid="{2AFC9802-8D97-4013-A158-9D9E78670F66}"/>
    <cellStyle name="20% - Accent2 4 2 3 2 2" xfId="39600" xr:uid="{DBE46630-4BEF-46CE-9F4E-141DB773CFBB}"/>
    <cellStyle name="20% - Accent2 4 2 3 3" xfId="14259" xr:uid="{DDFE2D92-A737-44FA-BC8C-131D5BB07DD7}"/>
    <cellStyle name="20% - Accent2 4 2 3 4" xfId="31153" xr:uid="{573E24DC-13C4-4828-825B-E4939109661E}"/>
    <cellStyle name="20% - Accent2 4 2 4" xfId="9374" xr:uid="{26FD7A0E-8D04-4AF7-B092-2B22A78F0A97}"/>
    <cellStyle name="20% - Accent2 4 2 4 2" xfId="18489" xr:uid="{FD713D2A-78C5-4C82-A404-13A363E7B992}"/>
    <cellStyle name="20% - Accent2 4 2 4 3" xfId="35383" xr:uid="{2D66D699-109E-46FF-9777-49C02E09F074}"/>
    <cellStyle name="20% - Accent2 4 2 5" xfId="10042" xr:uid="{001B70F7-F593-4090-8BD9-F02E487AC05D}"/>
    <cellStyle name="20% - Accent2 4 2 6" xfId="26936" xr:uid="{42B4579A-88A6-4C99-9DFF-DA772658DB58}"/>
    <cellStyle name="20% - Accent2 4 3" xfId="1038" xr:uid="{00000000-0005-0000-0000-00001F010000}"/>
    <cellStyle name="20% - Accent2 4 3 2" xfId="3269" xr:uid="{00000000-0005-0000-0000-000020010000}"/>
    <cellStyle name="20% - Accent2 4 3 2 2" xfId="7491" xr:uid="{00000000-0005-0000-0000-000021010000}"/>
    <cellStyle name="20% - Accent2 4 3 2 2 2" xfId="25264" xr:uid="{A1CF8C23-01BC-45EB-AF28-3F5240BE66C4}"/>
    <cellStyle name="20% - Accent2 4 3 2 2 2 2" xfId="42158" xr:uid="{65FD38FA-2946-4513-AD3C-E17940341492}"/>
    <cellStyle name="20% - Accent2 4 3 2 2 3" xfId="16817" xr:uid="{593B22C0-283C-4A3E-B668-7022575ACCDD}"/>
    <cellStyle name="20% - Accent2 4 3 2 2 4" xfId="33711" xr:uid="{C34B4D0F-B885-4737-A6D4-9BD81F302EAA}"/>
    <cellStyle name="20% - Accent2 4 3 2 3" xfId="21047" xr:uid="{0E5E9796-E7DF-4FD2-BD49-3DE58D71DAB0}"/>
    <cellStyle name="20% - Accent2 4 3 2 3 2" xfId="37941" xr:uid="{93D55162-9305-4FDB-8707-F6F5EC3EB1C6}"/>
    <cellStyle name="20% - Accent2 4 3 2 4" xfId="12600" xr:uid="{E0C58BD9-D626-4EC1-A6DD-B874A9E7C626}"/>
    <cellStyle name="20% - Accent2 4 3 2 5" xfId="29494" xr:uid="{9CC22086-AEA0-42AB-82D4-498E47675C69}"/>
    <cellStyle name="20% - Accent2 4 3 3" xfId="5346" xr:uid="{00000000-0005-0000-0000-000022010000}"/>
    <cellStyle name="20% - Accent2 4 3 3 2" xfId="23119" xr:uid="{CEE01135-7D07-47E8-97B6-81D706C9FE83}"/>
    <cellStyle name="20% - Accent2 4 3 3 2 2" xfId="40013" xr:uid="{E5A8B243-1AFE-4622-AFA9-FC664BDBA322}"/>
    <cellStyle name="20% - Accent2 4 3 3 3" xfId="14672" xr:uid="{0241EFE2-6454-4350-ABD0-32A8C978B981}"/>
    <cellStyle name="20% - Accent2 4 3 3 4" xfId="31566" xr:uid="{331323F1-420B-4523-9E3A-DA00A7B33698}"/>
    <cellStyle name="20% - Accent2 4 3 4" xfId="18902" xr:uid="{B5CECEF7-73E7-4CC0-B71F-9B20FB5C0754}"/>
    <cellStyle name="20% - Accent2 4 3 4 2" xfId="35796" xr:uid="{0166F974-D928-42DE-B4B6-C5CFBFEE88D4}"/>
    <cellStyle name="20% - Accent2 4 3 5" xfId="10455" xr:uid="{12D749DD-0133-432C-90AF-112443158102}"/>
    <cellStyle name="20% - Accent2 4 3 6" xfId="27349" xr:uid="{7A41FE28-6122-4298-8201-D95FD897E82C}"/>
    <cellStyle name="20% - Accent2 4 4" xfId="1452" xr:uid="{00000000-0005-0000-0000-000023010000}"/>
    <cellStyle name="20% - Accent2 4 4 2" xfId="3682" xr:uid="{00000000-0005-0000-0000-000024010000}"/>
    <cellStyle name="20% - Accent2 4 4 2 2" xfId="7904" xr:uid="{00000000-0005-0000-0000-000025010000}"/>
    <cellStyle name="20% - Accent2 4 4 2 2 2" xfId="25677" xr:uid="{A1997A05-E4FC-4C02-8419-56A2DE4E99F2}"/>
    <cellStyle name="20% - Accent2 4 4 2 2 2 2" xfId="42571" xr:uid="{E3B90375-FBEF-4AFB-940B-29DEE40DB0F0}"/>
    <cellStyle name="20% - Accent2 4 4 2 2 3" xfId="17230" xr:uid="{60C8E656-DB48-450E-A1C6-49BF91FF9D27}"/>
    <cellStyle name="20% - Accent2 4 4 2 2 4" xfId="34124" xr:uid="{CEE7BCD2-854E-45F0-8354-16291BC132E4}"/>
    <cellStyle name="20% - Accent2 4 4 2 3" xfId="21460" xr:uid="{8B10C775-7518-470D-8E7D-837337CAD013}"/>
    <cellStyle name="20% - Accent2 4 4 2 3 2" xfId="38354" xr:uid="{1746C4E9-AEA6-4656-A63F-798EEC44E066}"/>
    <cellStyle name="20% - Accent2 4 4 2 4" xfId="13013" xr:uid="{C6AD9304-7739-45AF-81AC-09E0DD484E4D}"/>
    <cellStyle name="20% - Accent2 4 4 2 5" xfId="29907" xr:uid="{70D78388-E788-4BE9-9EF0-86B59FD22D1B}"/>
    <cellStyle name="20% - Accent2 4 4 3" xfId="5759" xr:uid="{00000000-0005-0000-0000-000026010000}"/>
    <cellStyle name="20% - Accent2 4 4 3 2" xfId="23532" xr:uid="{A2FD03A6-3206-4BED-9672-D8595D405D90}"/>
    <cellStyle name="20% - Accent2 4 4 3 2 2" xfId="40426" xr:uid="{6734FCD7-1CD4-41D7-BB72-C99E2A2DFAFF}"/>
    <cellStyle name="20% - Accent2 4 4 3 3" xfId="15085" xr:uid="{FEEBF913-3917-420B-98FD-8BF5D7844AAD}"/>
    <cellStyle name="20% - Accent2 4 4 3 4" xfId="31979" xr:uid="{7D009371-2729-434D-80B1-25AB8C2AE757}"/>
    <cellStyle name="20% - Accent2 4 4 4" xfId="19315" xr:uid="{0C175DAA-FC0F-4B65-B56C-90E24B5EDF25}"/>
    <cellStyle name="20% - Accent2 4 4 4 2" xfId="36209" xr:uid="{1E7A6759-5408-4ED4-A38A-BE442F10FBF3}"/>
    <cellStyle name="20% - Accent2 4 4 5" xfId="10868" xr:uid="{51575C9E-7767-42E7-A62A-F929F3D1D957}"/>
    <cellStyle name="20% - Accent2 4 4 6" xfId="27762" xr:uid="{AA3AD1E6-2C03-48FB-AF3F-82F97A8E8E6B}"/>
    <cellStyle name="20% - Accent2 4 5" xfId="1866" xr:uid="{00000000-0005-0000-0000-000027010000}"/>
    <cellStyle name="20% - Accent2 4 5 2" xfId="4095" xr:uid="{00000000-0005-0000-0000-000028010000}"/>
    <cellStyle name="20% - Accent2 4 5 2 2" xfId="8317" xr:uid="{00000000-0005-0000-0000-000029010000}"/>
    <cellStyle name="20% - Accent2 4 5 2 2 2" xfId="26090" xr:uid="{8AB56B2F-4DF0-4A53-8AA3-DD04E4AD86BC}"/>
    <cellStyle name="20% - Accent2 4 5 2 2 2 2" xfId="42984" xr:uid="{9C97AD06-2C15-4261-9E44-886CCCE1A0A1}"/>
    <cellStyle name="20% - Accent2 4 5 2 2 3" xfId="17643" xr:uid="{D9A3554F-ECA1-4C18-ACE4-823147AD6504}"/>
    <cellStyle name="20% - Accent2 4 5 2 2 4" xfId="34537" xr:uid="{04D6B97B-69AC-4D9D-A689-7E5EB317A7B9}"/>
    <cellStyle name="20% - Accent2 4 5 2 3" xfId="21873" xr:uid="{8098EA75-A7FA-461B-BE24-6C792F41A2D4}"/>
    <cellStyle name="20% - Accent2 4 5 2 3 2" xfId="38767" xr:uid="{E677F4BF-BB6E-40DA-828C-EEE4965962F4}"/>
    <cellStyle name="20% - Accent2 4 5 2 4" xfId="13426" xr:uid="{CDE4D2B1-A2F6-43E4-A0EA-5CA1E6C1F169}"/>
    <cellStyle name="20% - Accent2 4 5 2 5" xfId="30320" xr:uid="{9248A27F-3417-427A-8CFC-53D3E0B1C4B7}"/>
    <cellStyle name="20% - Accent2 4 5 3" xfId="6172" xr:uid="{00000000-0005-0000-0000-00002A010000}"/>
    <cellStyle name="20% - Accent2 4 5 3 2" xfId="23945" xr:uid="{D2907C6F-CE0A-4367-88F8-6558CD0BD9BC}"/>
    <cellStyle name="20% - Accent2 4 5 3 2 2" xfId="40839" xr:uid="{6FB5A186-DD94-44C3-876F-788526AC81D7}"/>
    <cellStyle name="20% - Accent2 4 5 3 3" xfId="15498" xr:uid="{B086534A-3B57-4BA9-9E94-6D9C7B167F7A}"/>
    <cellStyle name="20% - Accent2 4 5 3 4" xfId="32392" xr:uid="{5A9B03A8-79F3-42F7-B56B-37F9D576C5CA}"/>
    <cellStyle name="20% - Accent2 4 5 4" xfId="19728" xr:uid="{6D10056F-E232-4E54-9759-D924CCA83858}"/>
    <cellStyle name="20% - Accent2 4 5 4 2" xfId="36622" xr:uid="{9892DD3E-117D-43DB-8469-B7A5B69F3B02}"/>
    <cellStyle name="20% - Accent2 4 5 5" xfId="11281" xr:uid="{48296439-C73A-4964-94C3-7BD511581BE9}"/>
    <cellStyle name="20% - Accent2 4 5 6" xfId="28175" xr:uid="{DB5E9063-B9B3-4A5C-A453-5150B987AFDA}"/>
    <cellStyle name="20% - Accent2 4 6" xfId="2279" xr:uid="{00000000-0005-0000-0000-00002B010000}"/>
    <cellStyle name="20% - Accent2 4 6 2" xfId="6585" xr:uid="{00000000-0005-0000-0000-00002C010000}"/>
    <cellStyle name="20% - Accent2 4 6 2 2" xfId="24358" xr:uid="{81BFBC72-00E1-43C2-982B-5B9AD88DE0F3}"/>
    <cellStyle name="20% - Accent2 4 6 2 2 2" xfId="41252" xr:uid="{ED67F278-D8C9-4B21-BB4F-B56C8A5FA5EE}"/>
    <cellStyle name="20% - Accent2 4 6 2 3" xfId="15911" xr:uid="{C59301E9-6522-46EF-A2F4-E2EE7D8A007D}"/>
    <cellStyle name="20% - Accent2 4 6 2 4" xfId="32805" xr:uid="{97B1FF80-0120-4472-BD11-7F52E19EB0B6}"/>
    <cellStyle name="20% - Accent2 4 6 3" xfId="20141" xr:uid="{15E11CCC-02F5-4A3B-ACC6-1979C6E60D96}"/>
    <cellStyle name="20% - Accent2 4 6 3 2" xfId="37035" xr:uid="{8386A27F-4601-431E-BFDC-B44F235E8796}"/>
    <cellStyle name="20% - Accent2 4 6 4" xfId="11694" xr:uid="{CFC36385-0112-4DA8-8145-398A7A47D8E1}"/>
    <cellStyle name="20% - Accent2 4 6 5" xfId="28588" xr:uid="{65FC25D6-07DE-4130-814F-5A74CFAE8385}"/>
    <cellStyle name="20% - Accent2 4 7" xfId="4519" xr:uid="{00000000-0005-0000-0000-00002D010000}"/>
    <cellStyle name="20% - Accent2 4 7 2" xfId="22292" xr:uid="{D3BA7465-7BB5-419C-A27D-6D25DBB693AE}"/>
    <cellStyle name="20% - Accent2 4 7 2 2" xfId="39186" xr:uid="{14475B5B-1994-41DA-AC71-3BB717B0AB3F}"/>
    <cellStyle name="20% - Accent2 4 7 3" xfId="13845" xr:uid="{18A340B4-F71F-4EE5-8885-312DB5A00360}"/>
    <cellStyle name="20% - Accent2 4 7 4" xfId="30739" xr:uid="{F7ED0717-A48F-4AFA-BFC6-2B060684953F}"/>
    <cellStyle name="20% - Accent2 4 8" xfId="8949" xr:uid="{084C22A9-B904-4AFE-A752-AC1DC2CA76B8}"/>
    <cellStyle name="20% - Accent2 4 8 2" xfId="18075" xr:uid="{8B46427F-0CF1-45E4-B68C-9A5E2EA1ECEA}"/>
    <cellStyle name="20% - Accent2 4 8 3" xfId="34969" xr:uid="{73A3BABE-EA7D-4767-BA88-F194C7974292}"/>
    <cellStyle name="20% - Accent2 4 9" xfId="9628" xr:uid="{01925531-A1C6-415A-933F-63FC61F171A5}"/>
    <cellStyle name="20% - Accent2 5" xfId="578" xr:uid="{00000000-0005-0000-0000-00002E010000}"/>
    <cellStyle name="20% - Accent2 5 2" xfId="2849" xr:uid="{00000000-0005-0000-0000-00002F010000}"/>
    <cellStyle name="20% - Accent2 5 2 2" xfId="7071" xr:uid="{00000000-0005-0000-0000-000030010000}"/>
    <cellStyle name="20% - Accent2 5 2 2 2" xfId="24844" xr:uid="{3145DA10-B100-46DB-90DF-BCF93695498D}"/>
    <cellStyle name="20% - Accent2 5 2 2 2 2" xfId="41738" xr:uid="{72C26327-C6DD-48B3-A6BD-FE1AB67FCF32}"/>
    <cellStyle name="20% - Accent2 5 2 2 3" xfId="16397" xr:uid="{B060EF7B-6864-4EA5-8549-DE5F2DA351DA}"/>
    <cellStyle name="20% - Accent2 5 2 2 4" xfId="33291" xr:uid="{96E95AF5-8BD5-4A83-8288-8429C7854B7E}"/>
    <cellStyle name="20% - Accent2 5 2 3" xfId="20627" xr:uid="{A0882BE0-710F-44DB-B887-72DECB54A121}"/>
    <cellStyle name="20% - Accent2 5 2 3 2" xfId="37521" xr:uid="{D040907A-77E0-4ACB-BCDD-B2B93D6DF8AB}"/>
    <cellStyle name="20% - Accent2 5 2 4" xfId="12180" xr:uid="{68732498-0111-47F2-91CF-912BD1457008}"/>
    <cellStyle name="20% - Accent2 5 2 5" xfId="29074" xr:uid="{99377299-65E3-4312-873A-7621B9CCDF79}"/>
    <cellStyle name="20% - Accent2 5 3" xfId="4926" xr:uid="{00000000-0005-0000-0000-000031010000}"/>
    <cellStyle name="20% - Accent2 5 3 2" xfId="22699" xr:uid="{532A738D-6142-4027-8CCB-647B83497997}"/>
    <cellStyle name="20% - Accent2 5 3 2 2" xfId="39593" xr:uid="{71EFEA07-8A86-4DC1-B47E-F79014362BBC}"/>
    <cellStyle name="20% - Accent2 5 3 3" xfId="14252" xr:uid="{8D997BC9-7E0D-4A61-8614-26C484819302}"/>
    <cellStyle name="20% - Accent2 5 3 4" xfId="31146" xr:uid="{90E714C8-79EC-465C-B8D6-9F1BE7E73197}"/>
    <cellStyle name="20% - Accent2 5 4" xfId="9182" xr:uid="{F822E263-B2A4-41B5-BBF9-FCE1A7A30601}"/>
    <cellStyle name="20% - Accent2 5 4 2" xfId="18482" xr:uid="{C303AC63-5E6F-4C10-BE8C-09057BD18128}"/>
    <cellStyle name="20% - Accent2 5 4 3" xfId="35376" xr:uid="{32FA10D2-A07C-4FD2-8EFB-66B3CAA63986}"/>
    <cellStyle name="20% - Accent2 5 5" xfId="10035" xr:uid="{CEC38A5C-2378-4923-BD93-F90BBDB1FBE8}"/>
    <cellStyle name="20% - Accent2 5 6" xfId="26929" xr:uid="{6C424A43-3E0E-4A85-B435-3795A2BAB224}"/>
    <cellStyle name="20% - Accent2 6" xfId="1031" xr:uid="{00000000-0005-0000-0000-000032010000}"/>
    <cellStyle name="20% - Accent2 6 2" xfId="3262" xr:uid="{00000000-0005-0000-0000-000033010000}"/>
    <cellStyle name="20% - Accent2 6 2 2" xfId="7484" xr:uid="{00000000-0005-0000-0000-000034010000}"/>
    <cellStyle name="20% - Accent2 6 2 2 2" xfId="25257" xr:uid="{FAF0FC0B-76AE-47F9-93F6-903CA50F681F}"/>
    <cellStyle name="20% - Accent2 6 2 2 2 2" xfId="42151" xr:uid="{3D46578C-4E5C-493E-BCB3-6915D5831A5E}"/>
    <cellStyle name="20% - Accent2 6 2 2 3" xfId="16810" xr:uid="{E9ED203D-5A9C-4F47-BFB3-D8560B7F41BB}"/>
    <cellStyle name="20% - Accent2 6 2 2 4" xfId="33704" xr:uid="{B3DF73E8-F09A-4C76-918C-ED95BA514429}"/>
    <cellStyle name="20% - Accent2 6 2 3" xfId="21040" xr:uid="{D5887244-EFCA-476B-9E9E-C35A3D47878B}"/>
    <cellStyle name="20% - Accent2 6 2 3 2" xfId="37934" xr:uid="{198F573C-F19C-48AC-AA53-099A038440FB}"/>
    <cellStyle name="20% - Accent2 6 2 4" xfId="12593" xr:uid="{E13CF4AF-2B1C-4CFD-9982-5D0C096975AE}"/>
    <cellStyle name="20% - Accent2 6 2 5" xfId="29487" xr:uid="{F03CDD9D-2831-4D92-BC88-430B0F9FB082}"/>
    <cellStyle name="20% - Accent2 6 3" xfId="5339" xr:uid="{00000000-0005-0000-0000-000035010000}"/>
    <cellStyle name="20% - Accent2 6 3 2" xfId="23112" xr:uid="{07E4AF90-1DEC-43DB-B221-CC7636788F4F}"/>
    <cellStyle name="20% - Accent2 6 3 2 2" xfId="40006" xr:uid="{08159544-B9EE-4BA2-BC65-3893FA0C23E5}"/>
    <cellStyle name="20% - Accent2 6 3 3" xfId="14665" xr:uid="{0909556E-8BE3-4475-B8F0-539CD88949CA}"/>
    <cellStyle name="20% - Accent2 6 3 4" xfId="31559" xr:uid="{C2A749D7-8442-4075-B503-B73C2DC638DC}"/>
    <cellStyle name="20% - Accent2 6 4" xfId="18895" xr:uid="{2F8E7EFD-526B-4FB4-8837-8A2B97080ADF}"/>
    <cellStyle name="20% - Accent2 6 4 2" xfId="35789" xr:uid="{2AE87FB2-9DEA-4B2D-8C62-8F2BF7F70D4F}"/>
    <cellStyle name="20% - Accent2 6 5" xfId="10448" xr:uid="{03436CB3-31F5-4F5D-BAA7-A9DA9C255B1E}"/>
    <cellStyle name="20% - Accent2 6 6" xfId="27342" xr:uid="{03829AA1-1FB6-49BC-BD11-6E5BC9754D7D}"/>
    <cellStyle name="20% - Accent2 7" xfId="1445" xr:uid="{00000000-0005-0000-0000-000036010000}"/>
    <cellStyle name="20% - Accent2 7 2" xfId="3675" xr:uid="{00000000-0005-0000-0000-000037010000}"/>
    <cellStyle name="20% - Accent2 7 2 2" xfId="7897" xr:uid="{00000000-0005-0000-0000-000038010000}"/>
    <cellStyle name="20% - Accent2 7 2 2 2" xfId="25670" xr:uid="{7AA8301F-62B4-41EE-BD7B-9BE4536C32A4}"/>
    <cellStyle name="20% - Accent2 7 2 2 2 2" xfId="42564" xr:uid="{054C8244-3F21-4D44-A345-AA27AF512C4A}"/>
    <cellStyle name="20% - Accent2 7 2 2 3" xfId="17223" xr:uid="{19CECA89-DE48-46A4-B32E-9AEF61136A6D}"/>
    <cellStyle name="20% - Accent2 7 2 2 4" xfId="34117" xr:uid="{E6D2811B-23AC-41AF-B1EE-631AEFC350AC}"/>
    <cellStyle name="20% - Accent2 7 2 3" xfId="21453" xr:uid="{22EEBB44-0413-4C24-9BB7-55B9FD4ED2BC}"/>
    <cellStyle name="20% - Accent2 7 2 3 2" xfId="38347" xr:uid="{C055F0BE-2F7A-429B-AF99-F89EA6CCA88E}"/>
    <cellStyle name="20% - Accent2 7 2 4" xfId="13006" xr:uid="{CC26B7C7-686F-421C-83EC-B9268BD54DD5}"/>
    <cellStyle name="20% - Accent2 7 2 5" xfId="29900" xr:uid="{7FDC404F-1EFD-4910-8C6E-EE05D61B4913}"/>
    <cellStyle name="20% - Accent2 7 3" xfId="5752" xr:uid="{00000000-0005-0000-0000-000039010000}"/>
    <cellStyle name="20% - Accent2 7 3 2" xfId="23525" xr:uid="{CFF9F18B-D22F-4DDA-9C7D-DA10BAB76343}"/>
    <cellStyle name="20% - Accent2 7 3 2 2" xfId="40419" xr:uid="{C2A3ABA4-73AC-48EE-904F-18F0DCAF18C0}"/>
    <cellStyle name="20% - Accent2 7 3 3" xfId="15078" xr:uid="{92939FDB-3623-4240-B149-E24BB7E7C19A}"/>
    <cellStyle name="20% - Accent2 7 3 4" xfId="31972" xr:uid="{E02F69BD-C9D7-43E4-A377-470E06BFBCED}"/>
    <cellStyle name="20% - Accent2 7 4" xfId="19308" xr:uid="{E42A6CF1-A91C-4435-9190-3C6910176F7A}"/>
    <cellStyle name="20% - Accent2 7 4 2" xfId="36202" xr:uid="{2EC89F47-834A-4660-A048-2DC6FB399A06}"/>
    <cellStyle name="20% - Accent2 7 5" xfId="10861" xr:uid="{3EFF3A15-EA74-4710-867D-A87F5DC131CB}"/>
    <cellStyle name="20% - Accent2 7 6" xfId="27755" xr:uid="{D8552B7F-CF10-4D57-9FA6-10E7F43F4781}"/>
    <cellStyle name="20% - Accent2 8" xfId="1859" xr:uid="{00000000-0005-0000-0000-00003A010000}"/>
    <cellStyle name="20% - Accent2 8 2" xfId="4088" xr:uid="{00000000-0005-0000-0000-00003B010000}"/>
    <cellStyle name="20% - Accent2 8 2 2" xfId="8310" xr:uid="{00000000-0005-0000-0000-00003C010000}"/>
    <cellStyle name="20% - Accent2 8 2 2 2" xfId="26083" xr:uid="{1EEFDBD6-1254-4793-87C8-33369E177CEE}"/>
    <cellStyle name="20% - Accent2 8 2 2 2 2" xfId="42977" xr:uid="{FE4D3193-C9CB-4ACA-B168-4A967490D3CF}"/>
    <cellStyle name="20% - Accent2 8 2 2 3" xfId="17636" xr:uid="{45F7F978-76F2-4A6E-8E81-3A41BEFF1369}"/>
    <cellStyle name="20% - Accent2 8 2 2 4" xfId="34530" xr:uid="{616F94EC-4FA8-4E2D-891F-6D5F4B779CC1}"/>
    <cellStyle name="20% - Accent2 8 2 3" xfId="21866" xr:uid="{10A49D35-35BE-4740-8628-FFDC5B7D7C93}"/>
    <cellStyle name="20% - Accent2 8 2 3 2" xfId="38760" xr:uid="{830A3A4E-C3CD-41EA-9113-6D3F0601D143}"/>
    <cellStyle name="20% - Accent2 8 2 4" xfId="13419" xr:uid="{E0703F96-5EDF-4CC3-8528-6C7F4724FAB4}"/>
    <cellStyle name="20% - Accent2 8 2 5" xfId="30313" xr:uid="{036919B6-AC95-4CC7-B482-FA0D789B80F1}"/>
    <cellStyle name="20% - Accent2 8 3" xfId="6165" xr:uid="{00000000-0005-0000-0000-00003D010000}"/>
    <cellStyle name="20% - Accent2 8 3 2" xfId="23938" xr:uid="{FBB06C65-FFFE-44E2-9745-9D8CD4A6A612}"/>
    <cellStyle name="20% - Accent2 8 3 2 2" xfId="40832" xr:uid="{27053CC5-1C3E-40AB-83BE-23C49D15623A}"/>
    <cellStyle name="20% - Accent2 8 3 3" xfId="15491" xr:uid="{82B44C97-5D47-48FF-A75D-3B970773D5C6}"/>
    <cellStyle name="20% - Accent2 8 3 4" xfId="32385" xr:uid="{BC0638C2-DAAB-4D32-BB88-B12A3A515C1A}"/>
    <cellStyle name="20% - Accent2 8 4" xfId="19721" xr:uid="{496C5445-E952-4E76-9419-B0CBEECF8676}"/>
    <cellStyle name="20% - Accent2 8 4 2" xfId="36615" xr:uid="{C01D4269-86F1-42CA-B79F-4C9EDC985AFB}"/>
    <cellStyle name="20% - Accent2 8 5" xfId="11274" xr:uid="{361A63D9-DCB9-426C-BCB8-254CEDA0F9FA}"/>
    <cellStyle name="20% - Accent2 8 6" xfId="28168" xr:uid="{CC4BD71B-42EC-491E-9974-024B54A23CA6}"/>
    <cellStyle name="20% - Accent2 9" xfId="2272" xr:uid="{00000000-0005-0000-0000-00003E010000}"/>
    <cellStyle name="20% - Accent2 9 2" xfId="6578" xr:uid="{00000000-0005-0000-0000-00003F010000}"/>
    <cellStyle name="20% - Accent2 9 2 2" xfId="24351" xr:uid="{6DA2506D-71E9-40E9-9165-72461ADD6096}"/>
    <cellStyle name="20% - Accent2 9 2 2 2" xfId="41245" xr:uid="{95F491DB-F9EE-48B8-93F1-8DB0091D9381}"/>
    <cellStyle name="20% - Accent2 9 2 3" xfId="15904" xr:uid="{35E1E29F-3A1D-4B66-847A-D3646A7535E9}"/>
    <cellStyle name="20% - Accent2 9 2 4" xfId="32798" xr:uid="{F2DD5F79-6910-4328-8DAB-6BB29AC7174B}"/>
    <cellStyle name="20% - Accent2 9 3" xfId="20134" xr:uid="{EF82391D-42AD-41C6-BF95-56FD1984ABD0}"/>
    <cellStyle name="20% - Accent2 9 3 2" xfId="37028" xr:uid="{15C20B8B-3678-41B7-8C4D-44DF40C33AAE}"/>
    <cellStyle name="20% - Accent2 9 4" xfId="11687" xr:uid="{2147FE5B-084F-40AB-8B76-3AE3C8DE0076}"/>
    <cellStyle name="20% - Accent2 9 5" xfId="28581" xr:uid="{DF5AA723-ED12-45DA-B4B6-35A1BE3ACCAB}"/>
    <cellStyle name="20% - Accent3" xfId="17" builtinId="38" customBuiltin="1"/>
    <cellStyle name="20% - Accent3 10" xfId="4520" xr:uid="{00000000-0005-0000-0000-000041010000}"/>
    <cellStyle name="20% - Accent3 10 2" xfId="22293" xr:uid="{007D670B-52AB-4B13-8D3A-7CF09626645A}"/>
    <cellStyle name="20% - Accent3 10 2 2" xfId="39187" xr:uid="{661F5198-EFFA-4EA9-8F6A-AC256D7BE17B}"/>
    <cellStyle name="20% - Accent3 10 3" xfId="13846" xr:uid="{F82AC607-43DD-4959-8B2D-AE49F5BA942F}"/>
    <cellStyle name="20% - Accent3 10 4" xfId="30740" xr:uid="{8F71A154-8654-47D9-8ADC-B5CBCDC5C105}"/>
    <cellStyle name="20% - Accent3 11" xfId="8762" xr:uid="{49ACF776-43E7-4BB5-82F5-A8A4FEBC45F8}"/>
    <cellStyle name="20% - Accent3 11 2" xfId="18076" xr:uid="{B8BFDCD7-50A2-4DDC-B420-53D2BAA93BDF}"/>
    <cellStyle name="20% - Accent3 11 3" xfId="34970" xr:uid="{7776AAC5-9CB8-43AF-910A-2F59F5285614}"/>
    <cellStyle name="20% - Accent3 12" xfId="9629" xr:uid="{0EC94A85-0E5B-4194-B2FE-9CB51688A023}"/>
    <cellStyle name="20% - Accent3 13" xfId="26523" xr:uid="{5AD9EA5D-2036-454D-8ED8-6EBBC4C3326D}"/>
    <cellStyle name="20% - Accent3 2" xfId="18" xr:uid="{00000000-0005-0000-0000-000042010000}"/>
    <cellStyle name="20% - Accent3 2 10" xfId="8792" xr:uid="{65E5762F-047C-4860-B47E-71363924E2A5}"/>
    <cellStyle name="20% - Accent3 2 10 2" xfId="18077" xr:uid="{A14D8E79-2D9E-4413-8392-ADC2B174ABD9}"/>
    <cellStyle name="20% - Accent3 2 10 3" xfId="34971" xr:uid="{875003EB-B8AA-4F86-AC0F-BC5DA42F361D}"/>
    <cellStyle name="20% - Accent3 2 11" xfId="9630" xr:uid="{CBB37D08-8EB2-406C-A19A-E7AC21800549}"/>
    <cellStyle name="20% - Accent3 2 12" xfId="26524" xr:uid="{7F3524B1-AD34-41BD-B074-9D480BEC9E69}"/>
    <cellStyle name="20% - Accent3 2 2" xfId="19" xr:uid="{00000000-0005-0000-0000-000043010000}"/>
    <cellStyle name="20% - Accent3 2 2 10" xfId="9631" xr:uid="{43E095BA-6F41-4967-9A21-DB84D34C19A9}"/>
    <cellStyle name="20% - Accent3 2 2 11" xfId="26525" xr:uid="{93FB0887-7E10-4930-8A22-AB6576FEADFF}"/>
    <cellStyle name="20% - Accent3 2 2 2" xfId="20" xr:uid="{00000000-0005-0000-0000-000044010000}"/>
    <cellStyle name="20% - Accent3 2 2 2 10" xfId="26526" xr:uid="{B7E8B9D7-8E23-4675-976B-78C74A0A1D64}"/>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2 2 2" xfId="24855" xr:uid="{ADFB629C-245B-4AAB-8510-BDEF0A938A4E}"/>
    <cellStyle name="20% - Accent3 2 2 2 2 2 2 2 2" xfId="41749" xr:uid="{1D8D72D1-9194-473D-8BB4-FC514614F4B9}"/>
    <cellStyle name="20% - Accent3 2 2 2 2 2 2 3" xfId="16408" xr:uid="{7ABE87FB-D9C8-46DC-A7A3-65A374A849F8}"/>
    <cellStyle name="20% - Accent3 2 2 2 2 2 2 4" xfId="33302" xr:uid="{E7180724-BB65-4A5A-98C8-488BC881236D}"/>
    <cellStyle name="20% - Accent3 2 2 2 2 2 3" xfId="20638" xr:uid="{17BED78E-C1C1-4BD3-82FE-E2E04807E969}"/>
    <cellStyle name="20% - Accent3 2 2 2 2 2 3 2" xfId="37532" xr:uid="{C19D3F06-41E6-48DC-886A-0A65C78792D1}"/>
    <cellStyle name="20% - Accent3 2 2 2 2 2 4" xfId="12191" xr:uid="{FA5931CD-CCD4-4DC3-9C14-C383F81B3901}"/>
    <cellStyle name="20% - Accent3 2 2 2 2 2 5" xfId="29085" xr:uid="{E9512004-4F3E-4FCA-99A8-8D9AEDB1E5A2}"/>
    <cellStyle name="20% - Accent3 2 2 2 2 3" xfId="4937" xr:uid="{00000000-0005-0000-0000-000048010000}"/>
    <cellStyle name="20% - Accent3 2 2 2 2 3 2" xfId="22710" xr:uid="{7A678876-DB89-48C4-A2AE-27E1FCD50071}"/>
    <cellStyle name="20% - Accent3 2 2 2 2 3 2 2" xfId="39604" xr:uid="{A92A08A2-B2C1-482D-A50E-DF989A32CA8A}"/>
    <cellStyle name="20% - Accent3 2 2 2 2 3 3" xfId="14263" xr:uid="{CAE816B8-74BA-44D5-9C13-30235C15629A}"/>
    <cellStyle name="20% - Accent3 2 2 2 2 3 4" xfId="31157" xr:uid="{FB00452D-0328-40EE-914A-CAAADE01DE22}"/>
    <cellStyle name="20% - Accent3 2 2 2 2 4" xfId="9527" xr:uid="{B82F9F3C-4714-4F10-BEB2-F90FC0563F53}"/>
    <cellStyle name="20% - Accent3 2 2 2 2 4 2" xfId="18493" xr:uid="{188E3E51-3F8C-416F-BAA0-52F4D7C311D9}"/>
    <cellStyle name="20% - Accent3 2 2 2 2 4 3" xfId="35387" xr:uid="{9317AE47-09DE-492E-837F-9985FF4CFA31}"/>
    <cellStyle name="20% - Accent3 2 2 2 2 5" xfId="10046" xr:uid="{1E9F03A3-5BBF-40FE-80DD-F2A00DB4D42E}"/>
    <cellStyle name="20% - Accent3 2 2 2 2 6" xfId="26940" xr:uid="{F8350216-8B47-4556-AE4B-E08296ECD6FE}"/>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2 2 2" xfId="25268" xr:uid="{F7432B1D-8F72-417D-8472-1ADE27E97726}"/>
    <cellStyle name="20% - Accent3 2 2 2 3 2 2 2 2" xfId="42162" xr:uid="{374E94A6-212A-4AB7-AF7B-CE104AA859BB}"/>
    <cellStyle name="20% - Accent3 2 2 2 3 2 2 3" xfId="16821" xr:uid="{51DF8927-63DD-41AF-AFA6-4466764E1691}"/>
    <cellStyle name="20% - Accent3 2 2 2 3 2 2 4" xfId="33715" xr:uid="{6D1DDDDD-DD18-43CB-BA4C-7EE0AF480C03}"/>
    <cellStyle name="20% - Accent3 2 2 2 3 2 3" xfId="21051" xr:uid="{7EE48C67-229A-40FE-ABD0-59BADE42DF5F}"/>
    <cellStyle name="20% - Accent3 2 2 2 3 2 3 2" xfId="37945" xr:uid="{B33BD175-7F1D-4017-B098-1C1665CE891B}"/>
    <cellStyle name="20% - Accent3 2 2 2 3 2 4" xfId="12604" xr:uid="{17275214-70C3-4013-8D74-40D5E9E6F17A}"/>
    <cellStyle name="20% - Accent3 2 2 2 3 2 5" xfId="29498" xr:uid="{C82334C6-8FDC-44D6-992D-7F33AE5A2219}"/>
    <cellStyle name="20% - Accent3 2 2 2 3 3" xfId="5350" xr:uid="{00000000-0005-0000-0000-00004C010000}"/>
    <cellStyle name="20% - Accent3 2 2 2 3 3 2" xfId="23123" xr:uid="{89BD55F0-355D-4554-940D-8DBF1900F92A}"/>
    <cellStyle name="20% - Accent3 2 2 2 3 3 2 2" xfId="40017" xr:uid="{29CD5883-9843-4D60-9E7F-2E507A2C618A}"/>
    <cellStyle name="20% - Accent3 2 2 2 3 3 3" xfId="14676" xr:uid="{1F488793-112E-4578-AE31-1AB6E724C468}"/>
    <cellStyle name="20% - Accent3 2 2 2 3 3 4" xfId="31570" xr:uid="{000A2E67-9B8E-4AA6-933F-428F4CA4612C}"/>
    <cellStyle name="20% - Accent3 2 2 2 3 4" xfId="18906" xr:uid="{53B58F55-9E4A-449B-B498-CB1C28DF7A35}"/>
    <cellStyle name="20% - Accent3 2 2 2 3 4 2" xfId="35800" xr:uid="{92FA8280-8C8B-4EE3-9AAA-120FD99DE6D5}"/>
    <cellStyle name="20% - Accent3 2 2 2 3 5" xfId="10459" xr:uid="{F06B2A7E-604C-4DF8-9EE8-23B7294A2705}"/>
    <cellStyle name="20% - Accent3 2 2 2 3 6" xfId="27353" xr:uid="{66962B4C-CE47-44F6-B11B-9D2D50222F08}"/>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2 2 2" xfId="25681" xr:uid="{36A297F7-3EAE-4B8F-8ED5-471787D5A3FE}"/>
    <cellStyle name="20% - Accent3 2 2 2 4 2 2 2 2" xfId="42575" xr:uid="{452DDDAF-4833-43BA-BBC8-2CB63BA5DB6B}"/>
    <cellStyle name="20% - Accent3 2 2 2 4 2 2 3" xfId="17234" xr:uid="{3E8D8E3E-E89F-4CF2-9669-206D5E3FDF6F}"/>
    <cellStyle name="20% - Accent3 2 2 2 4 2 2 4" xfId="34128" xr:uid="{B65A57B8-EE63-4291-85D1-901234D91E02}"/>
    <cellStyle name="20% - Accent3 2 2 2 4 2 3" xfId="21464" xr:uid="{D5098AA0-C160-48A7-A110-A395FEF410AF}"/>
    <cellStyle name="20% - Accent3 2 2 2 4 2 3 2" xfId="38358" xr:uid="{2AF19F9B-477E-4015-825B-DA2F3698E965}"/>
    <cellStyle name="20% - Accent3 2 2 2 4 2 4" xfId="13017" xr:uid="{D4D03EE4-3244-42CC-A5CD-B20990CD5DE6}"/>
    <cellStyle name="20% - Accent3 2 2 2 4 2 5" xfId="29911" xr:uid="{8D253633-6665-4659-BE62-37C0140DF2F1}"/>
    <cellStyle name="20% - Accent3 2 2 2 4 3" xfId="5763" xr:uid="{00000000-0005-0000-0000-000050010000}"/>
    <cellStyle name="20% - Accent3 2 2 2 4 3 2" xfId="23536" xr:uid="{ABCB5590-2230-4D05-B22E-9913E76EA80B}"/>
    <cellStyle name="20% - Accent3 2 2 2 4 3 2 2" xfId="40430" xr:uid="{A7EB5FFB-3925-4BA7-9C8B-67B112A98A96}"/>
    <cellStyle name="20% - Accent3 2 2 2 4 3 3" xfId="15089" xr:uid="{119C5270-27C6-48BC-B349-93EDE022066A}"/>
    <cellStyle name="20% - Accent3 2 2 2 4 3 4" xfId="31983" xr:uid="{8C0DCD5E-5A42-4662-8418-DD9CE95E3BD3}"/>
    <cellStyle name="20% - Accent3 2 2 2 4 4" xfId="19319" xr:uid="{C869B063-CBBD-4003-9C60-F58B9CC825F6}"/>
    <cellStyle name="20% - Accent3 2 2 2 4 4 2" xfId="36213" xr:uid="{8E1DB30D-C9D4-4E28-8907-4F9D8F6AE278}"/>
    <cellStyle name="20% - Accent3 2 2 2 4 5" xfId="10872" xr:uid="{8106B4E6-9941-4690-AFB8-5D542F4409E6}"/>
    <cellStyle name="20% - Accent3 2 2 2 4 6" xfId="27766" xr:uid="{C9814616-083A-4CC3-8700-51B9DFEE2635}"/>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2 2 2" xfId="26094" xr:uid="{BD0009D2-FEAE-4A73-81FF-BD2BEF827D61}"/>
    <cellStyle name="20% - Accent3 2 2 2 5 2 2 2 2" xfId="42988" xr:uid="{92514DDA-4876-4A94-8A01-11128AA613CB}"/>
    <cellStyle name="20% - Accent3 2 2 2 5 2 2 3" xfId="17647" xr:uid="{3229EF3C-E8AC-439C-ABAE-B32DAC7BA9AD}"/>
    <cellStyle name="20% - Accent3 2 2 2 5 2 2 4" xfId="34541" xr:uid="{78FF22C6-1DCE-4A19-A1FA-7FBF8D1E1AB7}"/>
    <cellStyle name="20% - Accent3 2 2 2 5 2 3" xfId="21877" xr:uid="{1165A903-B5B0-400A-9D61-EAFA8C5F07B7}"/>
    <cellStyle name="20% - Accent3 2 2 2 5 2 3 2" xfId="38771" xr:uid="{45AF30C2-0E00-4C85-A10A-FB9719C152D4}"/>
    <cellStyle name="20% - Accent3 2 2 2 5 2 4" xfId="13430" xr:uid="{21054DF4-8E28-40BA-9AC9-FECB83A1030A}"/>
    <cellStyle name="20% - Accent3 2 2 2 5 2 5" xfId="30324" xr:uid="{5C07807D-BC56-44BD-B18B-1D583AC87B68}"/>
    <cellStyle name="20% - Accent3 2 2 2 5 3" xfId="6176" xr:uid="{00000000-0005-0000-0000-000054010000}"/>
    <cellStyle name="20% - Accent3 2 2 2 5 3 2" xfId="23949" xr:uid="{58F061E8-DA87-4769-855D-5A8E6E518112}"/>
    <cellStyle name="20% - Accent3 2 2 2 5 3 2 2" xfId="40843" xr:uid="{403CEE7C-84E2-4312-A5CA-6BD90C9BC4EC}"/>
    <cellStyle name="20% - Accent3 2 2 2 5 3 3" xfId="15502" xr:uid="{1D45DEAE-6C20-49D4-8AE9-61765B59D56C}"/>
    <cellStyle name="20% - Accent3 2 2 2 5 3 4" xfId="32396" xr:uid="{043B51B0-59E9-489D-875E-BC412F63CEF5}"/>
    <cellStyle name="20% - Accent3 2 2 2 5 4" xfId="19732" xr:uid="{2079FE2E-E9CC-4373-A0C7-51B9A4DA4920}"/>
    <cellStyle name="20% - Accent3 2 2 2 5 4 2" xfId="36626" xr:uid="{C82DE297-DF67-4287-95A9-0E57BDF8E44F}"/>
    <cellStyle name="20% - Accent3 2 2 2 5 5" xfId="11285" xr:uid="{7BB0D0F5-A565-4B53-A316-2B982043FA4B}"/>
    <cellStyle name="20% - Accent3 2 2 2 5 6" xfId="28179" xr:uid="{08401B43-B39D-4C14-8C22-F500012D0484}"/>
    <cellStyle name="20% - Accent3 2 2 2 6" xfId="2283" xr:uid="{00000000-0005-0000-0000-000055010000}"/>
    <cellStyle name="20% - Accent3 2 2 2 6 2" xfId="6589" xr:uid="{00000000-0005-0000-0000-000056010000}"/>
    <cellStyle name="20% - Accent3 2 2 2 6 2 2" xfId="24362" xr:uid="{87FE92E3-B620-4109-9A90-BC655443D1C6}"/>
    <cellStyle name="20% - Accent3 2 2 2 6 2 2 2" xfId="41256" xr:uid="{018972A9-E013-40E5-9F49-416E84B5A02B}"/>
    <cellStyle name="20% - Accent3 2 2 2 6 2 3" xfId="15915" xr:uid="{B5EE63E2-20A8-4C2D-9083-7D2B84FF268F}"/>
    <cellStyle name="20% - Accent3 2 2 2 6 2 4" xfId="32809" xr:uid="{934536F5-9520-46D1-AFCA-539EA74F5A3A}"/>
    <cellStyle name="20% - Accent3 2 2 2 6 3" xfId="20145" xr:uid="{CB22668E-9CBC-469F-A568-3DCADC18C2F2}"/>
    <cellStyle name="20% - Accent3 2 2 2 6 3 2" xfId="37039" xr:uid="{79F13FE1-EDEF-43C4-9C68-3EF6A06CC68C}"/>
    <cellStyle name="20% - Accent3 2 2 2 6 4" xfId="11698" xr:uid="{EAC7116A-88F3-461F-91BA-677B8A32F29E}"/>
    <cellStyle name="20% - Accent3 2 2 2 6 5" xfId="28592" xr:uid="{C14A7AA1-B06D-4EB2-A9A2-A452ADE08D42}"/>
    <cellStyle name="20% - Accent3 2 2 2 7" xfId="4523" xr:uid="{00000000-0005-0000-0000-000057010000}"/>
    <cellStyle name="20% - Accent3 2 2 2 7 2" xfId="22296" xr:uid="{FEAF313D-D204-4A8F-90BE-226B19CD51FB}"/>
    <cellStyle name="20% - Accent3 2 2 2 7 2 2" xfId="39190" xr:uid="{EE5CD45F-9C8C-457B-AC95-BFA9647A957C}"/>
    <cellStyle name="20% - Accent3 2 2 2 7 3" xfId="13849" xr:uid="{88D290F9-957C-4F9A-8391-A3168EF1E6ED}"/>
    <cellStyle name="20% - Accent3 2 2 2 7 4" xfId="30743" xr:uid="{9AAF1031-312A-42AD-842F-353B2FD6306F}"/>
    <cellStyle name="20% - Accent3 2 2 2 8" xfId="9102" xr:uid="{77698EAD-FDE4-4105-BE80-980B5219F464}"/>
    <cellStyle name="20% - Accent3 2 2 2 8 2" xfId="18079" xr:uid="{922E8FA2-BD25-42CE-936F-EE0BDC80DB3A}"/>
    <cellStyle name="20% - Accent3 2 2 2 8 3" xfId="34973" xr:uid="{2C19FD18-7AD3-43DF-A07D-2DBAC95D98E9}"/>
    <cellStyle name="20% - Accent3 2 2 2 9" xfId="9632" xr:uid="{0C197085-23CF-40FD-A68D-478CC697408D}"/>
    <cellStyle name="20% - Accent3 2 2 3" xfId="588" xr:uid="{00000000-0005-0000-0000-000058010000}"/>
    <cellStyle name="20% - Accent3 2 2 3 2" xfId="2859" xr:uid="{00000000-0005-0000-0000-000059010000}"/>
    <cellStyle name="20% - Accent3 2 2 3 2 2" xfId="7081" xr:uid="{00000000-0005-0000-0000-00005A010000}"/>
    <cellStyle name="20% - Accent3 2 2 3 2 2 2" xfId="24854" xr:uid="{80EE0ED8-3B60-45C8-9468-6EB964F1CFBE}"/>
    <cellStyle name="20% - Accent3 2 2 3 2 2 2 2" xfId="41748" xr:uid="{6E019D66-17DB-4002-A428-3DAA39F7180B}"/>
    <cellStyle name="20% - Accent3 2 2 3 2 2 3" xfId="16407" xr:uid="{BD55D666-DC77-49F3-9FE7-AAFA97C7F1A5}"/>
    <cellStyle name="20% - Accent3 2 2 3 2 2 4" xfId="33301" xr:uid="{E8213104-E2C3-49AB-A300-51C107A9C7DE}"/>
    <cellStyle name="20% - Accent3 2 2 3 2 3" xfId="20637" xr:uid="{16F3A2AE-2B2C-4012-9A1F-172A6F35A31E}"/>
    <cellStyle name="20% - Accent3 2 2 3 2 3 2" xfId="37531" xr:uid="{859DC2B2-CC33-4217-B485-8AFD1B1ACE2A}"/>
    <cellStyle name="20% - Accent3 2 2 3 2 4" xfId="12190" xr:uid="{2015F98A-1901-4D5A-9CBB-B81D37626C45}"/>
    <cellStyle name="20% - Accent3 2 2 3 2 5" xfId="29084" xr:uid="{3816678E-6F2A-4239-9C3B-898E4A29602C}"/>
    <cellStyle name="20% - Accent3 2 2 3 3" xfId="4936" xr:uid="{00000000-0005-0000-0000-00005B010000}"/>
    <cellStyle name="20% - Accent3 2 2 3 3 2" xfId="22709" xr:uid="{E3865CB9-BFF0-4114-9FD2-8A67BDEBE863}"/>
    <cellStyle name="20% - Accent3 2 2 3 3 2 2" xfId="39603" xr:uid="{2B5392F6-64FF-4475-AF12-1E61D18493E1}"/>
    <cellStyle name="20% - Accent3 2 2 3 3 3" xfId="14262" xr:uid="{03709684-A359-4BC8-B4AD-6AC477F91F56}"/>
    <cellStyle name="20% - Accent3 2 2 3 3 4" xfId="31156" xr:uid="{E401D38D-4B29-402C-AF02-9E5060495446}"/>
    <cellStyle name="20% - Accent3 2 2 3 4" xfId="9320" xr:uid="{BF070B19-D289-4211-B080-DBB621CAE7BA}"/>
    <cellStyle name="20% - Accent3 2 2 3 4 2" xfId="18492" xr:uid="{2015D776-EA31-4F0A-94FA-D2D31D556907}"/>
    <cellStyle name="20% - Accent3 2 2 3 4 3" xfId="35386" xr:uid="{B20C8457-037C-45C8-9A9A-13490BDA8956}"/>
    <cellStyle name="20% - Accent3 2 2 3 5" xfId="10045" xr:uid="{5BD76912-F5EC-448A-8C8A-67C629371E12}"/>
    <cellStyle name="20% - Accent3 2 2 3 6" xfId="26939" xr:uid="{DEEAEEAD-515C-4386-BFBE-A7B0CDC686D9}"/>
    <cellStyle name="20% - Accent3 2 2 4" xfId="1041" xr:uid="{00000000-0005-0000-0000-00005C010000}"/>
    <cellStyle name="20% - Accent3 2 2 4 2" xfId="3272" xr:uid="{00000000-0005-0000-0000-00005D010000}"/>
    <cellStyle name="20% - Accent3 2 2 4 2 2" xfId="7494" xr:uid="{00000000-0005-0000-0000-00005E010000}"/>
    <cellStyle name="20% - Accent3 2 2 4 2 2 2" xfId="25267" xr:uid="{76E1448E-87CC-4E76-9246-50E169BCD141}"/>
    <cellStyle name="20% - Accent3 2 2 4 2 2 2 2" xfId="42161" xr:uid="{DC6E2752-6126-4FE0-BD9B-7E3C3BAD2447}"/>
    <cellStyle name="20% - Accent3 2 2 4 2 2 3" xfId="16820" xr:uid="{B24D33A5-2276-4C0B-800F-EE0C3A3FB523}"/>
    <cellStyle name="20% - Accent3 2 2 4 2 2 4" xfId="33714" xr:uid="{D040AA67-9232-4680-8ABB-E3206EE74327}"/>
    <cellStyle name="20% - Accent3 2 2 4 2 3" xfId="21050" xr:uid="{521D2DFB-38F5-42B4-AE84-632135FFF7CF}"/>
    <cellStyle name="20% - Accent3 2 2 4 2 3 2" xfId="37944" xr:uid="{EB471D7C-0436-40DD-A2D8-C6EAE1499C5E}"/>
    <cellStyle name="20% - Accent3 2 2 4 2 4" xfId="12603" xr:uid="{9477B019-E857-4F45-8578-E5649B205EA6}"/>
    <cellStyle name="20% - Accent3 2 2 4 2 5" xfId="29497" xr:uid="{E5C3EE17-C97A-468A-819C-2B5523309FCB}"/>
    <cellStyle name="20% - Accent3 2 2 4 3" xfId="5349" xr:uid="{00000000-0005-0000-0000-00005F010000}"/>
    <cellStyle name="20% - Accent3 2 2 4 3 2" xfId="23122" xr:uid="{613BAFA3-A49C-43E1-8877-701A278F156F}"/>
    <cellStyle name="20% - Accent3 2 2 4 3 2 2" xfId="40016" xr:uid="{53A37B85-EEAB-4FBC-862A-F25E85DDA45D}"/>
    <cellStyle name="20% - Accent3 2 2 4 3 3" xfId="14675" xr:uid="{F4E8B0F2-5D6F-447D-83FD-64E4EC1E1589}"/>
    <cellStyle name="20% - Accent3 2 2 4 3 4" xfId="31569" xr:uid="{C3AE51D8-0871-4CBA-B34E-B6D7A7B6948C}"/>
    <cellStyle name="20% - Accent3 2 2 4 4" xfId="18905" xr:uid="{AAB27965-2DBE-45A1-8770-14B57C83CA90}"/>
    <cellStyle name="20% - Accent3 2 2 4 4 2" xfId="35799" xr:uid="{32377CB8-A43F-4B8E-85C2-BB1082AE2406}"/>
    <cellStyle name="20% - Accent3 2 2 4 5" xfId="10458" xr:uid="{3A8A4AFC-B219-4F44-976D-28D92B212D6E}"/>
    <cellStyle name="20% - Accent3 2 2 4 6" xfId="27352" xr:uid="{01B5EF60-F17E-4893-9BB7-350C2BF20401}"/>
    <cellStyle name="20% - Accent3 2 2 5" xfId="1455" xr:uid="{00000000-0005-0000-0000-000060010000}"/>
    <cellStyle name="20% - Accent3 2 2 5 2" xfId="3685" xr:uid="{00000000-0005-0000-0000-000061010000}"/>
    <cellStyle name="20% - Accent3 2 2 5 2 2" xfId="7907" xr:uid="{00000000-0005-0000-0000-000062010000}"/>
    <cellStyle name="20% - Accent3 2 2 5 2 2 2" xfId="25680" xr:uid="{C56DAA15-B547-4A27-835B-62DB24100C0C}"/>
    <cellStyle name="20% - Accent3 2 2 5 2 2 2 2" xfId="42574" xr:uid="{1FFFBA22-EE28-4895-9A8A-3845AD90BD64}"/>
    <cellStyle name="20% - Accent3 2 2 5 2 2 3" xfId="17233" xr:uid="{C29CBEDB-1424-40FB-A9EA-D98AB1FCADD3}"/>
    <cellStyle name="20% - Accent3 2 2 5 2 2 4" xfId="34127" xr:uid="{C0429F26-9AD3-4132-BBA7-C92F6B248DC1}"/>
    <cellStyle name="20% - Accent3 2 2 5 2 3" xfId="21463" xr:uid="{137B925D-8DF8-48BE-9ED9-A43AA0500AFD}"/>
    <cellStyle name="20% - Accent3 2 2 5 2 3 2" xfId="38357" xr:uid="{2FDC615E-F72C-4E2D-BBD4-3776E8BDB2C0}"/>
    <cellStyle name="20% - Accent3 2 2 5 2 4" xfId="13016" xr:uid="{90920AF6-0298-44BD-A5AF-52919A96A272}"/>
    <cellStyle name="20% - Accent3 2 2 5 2 5" xfId="29910" xr:uid="{4A275C22-98E3-4131-86E9-8CFA4907BF6B}"/>
    <cellStyle name="20% - Accent3 2 2 5 3" xfId="5762" xr:uid="{00000000-0005-0000-0000-000063010000}"/>
    <cellStyle name="20% - Accent3 2 2 5 3 2" xfId="23535" xr:uid="{82B4509B-8F5C-4B06-9BF6-940170E032C5}"/>
    <cellStyle name="20% - Accent3 2 2 5 3 2 2" xfId="40429" xr:uid="{BB99E15B-E2F1-42EC-A42F-7B3186B89E0F}"/>
    <cellStyle name="20% - Accent3 2 2 5 3 3" xfId="15088" xr:uid="{D429C07D-400E-4CD4-91BF-AF50EAE58356}"/>
    <cellStyle name="20% - Accent3 2 2 5 3 4" xfId="31982" xr:uid="{60544B7B-03D1-4648-BB02-30E9A8261DA8}"/>
    <cellStyle name="20% - Accent3 2 2 5 4" xfId="19318" xr:uid="{B27D7332-76FB-494A-B9CE-6BE79F064221}"/>
    <cellStyle name="20% - Accent3 2 2 5 4 2" xfId="36212" xr:uid="{A92D342C-9BB4-4D63-8384-B275B22B2AD4}"/>
    <cellStyle name="20% - Accent3 2 2 5 5" xfId="10871" xr:uid="{D882289F-BF98-41CA-9CE0-721FDE0CC9FE}"/>
    <cellStyle name="20% - Accent3 2 2 5 6" xfId="27765" xr:uid="{DC90328F-7058-43C0-9382-25B99D4E84F1}"/>
    <cellStyle name="20% - Accent3 2 2 6" xfId="1869" xr:uid="{00000000-0005-0000-0000-000064010000}"/>
    <cellStyle name="20% - Accent3 2 2 6 2" xfId="4098" xr:uid="{00000000-0005-0000-0000-000065010000}"/>
    <cellStyle name="20% - Accent3 2 2 6 2 2" xfId="8320" xr:uid="{00000000-0005-0000-0000-000066010000}"/>
    <cellStyle name="20% - Accent3 2 2 6 2 2 2" xfId="26093" xr:uid="{03AD9A99-1340-4E5E-A97E-333AE931030A}"/>
    <cellStyle name="20% - Accent3 2 2 6 2 2 2 2" xfId="42987" xr:uid="{CA835849-31F8-4D95-9ADB-95C2EF8D2E12}"/>
    <cellStyle name="20% - Accent3 2 2 6 2 2 3" xfId="17646" xr:uid="{A722734F-7B96-41F5-89C2-93ECBCE7D5CB}"/>
    <cellStyle name="20% - Accent3 2 2 6 2 2 4" xfId="34540" xr:uid="{59F8B6AA-8530-4148-AC11-79B89844FC34}"/>
    <cellStyle name="20% - Accent3 2 2 6 2 3" xfId="21876" xr:uid="{026D5FAF-1033-4984-8FCA-FCE59EFDA79F}"/>
    <cellStyle name="20% - Accent3 2 2 6 2 3 2" xfId="38770" xr:uid="{27616854-D5DD-4998-B6F7-FD75C0476F6A}"/>
    <cellStyle name="20% - Accent3 2 2 6 2 4" xfId="13429" xr:uid="{FA02CAB7-69A6-4AF2-B3EA-CE66D58DD717}"/>
    <cellStyle name="20% - Accent3 2 2 6 2 5" xfId="30323" xr:uid="{A168BDB9-F4ED-418C-A4FF-73C436CE8306}"/>
    <cellStyle name="20% - Accent3 2 2 6 3" xfId="6175" xr:uid="{00000000-0005-0000-0000-000067010000}"/>
    <cellStyle name="20% - Accent3 2 2 6 3 2" xfId="23948" xr:uid="{17E18290-E32D-4725-819B-C3A7C852306B}"/>
    <cellStyle name="20% - Accent3 2 2 6 3 2 2" xfId="40842" xr:uid="{9C3EB19C-EC9B-4D4F-9B85-4CFCB11AD96A}"/>
    <cellStyle name="20% - Accent3 2 2 6 3 3" xfId="15501" xr:uid="{557CA9B3-C3A7-4A78-A660-19FD94011CC0}"/>
    <cellStyle name="20% - Accent3 2 2 6 3 4" xfId="32395" xr:uid="{7FFF936B-89BF-403E-9B9B-3F44BDC58691}"/>
    <cellStyle name="20% - Accent3 2 2 6 4" xfId="19731" xr:uid="{C04F2384-6A95-4051-8DA0-070E165EEF91}"/>
    <cellStyle name="20% - Accent3 2 2 6 4 2" xfId="36625" xr:uid="{AF4298E1-8248-4D51-BA41-3BA82E470BF3}"/>
    <cellStyle name="20% - Accent3 2 2 6 5" xfId="11284" xr:uid="{5B542123-932D-4AF1-A3BE-827613353E09}"/>
    <cellStyle name="20% - Accent3 2 2 6 6" xfId="28178" xr:uid="{97648C8E-658F-4318-8EFB-B92FD4F14731}"/>
    <cellStyle name="20% - Accent3 2 2 7" xfId="2282" xr:uid="{00000000-0005-0000-0000-000068010000}"/>
    <cellStyle name="20% - Accent3 2 2 7 2" xfId="6588" xr:uid="{00000000-0005-0000-0000-000069010000}"/>
    <cellStyle name="20% - Accent3 2 2 7 2 2" xfId="24361" xr:uid="{ADE5F49D-F7FA-4796-B7A0-CB6396E22C3D}"/>
    <cellStyle name="20% - Accent3 2 2 7 2 2 2" xfId="41255" xr:uid="{198C5341-4EF4-4D04-9918-2957F5ABD959}"/>
    <cellStyle name="20% - Accent3 2 2 7 2 3" xfId="15914" xr:uid="{19765191-A25B-48D7-B728-365F4A97E4CD}"/>
    <cellStyle name="20% - Accent3 2 2 7 2 4" xfId="32808" xr:uid="{5822AC8D-E952-4FC0-8CAD-1BE00086592E}"/>
    <cellStyle name="20% - Accent3 2 2 7 3" xfId="20144" xr:uid="{2F4B5A3D-5B95-4642-8119-B92C74253B9E}"/>
    <cellStyle name="20% - Accent3 2 2 7 3 2" xfId="37038" xr:uid="{EFAFCF5A-3E1D-4BE6-B7BC-F2BCFD4E13C4}"/>
    <cellStyle name="20% - Accent3 2 2 7 4" xfId="11697" xr:uid="{5266BC8B-650A-4B9F-873F-7AAA4F4908C8}"/>
    <cellStyle name="20% - Accent3 2 2 7 5" xfId="28591" xr:uid="{D833A230-118B-4A4C-AAE8-AE02B63EC4AC}"/>
    <cellStyle name="20% - Accent3 2 2 8" xfId="4522" xr:uid="{00000000-0005-0000-0000-00006A010000}"/>
    <cellStyle name="20% - Accent3 2 2 8 2" xfId="22295" xr:uid="{38CCA383-6BFF-49D7-A994-43CBB533D294}"/>
    <cellStyle name="20% - Accent3 2 2 8 2 2" xfId="39189" xr:uid="{D53BB011-B347-4A8B-B3FB-B5DCE3DF2239}"/>
    <cellStyle name="20% - Accent3 2 2 8 3" xfId="13848" xr:uid="{1CD8B203-CC9A-4918-A410-A537FB817B55}"/>
    <cellStyle name="20% - Accent3 2 2 8 4" xfId="30742" xr:uid="{F9E19127-69FE-432E-80C6-7245604599EC}"/>
    <cellStyle name="20% - Accent3 2 2 9" xfId="8895" xr:uid="{0ADDC6BA-FD9D-420D-8F5A-13E0A04BBC7C}"/>
    <cellStyle name="20% - Accent3 2 2 9 2" xfId="18078" xr:uid="{A843E726-8533-40D0-9860-74CD8E4FC6E9}"/>
    <cellStyle name="20% - Accent3 2 2 9 3" xfId="34972" xr:uid="{90EB8587-83C3-4783-9F71-00D276A50427}"/>
    <cellStyle name="20% - Accent3 2 3" xfId="21" xr:uid="{00000000-0005-0000-0000-00006B010000}"/>
    <cellStyle name="20% - Accent3 2 3 10" xfId="26527" xr:uid="{AB1A360E-9A81-4933-B5A5-503ED664F6F3}"/>
    <cellStyle name="20% - Accent3 2 3 2" xfId="590" xr:uid="{00000000-0005-0000-0000-00006C010000}"/>
    <cellStyle name="20% - Accent3 2 3 2 2" xfId="2861" xr:uid="{00000000-0005-0000-0000-00006D010000}"/>
    <cellStyle name="20% - Accent3 2 3 2 2 2" xfId="7083" xr:uid="{00000000-0005-0000-0000-00006E010000}"/>
    <cellStyle name="20% - Accent3 2 3 2 2 2 2" xfId="24856" xr:uid="{7E36E665-6596-4307-B858-BD6EA0BA3967}"/>
    <cellStyle name="20% - Accent3 2 3 2 2 2 2 2" xfId="41750" xr:uid="{47D62212-84FB-4841-A67A-6BDE51D32B95}"/>
    <cellStyle name="20% - Accent3 2 3 2 2 2 3" xfId="16409" xr:uid="{D158A9CD-B651-473B-8055-9D38D90CDEB3}"/>
    <cellStyle name="20% - Accent3 2 3 2 2 2 4" xfId="33303" xr:uid="{609C7093-5985-443C-825A-C74DA5987D88}"/>
    <cellStyle name="20% - Accent3 2 3 2 2 3" xfId="20639" xr:uid="{C18CCF5A-42BB-4A71-8747-AC0815F4AD50}"/>
    <cellStyle name="20% - Accent3 2 3 2 2 3 2" xfId="37533" xr:uid="{129CDA16-1E71-4862-A20A-926209C36D1C}"/>
    <cellStyle name="20% - Accent3 2 3 2 2 4" xfId="12192" xr:uid="{1DBB4004-3447-4AB9-BFC1-BFF618C39383}"/>
    <cellStyle name="20% - Accent3 2 3 2 2 5" xfId="29086" xr:uid="{8A7CD545-795B-4BEE-BDB1-87FD901AC015}"/>
    <cellStyle name="20% - Accent3 2 3 2 3" xfId="4938" xr:uid="{00000000-0005-0000-0000-00006F010000}"/>
    <cellStyle name="20% - Accent3 2 3 2 3 2" xfId="22711" xr:uid="{135A81F8-B896-4291-A150-C429E94595EC}"/>
    <cellStyle name="20% - Accent3 2 3 2 3 2 2" xfId="39605" xr:uid="{AA432F58-640F-450D-A5CF-96D7430DBD7B}"/>
    <cellStyle name="20% - Accent3 2 3 2 3 3" xfId="14264" xr:uid="{A57749C8-E075-47D8-A38B-D900D9C5CC65}"/>
    <cellStyle name="20% - Accent3 2 3 2 3 4" xfId="31158" xr:uid="{193A6171-923A-4B9E-A500-CE45A9679976}"/>
    <cellStyle name="20% - Accent3 2 3 2 4" xfId="9424" xr:uid="{C3588D98-6F24-4F2C-9F96-F34501405613}"/>
    <cellStyle name="20% - Accent3 2 3 2 4 2" xfId="18494" xr:uid="{2137C32D-1E98-41DB-8D22-D80AF241F9F4}"/>
    <cellStyle name="20% - Accent3 2 3 2 4 3" xfId="35388" xr:uid="{53B3A86F-0286-4334-9A9B-480F1E4AEA8C}"/>
    <cellStyle name="20% - Accent3 2 3 2 5" xfId="10047" xr:uid="{FA60AB1A-CEE6-41D1-B28A-E22A6CC50C38}"/>
    <cellStyle name="20% - Accent3 2 3 2 6" xfId="26941" xr:uid="{CB20989D-5854-4BF4-873C-442433A00964}"/>
    <cellStyle name="20% - Accent3 2 3 3" xfId="1043" xr:uid="{00000000-0005-0000-0000-000070010000}"/>
    <cellStyle name="20% - Accent3 2 3 3 2" xfId="3274" xr:uid="{00000000-0005-0000-0000-000071010000}"/>
    <cellStyle name="20% - Accent3 2 3 3 2 2" xfId="7496" xr:uid="{00000000-0005-0000-0000-000072010000}"/>
    <cellStyle name="20% - Accent3 2 3 3 2 2 2" xfId="25269" xr:uid="{668C77CA-9D45-47C1-83E7-06C46EA2ABF5}"/>
    <cellStyle name="20% - Accent3 2 3 3 2 2 2 2" xfId="42163" xr:uid="{CA2A1E17-24EE-467B-90BB-15E48B599F0F}"/>
    <cellStyle name="20% - Accent3 2 3 3 2 2 3" xfId="16822" xr:uid="{0A4FCDB7-3E62-47D0-9AB3-0385B1C5EF38}"/>
    <cellStyle name="20% - Accent3 2 3 3 2 2 4" xfId="33716" xr:uid="{F27FB4F0-95AE-4DA3-9FBA-D6630146606F}"/>
    <cellStyle name="20% - Accent3 2 3 3 2 3" xfId="21052" xr:uid="{1016D67C-2106-4EFA-B363-8D1E513F1CB1}"/>
    <cellStyle name="20% - Accent3 2 3 3 2 3 2" xfId="37946" xr:uid="{F944EFCD-BD88-4012-AB0B-500530380D49}"/>
    <cellStyle name="20% - Accent3 2 3 3 2 4" xfId="12605" xr:uid="{64E9334D-B732-4345-8656-7967F34F059D}"/>
    <cellStyle name="20% - Accent3 2 3 3 2 5" xfId="29499" xr:uid="{433C39A2-BCDC-4457-A984-43399C7FD8A8}"/>
    <cellStyle name="20% - Accent3 2 3 3 3" xfId="5351" xr:uid="{00000000-0005-0000-0000-000073010000}"/>
    <cellStyle name="20% - Accent3 2 3 3 3 2" xfId="23124" xr:uid="{D52F05A0-9EC0-4641-B5EA-53A879588055}"/>
    <cellStyle name="20% - Accent3 2 3 3 3 2 2" xfId="40018" xr:uid="{0433C1F5-214B-4272-A3E3-9F8AC08295B2}"/>
    <cellStyle name="20% - Accent3 2 3 3 3 3" xfId="14677" xr:uid="{6FE0B442-BD65-431B-B3D1-D05B1487AEE9}"/>
    <cellStyle name="20% - Accent3 2 3 3 3 4" xfId="31571" xr:uid="{2360E1B2-2543-4189-8AA0-8E06F79E4927}"/>
    <cellStyle name="20% - Accent3 2 3 3 4" xfId="18907" xr:uid="{B22A9DF5-C200-452D-9F49-EDBD25AFC338}"/>
    <cellStyle name="20% - Accent3 2 3 3 4 2" xfId="35801" xr:uid="{8660FCAB-29A2-495B-8831-BFC89002FD8B}"/>
    <cellStyle name="20% - Accent3 2 3 3 5" xfId="10460" xr:uid="{B3A66785-A04D-4DEA-AC14-8CE3F6B0C608}"/>
    <cellStyle name="20% - Accent3 2 3 3 6" xfId="27354" xr:uid="{22E82735-63F7-4279-A70B-6F4BA76ADE60}"/>
    <cellStyle name="20% - Accent3 2 3 4" xfId="1457" xr:uid="{00000000-0005-0000-0000-000074010000}"/>
    <cellStyle name="20% - Accent3 2 3 4 2" xfId="3687" xr:uid="{00000000-0005-0000-0000-000075010000}"/>
    <cellStyle name="20% - Accent3 2 3 4 2 2" xfId="7909" xr:uid="{00000000-0005-0000-0000-000076010000}"/>
    <cellStyle name="20% - Accent3 2 3 4 2 2 2" xfId="25682" xr:uid="{22157BE8-919F-4C2C-8407-65B8B9BFF472}"/>
    <cellStyle name="20% - Accent3 2 3 4 2 2 2 2" xfId="42576" xr:uid="{8057B772-D901-4C18-87C1-6310DD4795CC}"/>
    <cellStyle name="20% - Accent3 2 3 4 2 2 3" xfId="17235" xr:uid="{3BAE46DA-5D16-4140-86BF-1703256101DF}"/>
    <cellStyle name="20% - Accent3 2 3 4 2 2 4" xfId="34129" xr:uid="{130BD514-E8FA-4228-901F-98AC3A019776}"/>
    <cellStyle name="20% - Accent3 2 3 4 2 3" xfId="21465" xr:uid="{ADC71F85-AE35-44DC-B46B-24B4EA77F8F8}"/>
    <cellStyle name="20% - Accent3 2 3 4 2 3 2" xfId="38359" xr:uid="{87C80375-AC8E-4155-9B69-90D1D1DA98C8}"/>
    <cellStyle name="20% - Accent3 2 3 4 2 4" xfId="13018" xr:uid="{4541856A-0F6C-452F-B5D7-36675549EB9C}"/>
    <cellStyle name="20% - Accent3 2 3 4 2 5" xfId="29912" xr:uid="{5AF84B00-B466-4226-A92B-ACFAED675B9F}"/>
    <cellStyle name="20% - Accent3 2 3 4 3" xfId="5764" xr:uid="{00000000-0005-0000-0000-000077010000}"/>
    <cellStyle name="20% - Accent3 2 3 4 3 2" xfId="23537" xr:uid="{536C8C6C-3B08-42F9-8F2C-62891B1CBE54}"/>
    <cellStyle name="20% - Accent3 2 3 4 3 2 2" xfId="40431" xr:uid="{9D236B24-C3BB-4022-852D-9C494FCBEABB}"/>
    <cellStyle name="20% - Accent3 2 3 4 3 3" xfId="15090" xr:uid="{251002C7-C2DF-4E18-A131-2B690D6BD062}"/>
    <cellStyle name="20% - Accent3 2 3 4 3 4" xfId="31984" xr:uid="{5060515E-1C73-43A1-AD6B-A177A803DC15}"/>
    <cellStyle name="20% - Accent3 2 3 4 4" xfId="19320" xr:uid="{3BE90F42-C4FA-4E4C-8B3F-02FF5FAEE5DC}"/>
    <cellStyle name="20% - Accent3 2 3 4 4 2" xfId="36214" xr:uid="{EAB29534-23C3-49B5-B11B-E2DC24B39245}"/>
    <cellStyle name="20% - Accent3 2 3 4 5" xfId="10873" xr:uid="{806EA16C-D80C-453C-8CE5-BA1930965BE7}"/>
    <cellStyle name="20% - Accent3 2 3 4 6" xfId="27767" xr:uid="{77FF0B1C-B6A2-4778-AC4A-700B3CC66E10}"/>
    <cellStyle name="20% - Accent3 2 3 5" xfId="1871" xr:uid="{00000000-0005-0000-0000-000078010000}"/>
    <cellStyle name="20% - Accent3 2 3 5 2" xfId="4100" xr:uid="{00000000-0005-0000-0000-000079010000}"/>
    <cellStyle name="20% - Accent3 2 3 5 2 2" xfId="8322" xr:uid="{00000000-0005-0000-0000-00007A010000}"/>
    <cellStyle name="20% - Accent3 2 3 5 2 2 2" xfId="26095" xr:uid="{BD13EF55-2FA9-417D-8573-413A6B678ECB}"/>
    <cellStyle name="20% - Accent3 2 3 5 2 2 2 2" xfId="42989" xr:uid="{09EB8A0C-A61F-4FB8-9DAF-4DDBC7087079}"/>
    <cellStyle name="20% - Accent3 2 3 5 2 2 3" xfId="17648" xr:uid="{28F49049-A9A5-47D3-9C03-BDB17A14D61E}"/>
    <cellStyle name="20% - Accent3 2 3 5 2 2 4" xfId="34542" xr:uid="{95CE485A-3045-4191-BBF1-DE4CC279B3C8}"/>
    <cellStyle name="20% - Accent3 2 3 5 2 3" xfId="21878" xr:uid="{65C188A7-33F1-407F-B29D-D130316DAEA9}"/>
    <cellStyle name="20% - Accent3 2 3 5 2 3 2" xfId="38772" xr:uid="{2F4F250B-78B8-4916-AA9C-A9420138FBCF}"/>
    <cellStyle name="20% - Accent3 2 3 5 2 4" xfId="13431" xr:uid="{DC7ABC5E-9898-4A88-98EF-1D0AAA402B61}"/>
    <cellStyle name="20% - Accent3 2 3 5 2 5" xfId="30325" xr:uid="{3C55AA6C-3E9F-4805-A645-F4FEC3C500A1}"/>
    <cellStyle name="20% - Accent3 2 3 5 3" xfId="6177" xr:uid="{00000000-0005-0000-0000-00007B010000}"/>
    <cellStyle name="20% - Accent3 2 3 5 3 2" xfId="23950" xr:uid="{63958E1E-E18C-4470-A7B1-BA1C1BBAC91A}"/>
    <cellStyle name="20% - Accent3 2 3 5 3 2 2" xfId="40844" xr:uid="{B8274381-FE63-4FD5-B12B-665461759AA7}"/>
    <cellStyle name="20% - Accent3 2 3 5 3 3" xfId="15503" xr:uid="{55CC1A56-B0A0-4FE6-AD6C-0BF4BDE3336B}"/>
    <cellStyle name="20% - Accent3 2 3 5 3 4" xfId="32397" xr:uid="{F53B3717-7D5C-4C27-AA0C-30AF79B8500A}"/>
    <cellStyle name="20% - Accent3 2 3 5 4" xfId="19733" xr:uid="{2B5A06FF-378F-42B3-B20B-06E84DF1D1C8}"/>
    <cellStyle name="20% - Accent3 2 3 5 4 2" xfId="36627" xr:uid="{D057F746-8D3D-43DD-ABF7-DA41AAD0DCC4}"/>
    <cellStyle name="20% - Accent3 2 3 5 5" xfId="11286" xr:uid="{CEF34D41-3DD3-4533-946D-1E7D5CAAB450}"/>
    <cellStyle name="20% - Accent3 2 3 5 6" xfId="28180" xr:uid="{226EA0A9-E566-417F-81F6-0020059D9205}"/>
    <cellStyle name="20% - Accent3 2 3 6" xfId="2284" xr:uid="{00000000-0005-0000-0000-00007C010000}"/>
    <cellStyle name="20% - Accent3 2 3 6 2" xfId="6590" xr:uid="{00000000-0005-0000-0000-00007D010000}"/>
    <cellStyle name="20% - Accent3 2 3 6 2 2" xfId="24363" xr:uid="{B7FFEE4C-ADC7-40AC-9A9B-A74E0478305D}"/>
    <cellStyle name="20% - Accent3 2 3 6 2 2 2" xfId="41257" xr:uid="{39248A90-4437-43E6-89C0-87D34F71A6A6}"/>
    <cellStyle name="20% - Accent3 2 3 6 2 3" xfId="15916" xr:uid="{47A586EE-1B6A-4B1E-AA52-64D28CE26674}"/>
    <cellStyle name="20% - Accent3 2 3 6 2 4" xfId="32810" xr:uid="{047D34A4-F149-4B72-81DB-DE3EE7289A9F}"/>
    <cellStyle name="20% - Accent3 2 3 6 3" xfId="20146" xr:uid="{BD261A52-CF55-4DAA-9CC2-489BB854C744}"/>
    <cellStyle name="20% - Accent3 2 3 6 3 2" xfId="37040" xr:uid="{D6A9821C-54D7-4CD8-BE92-196CE42708E2}"/>
    <cellStyle name="20% - Accent3 2 3 6 4" xfId="11699" xr:uid="{7EC2BDC8-9A12-41A3-94F7-4987B2F80B53}"/>
    <cellStyle name="20% - Accent3 2 3 6 5" xfId="28593" xr:uid="{A0A7AE14-35F3-4DE7-8DDF-DE84C6B39016}"/>
    <cellStyle name="20% - Accent3 2 3 7" xfId="4524" xr:uid="{00000000-0005-0000-0000-00007E010000}"/>
    <cellStyle name="20% - Accent3 2 3 7 2" xfId="22297" xr:uid="{910AF4F3-12E1-4D56-BC46-06249D68341E}"/>
    <cellStyle name="20% - Accent3 2 3 7 2 2" xfId="39191" xr:uid="{7342C04C-687B-4E26-A36A-0D0055C0FD0C}"/>
    <cellStyle name="20% - Accent3 2 3 7 3" xfId="13850" xr:uid="{A08DCF1E-C19F-4F61-9C22-C569ACC18686}"/>
    <cellStyle name="20% - Accent3 2 3 7 4" xfId="30744" xr:uid="{4F7B1BF6-6A59-4A59-8A5C-463E6DE312B0}"/>
    <cellStyle name="20% - Accent3 2 3 8" xfId="8999" xr:uid="{2B5D0148-B6EA-4DEA-92B1-644886C27051}"/>
    <cellStyle name="20% - Accent3 2 3 8 2" xfId="18080" xr:uid="{7FEDC23E-A081-4927-9077-8637A0B20D25}"/>
    <cellStyle name="20% - Accent3 2 3 8 3" xfId="34974" xr:uid="{5DC7FECC-6C7D-4E96-90E4-51D5E4E68DBF}"/>
    <cellStyle name="20% - Accent3 2 3 9" xfId="9633" xr:uid="{EF9B24DE-6594-45B1-95C5-AD0BC0D3CA0C}"/>
    <cellStyle name="20% - Accent3 2 4" xfId="587" xr:uid="{00000000-0005-0000-0000-00007F010000}"/>
    <cellStyle name="20% - Accent3 2 4 2" xfId="2858" xr:uid="{00000000-0005-0000-0000-000080010000}"/>
    <cellStyle name="20% - Accent3 2 4 2 2" xfId="7080" xr:uid="{00000000-0005-0000-0000-000081010000}"/>
    <cellStyle name="20% - Accent3 2 4 2 2 2" xfId="24853" xr:uid="{44A05E5B-113C-4127-BBFF-DC9FC4D82194}"/>
    <cellStyle name="20% - Accent3 2 4 2 2 2 2" xfId="41747" xr:uid="{CCD2B987-6527-4459-A482-D203C61F8CC2}"/>
    <cellStyle name="20% - Accent3 2 4 2 2 3" xfId="16406" xr:uid="{D43FD461-AF3C-48F6-8B42-7B76E9C22748}"/>
    <cellStyle name="20% - Accent3 2 4 2 2 4" xfId="33300" xr:uid="{CEAD9C5B-8FDF-4C1C-8264-E3F0A4FF9C03}"/>
    <cellStyle name="20% - Accent3 2 4 2 3" xfId="20636" xr:uid="{451B4296-B45E-4A6E-9FCC-ED79F8D3D41F}"/>
    <cellStyle name="20% - Accent3 2 4 2 3 2" xfId="37530" xr:uid="{565F67DD-39F0-476E-A6CA-AFA2FCAC434B}"/>
    <cellStyle name="20% - Accent3 2 4 2 4" xfId="12189" xr:uid="{F8BEB73B-387A-4D94-AA76-DBD244E4CEEC}"/>
    <cellStyle name="20% - Accent3 2 4 2 5" xfId="29083" xr:uid="{E0C0E54A-3725-491F-A08E-9DB07462ECFA}"/>
    <cellStyle name="20% - Accent3 2 4 3" xfId="4935" xr:uid="{00000000-0005-0000-0000-000082010000}"/>
    <cellStyle name="20% - Accent3 2 4 3 2" xfId="22708" xr:uid="{547329EF-32DD-4913-A2F2-527B4DD0BC9A}"/>
    <cellStyle name="20% - Accent3 2 4 3 2 2" xfId="39602" xr:uid="{5C3B4008-95F8-4A50-9A8D-660A770D0AA9}"/>
    <cellStyle name="20% - Accent3 2 4 3 3" xfId="14261" xr:uid="{58A0D67C-419B-4602-ACE0-F4334D727A7E}"/>
    <cellStyle name="20% - Accent3 2 4 3 4" xfId="31155" xr:uid="{AB994A80-EC2B-4C90-AF04-181F49B776BA}"/>
    <cellStyle name="20% - Accent3 2 4 4" xfId="9216" xr:uid="{A12C3877-5492-4CD3-AD22-81B3F0AB1EDD}"/>
    <cellStyle name="20% - Accent3 2 4 4 2" xfId="18491" xr:uid="{D2D486D0-4242-4326-B39F-34D2DC17ED61}"/>
    <cellStyle name="20% - Accent3 2 4 4 3" xfId="35385" xr:uid="{74B96280-58DA-4B16-9885-6109CCFAB112}"/>
    <cellStyle name="20% - Accent3 2 4 5" xfId="10044" xr:uid="{4514F8A8-5482-4D77-AFB3-E58602AEC6E8}"/>
    <cellStyle name="20% - Accent3 2 4 6" xfId="26938" xr:uid="{9D2EEBED-6C76-4AB0-ADB2-4459016F863E}"/>
    <cellStyle name="20% - Accent3 2 5" xfId="1040" xr:uid="{00000000-0005-0000-0000-000083010000}"/>
    <cellStyle name="20% - Accent3 2 5 2" xfId="3271" xr:uid="{00000000-0005-0000-0000-000084010000}"/>
    <cellStyle name="20% - Accent3 2 5 2 2" xfId="7493" xr:uid="{00000000-0005-0000-0000-000085010000}"/>
    <cellStyle name="20% - Accent3 2 5 2 2 2" xfId="25266" xr:uid="{13A188B9-487C-43F3-8447-C39EB2B75F6D}"/>
    <cellStyle name="20% - Accent3 2 5 2 2 2 2" xfId="42160" xr:uid="{557A907B-9584-4402-B577-1D74A208CECD}"/>
    <cellStyle name="20% - Accent3 2 5 2 2 3" xfId="16819" xr:uid="{21C2F58E-BEFA-4103-81EE-77D35E0BF2FA}"/>
    <cellStyle name="20% - Accent3 2 5 2 2 4" xfId="33713" xr:uid="{7CAF703A-E5D6-4736-8B3A-A33658DEBAB0}"/>
    <cellStyle name="20% - Accent3 2 5 2 3" xfId="21049" xr:uid="{A3222978-C2E2-4E2C-A014-060E8C4AEDC0}"/>
    <cellStyle name="20% - Accent3 2 5 2 3 2" xfId="37943" xr:uid="{558EF396-3A94-4CCF-BD63-F38D3E07394E}"/>
    <cellStyle name="20% - Accent3 2 5 2 4" xfId="12602" xr:uid="{5EAEF336-BB96-44B6-9784-7BCFE1D8A4A8}"/>
    <cellStyle name="20% - Accent3 2 5 2 5" xfId="29496" xr:uid="{298C74D1-43EC-4116-A03C-525D97B3B71B}"/>
    <cellStyle name="20% - Accent3 2 5 3" xfId="5348" xr:uid="{00000000-0005-0000-0000-000086010000}"/>
    <cellStyle name="20% - Accent3 2 5 3 2" xfId="23121" xr:uid="{B069648A-82CE-4368-ABBB-9D8DEB5E6D6F}"/>
    <cellStyle name="20% - Accent3 2 5 3 2 2" xfId="40015" xr:uid="{DE5D5366-1A0C-416A-AE41-B19CA77A96A6}"/>
    <cellStyle name="20% - Accent3 2 5 3 3" xfId="14674" xr:uid="{DFC8B6F1-4478-4870-AEF0-B65A405870A9}"/>
    <cellStyle name="20% - Accent3 2 5 3 4" xfId="31568" xr:uid="{4DA85982-2857-4C63-8EAD-307E30AEACFF}"/>
    <cellStyle name="20% - Accent3 2 5 4" xfId="18904" xr:uid="{21F5D994-47E8-4984-9BD3-CF2CA978E863}"/>
    <cellStyle name="20% - Accent3 2 5 4 2" xfId="35798" xr:uid="{8E9554E5-2532-4286-B1FF-CE08D4788FA1}"/>
    <cellStyle name="20% - Accent3 2 5 5" xfId="10457" xr:uid="{6B584A14-5719-4B06-9E92-3FB3F74630D7}"/>
    <cellStyle name="20% - Accent3 2 5 6" xfId="27351" xr:uid="{5A826580-B484-4C57-8253-6568232B12F3}"/>
    <cellStyle name="20% - Accent3 2 6" xfId="1454" xr:uid="{00000000-0005-0000-0000-000087010000}"/>
    <cellStyle name="20% - Accent3 2 6 2" xfId="3684" xr:uid="{00000000-0005-0000-0000-000088010000}"/>
    <cellStyle name="20% - Accent3 2 6 2 2" xfId="7906" xr:uid="{00000000-0005-0000-0000-000089010000}"/>
    <cellStyle name="20% - Accent3 2 6 2 2 2" xfId="25679" xr:uid="{2DD993B5-445C-4524-9558-BE1D922EA4B4}"/>
    <cellStyle name="20% - Accent3 2 6 2 2 2 2" xfId="42573" xr:uid="{36186D3A-7EDD-493D-8342-587BE9433586}"/>
    <cellStyle name="20% - Accent3 2 6 2 2 3" xfId="17232" xr:uid="{2C7D7F75-832B-4B25-848D-E4D5461AFDBB}"/>
    <cellStyle name="20% - Accent3 2 6 2 2 4" xfId="34126" xr:uid="{AC530556-AB1C-4661-BED3-388FE6AD1BB0}"/>
    <cellStyle name="20% - Accent3 2 6 2 3" xfId="21462" xr:uid="{E511B352-388B-4D64-B175-ADCD84D6C0DB}"/>
    <cellStyle name="20% - Accent3 2 6 2 3 2" xfId="38356" xr:uid="{0E51BCC0-AF74-4D4A-9D8E-555602740CAC}"/>
    <cellStyle name="20% - Accent3 2 6 2 4" xfId="13015" xr:uid="{8FD0CB5B-4509-4BC3-9A8E-A3BF7C7D4946}"/>
    <cellStyle name="20% - Accent3 2 6 2 5" xfId="29909" xr:uid="{4121A1E4-306C-4CAE-BADA-4FF8B74FD539}"/>
    <cellStyle name="20% - Accent3 2 6 3" xfId="5761" xr:uid="{00000000-0005-0000-0000-00008A010000}"/>
    <cellStyle name="20% - Accent3 2 6 3 2" xfId="23534" xr:uid="{F44A38CD-541B-4BDE-A995-C47355B41BDB}"/>
    <cellStyle name="20% - Accent3 2 6 3 2 2" xfId="40428" xr:uid="{7661552D-A864-48C0-B5CC-BFEB55E9E529}"/>
    <cellStyle name="20% - Accent3 2 6 3 3" xfId="15087" xr:uid="{CD24597D-DEFF-4461-8EF8-F7A2A658E327}"/>
    <cellStyle name="20% - Accent3 2 6 3 4" xfId="31981" xr:uid="{B1E787B6-9879-4C88-98D1-FC5C7284016D}"/>
    <cellStyle name="20% - Accent3 2 6 4" xfId="19317" xr:uid="{1AF69CD1-3316-4F13-A090-869D139587B6}"/>
    <cellStyle name="20% - Accent3 2 6 4 2" xfId="36211" xr:uid="{6C1440E9-DA30-4EA9-B23C-92B52647A971}"/>
    <cellStyle name="20% - Accent3 2 6 5" xfId="10870" xr:uid="{2CA3780B-C391-46DC-9D84-0BFC8A19F0A9}"/>
    <cellStyle name="20% - Accent3 2 6 6" xfId="27764" xr:uid="{65258EC6-94CF-4494-A1CF-224AEF67D791}"/>
    <cellStyle name="20% - Accent3 2 7" xfId="1868" xr:uid="{00000000-0005-0000-0000-00008B010000}"/>
    <cellStyle name="20% - Accent3 2 7 2" xfId="4097" xr:uid="{00000000-0005-0000-0000-00008C010000}"/>
    <cellStyle name="20% - Accent3 2 7 2 2" xfId="8319" xr:uid="{00000000-0005-0000-0000-00008D010000}"/>
    <cellStyle name="20% - Accent3 2 7 2 2 2" xfId="26092" xr:uid="{1EA589A2-36B7-4277-BB16-3D35A5891B8C}"/>
    <cellStyle name="20% - Accent3 2 7 2 2 2 2" xfId="42986" xr:uid="{0B8B7696-456F-493D-BD24-90DA33864D33}"/>
    <cellStyle name="20% - Accent3 2 7 2 2 3" xfId="17645" xr:uid="{650777C5-D68B-4B0F-8447-95EDA5942374}"/>
    <cellStyle name="20% - Accent3 2 7 2 2 4" xfId="34539" xr:uid="{AE2E653B-B436-4AB7-B610-8B08969F237B}"/>
    <cellStyle name="20% - Accent3 2 7 2 3" xfId="21875" xr:uid="{650D07FC-995A-483E-93E7-2090B5063A75}"/>
    <cellStyle name="20% - Accent3 2 7 2 3 2" xfId="38769" xr:uid="{369E86C4-65CF-460A-B84F-0C6050C581B3}"/>
    <cellStyle name="20% - Accent3 2 7 2 4" xfId="13428" xr:uid="{812EEE98-34E8-43F5-BC3C-C5232BC2821E}"/>
    <cellStyle name="20% - Accent3 2 7 2 5" xfId="30322" xr:uid="{609E638F-D451-4411-BBA9-C346F3B9414D}"/>
    <cellStyle name="20% - Accent3 2 7 3" xfId="6174" xr:uid="{00000000-0005-0000-0000-00008E010000}"/>
    <cellStyle name="20% - Accent3 2 7 3 2" xfId="23947" xr:uid="{F8648FB9-2A96-44D7-AD10-1F04238DC65F}"/>
    <cellStyle name="20% - Accent3 2 7 3 2 2" xfId="40841" xr:uid="{DEFD0C63-E232-4992-BBB1-309685F25DDF}"/>
    <cellStyle name="20% - Accent3 2 7 3 3" xfId="15500" xr:uid="{BC79A4DE-BF8C-4E9E-B3A6-70ED9B63440B}"/>
    <cellStyle name="20% - Accent3 2 7 3 4" xfId="32394" xr:uid="{9976BC15-9134-4E5C-A206-B7F87AEB8A2D}"/>
    <cellStyle name="20% - Accent3 2 7 4" xfId="19730" xr:uid="{765B992F-65ED-44DC-9F6E-09E432B4952E}"/>
    <cellStyle name="20% - Accent3 2 7 4 2" xfId="36624" xr:uid="{1BB8B658-9320-4986-A87C-C9CBD0B245B6}"/>
    <cellStyle name="20% - Accent3 2 7 5" xfId="11283" xr:uid="{3C239124-E9BC-4D22-BC39-37E4F0B10F06}"/>
    <cellStyle name="20% - Accent3 2 7 6" xfId="28177" xr:uid="{294850C0-A608-40CD-8A4F-F319771BB120}"/>
    <cellStyle name="20% - Accent3 2 8" xfId="2281" xr:uid="{00000000-0005-0000-0000-00008F010000}"/>
    <cellStyle name="20% - Accent3 2 8 2" xfId="6587" xr:uid="{00000000-0005-0000-0000-000090010000}"/>
    <cellStyle name="20% - Accent3 2 8 2 2" xfId="24360" xr:uid="{47C18736-A6A4-4026-91B1-81D204B71BCA}"/>
    <cellStyle name="20% - Accent3 2 8 2 2 2" xfId="41254" xr:uid="{BAEEC9E2-B803-4714-99A4-94F9E6ECD471}"/>
    <cellStyle name="20% - Accent3 2 8 2 3" xfId="15913" xr:uid="{4BBBBA3B-DE0D-4DB2-B063-B45444D51C00}"/>
    <cellStyle name="20% - Accent3 2 8 2 4" xfId="32807" xr:uid="{CEAB1D44-54F0-4BD2-99FF-5A30799EFC8D}"/>
    <cellStyle name="20% - Accent3 2 8 3" xfId="20143" xr:uid="{071A4548-0D0A-46D6-955D-A25BB3099BEC}"/>
    <cellStyle name="20% - Accent3 2 8 3 2" xfId="37037" xr:uid="{2A88E22F-23B3-4A3F-8F62-B4408778877A}"/>
    <cellStyle name="20% - Accent3 2 8 4" xfId="11696" xr:uid="{EF753273-C93F-48B3-883E-009FA684285E}"/>
    <cellStyle name="20% - Accent3 2 8 5" xfId="28590" xr:uid="{9C4722A3-4296-4898-8F5E-498079196F42}"/>
    <cellStyle name="20% - Accent3 2 9" xfId="4521" xr:uid="{00000000-0005-0000-0000-000091010000}"/>
    <cellStyle name="20% - Accent3 2 9 2" xfId="22294" xr:uid="{B8C4B7E4-2E0B-4CF9-8308-87C196B328E8}"/>
    <cellStyle name="20% - Accent3 2 9 2 2" xfId="39188" xr:uid="{1BA399DD-6C27-4830-B8BE-3FE8E92CCD2B}"/>
    <cellStyle name="20% - Accent3 2 9 3" xfId="13847" xr:uid="{D6C8A436-7D99-4519-BBD9-01552767FDD4}"/>
    <cellStyle name="20% - Accent3 2 9 4" xfId="30741" xr:uid="{7BFE6896-F56D-4D47-A0A4-79C27AC95B35}"/>
    <cellStyle name="20% - Accent3 3" xfId="22" xr:uid="{00000000-0005-0000-0000-000092010000}"/>
    <cellStyle name="20% - Accent3 3 10" xfId="9634" xr:uid="{F0A2DB4D-8B47-427F-9739-B6F0CC388200}"/>
    <cellStyle name="20% - Accent3 3 11" xfId="26528" xr:uid="{4B23AFE1-29D5-40C8-964F-A42C15D0CDF0}"/>
    <cellStyle name="20% - Accent3 3 2" xfId="23" xr:uid="{00000000-0005-0000-0000-000093010000}"/>
    <cellStyle name="20% - Accent3 3 2 10" xfId="26529" xr:uid="{96F094AB-51CA-4DE7-93DC-AB5C8473E48C}"/>
    <cellStyle name="20% - Accent3 3 2 2" xfId="592" xr:uid="{00000000-0005-0000-0000-000094010000}"/>
    <cellStyle name="20% - Accent3 3 2 2 2" xfId="2863" xr:uid="{00000000-0005-0000-0000-000095010000}"/>
    <cellStyle name="20% - Accent3 3 2 2 2 2" xfId="7085" xr:uid="{00000000-0005-0000-0000-000096010000}"/>
    <cellStyle name="20% - Accent3 3 2 2 2 2 2" xfId="24858" xr:uid="{A62FC5D0-57CF-4FA6-9301-39341CF1A52C}"/>
    <cellStyle name="20% - Accent3 3 2 2 2 2 2 2" xfId="41752" xr:uid="{C420C9E1-5541-4629-80BF-B65E6F588341}"/>
    <cellStyle name="20% - Accent3 3 2 2 2 2 3" xfId="16411" xr:uid="{1B92EB30-A803-42DE-8776-1BBD391071EB}"/>
    <cellStyle name="20% - Accent3 3 2 2 2 2 4" xfId="33305" xr:uid="{BC6144FC-FAAA-41A2-8328-98B9138582C5}"/>
    <cellStyle name="20% - Accent3 3 2 2 2 3" xfId="20641" xr:uid="{2A23FEC0-8A4A-4875-8E62-C55AC7EB216D}"/>
    <cellStyle name="20% - Accent3 3 2 2 2 3 2" xfId="37535" xr:uid="{B5F07CE5-A84B-4B04-9B71-58F426165C00}"/>
    <cellStyle name="20% - Accent3 3 2 2 2 4" xfId="12194" xr:uid="{C4F88F0B-56B9-4147-B978-B143984A1D7F}"/>
    <cellStyle name="20% - Accent3 3 2 2 2 5" xfId="29088" xr:uid="{CA6FB29E-129D-4864-B951-0336325360B8}"/>
    <cellStyle name="20% - Accent3 3 2 2 3" xfId="4940" xr:uid="{00000000-0005-0000-0000-000097010000}"/>
    <cellStyle name="20% - Accent3 3 2 2 3 2" xfId="22713" xr:uid="{AD0D0D21-7D2E-4BD3-90FE-9A7739A31CD8}"/>
    <cellStyle name="20% - Accent3 3 2 2 3 2 2" xfId="39607" xr:uid="{7B9B5D5E-C4AD-48FB-90B6-F4A4766D737D}"/>
    <cellStyle name="20% - Accent3 3 2 2 3 3" xfId="14266" xr:uid="{F612C461-DD5A-408F-8E37-B038EC4EB1AC}"/>
    <cellStyle name="20% - Accent3 3 2 2 3 4" xfId="31160" xr:uid="{D2A9EC5E-B17E-49F4-86F2-8EA2FA706880}"/>
    <cellStyle name="20% - Accent3 3 2 2 4" xfId="9497" xr:uid="{43A0E151-F418-49A1-AF18-121DEB02B6D4}"/>
    <cellStyle name="20% - Accent3 3 2 2 4 2" xfId="18496" xr:uid="{FED03E63-0D94-4DAF-9FAF-85EB1E79EE6D}"/>
    <cellStyle name="20% - Accent3 3 2 2 4 3" xfId="35390" xr:uid="{FBC28316-0F33-4FEA-83EE-84CC56C6E78D}"/>
    <cellStyle name="20% - Accent3 3 2 2 5" xfId="10049" xr:uid="{A1857B61-9BB2-4EE0-BBD1-CF7F5CFA2EEF}"/>
    <cellStyle name="20% - Accent3 3 2 2 6" xfId="26943" xr:uid="{2A3AA7FE-7BB6-4C98-BA71-83F468C2715A}"/>
    <cellStyle name="20% - Accent3 3 2 3" xfId="1045" xr:uid="{00000000-0005-0000-0000-000098010000}"/>
    <cellStyle name="20% - Accent3 3 2 3 2" xfId="3276" xr:uid="{00000000-0005-0000-0000-000099010000}"/>
    <cellStyle name="20% - Accent3 3 2 3 2 2" xfId="7498" xr:uid="{00000000-0005-0000-0000-00009A010000}"/>
    <cellStyle name="20% - Accent3 3 2 3 2 2 2" xfId="25271" xr:uid="{810A7A9D-9EBF-4BF4-8F3B-30539C80E3A8}"/>
    <cellStyle name="20% - Accent3 3 2 3 2 2 2 2" xfId="42165" xr:uid="{1EBC2AE3-9CE8-49AD-96B6-297DC9B8E767}"/>
    <cellStyle name="20% - Accent3 3 2 3 2 2 3" xfId="16824" xr:uid="{BD005AF0-B44B-4304-AE00-A2619564D6F9}"/>
    <cellStyle name="20% - Accent3 3 2 3 2 2 4" xfId="33718" xr:uid="{4A09380A-A797-40E9-952E-88944B769337}"/>
    <cellStyle name="20% - Accent3 3 2 3 2 3" xfId="21054" xr:uid="{DB6F06BF-44D6-4875-B06B-71469A20BF75}"/>
    <cellStyle name="20% - Accent3 3 2 3 2 3 2" xfId="37948" xr:uid="{089975EA-579F-4C95-87C4-6C718042D1F8}"/>
    <cellStyle name="20% - Accent3 3 2 3 2 4" xfId="12607" xr:uid="{AFDAE532-923C-4FEA-A814-ACA17E6228B4}"/>
    <cellStyle name="20% - Accent3 3 2 3 2 5" xfId="29501" xr:uid="{011979FB-6792-4169-A6BD-1CB5EC75599B}"/>
    <cellStyle name="20% - Accent3 3 2 3 3" xfId="5353" xr:uid="{00000000-0005-0000-0000-00009B010000}"/>
    <cellStyle name="20% - Accent3 3 2 3 3 2" xfId="23126" xr:uid="{F81E2AB8-EB12-45D2-B0F2-CC80463FBEB3}"/>
    <cellStyle name="20% - Accent3 3 2 3 3 2 2" xfId="40020" xr:uid="{1BA11984-A217-4591-AEEA-3C81E6EDF3B2}"/>
    <cellStyle name="20% - Accent3 3 2 3 3 3" xfId="14679" xr:uid="{D46B09BF-1C7B-4ACD-8146-045A09BB168A}"/>
    <cellStyle name="20% - Accent3 3 2 3 3 4" xfId="31573" xr:uid="{C8360EFD-7D99-4864-990D-D049F44E8532}"/>
    <cellStyle name="20% - Accent3 3 2 3 4" xfId="18909" xr:uid="{1EC59AEE-3774-4F79-A411-94470B012EAF}"/>
    <cellStyle name="20% - Accent3 3 2 3 4 2" xfId="35803" xr:uid="{6AFACB0C-5DE6-40AE-B670-1F2E4DA44A8B}"/>
    <cellStyle name="20% - Accent3 3 2 3 5" xfId="10462" xr:uid="{76A50476-652E-4D46-9A1F-AA96DB9C4563}"/>
    <cellStyle name="20% - Accent3 3 2 3 6" xfId="27356" xr:uid="{7E7AA8F0-444C-4384-A5B1-2C58601E8C2F}"/>
    <cellStyle name="20% - Accent3 3 2 4" xfId="1459" xr:uid="{00000000-0005-0000-0000-00009C010000}"/>
    <cellStyle name="20% - Accent3 3 2 4 2" xfId="3689" xr:uid="{00000000-0005-0000-0000-00009D010000}"/>
    <cellStyle name="20% - Accent3 3 2 4 2 2" xfId="7911" xr:uid="{00000000-0005-0000-0000-00009E010000}"/>
    <cellStyle name="20% - Accent3 3 2 4 2 2 2" xfId="25684" xr:uid="{992DCEC3-252E-4A79-A9EB-91440BCA8271}"/>
    <cellStyle name="20% - Accent3 3 2 4 2 2 2 2" xfId="42578" xr:uid="{FEB27EE5-0823-4CF3-8F42-43EC40E7342B}"/>
    <cellStyle name="20% - Accent3 3 2 4 2 2 3" xfId="17237" xr:uid="{A6727354-6150-4B2C-ACD6-BF0609B1E3EB}"/>
    <cellStyle name="20% - Accent3 3 2 4 2 2 4" xfId="34131" xr:uid="{1AF1F7F0-E5C5-40B6-898C-73B9EB2F72E0}"/>
    <cellStyle name="20% - Accent3 3 2 4 2 3" xfId="21467" xr:uid="{26C93C70-C1DF-4B30-8E51-A95C83FDC243}"/>
    <cellStyle name="20% - Accent3 3 2 4 2 3 2" xfId="38361" xr:uid="{DBF3A8DA-4FBF-4635-9D7D-F1E3D51729D1}"/>
    <cellStyle name="20% - Accent3 3 2 4 2 4" xfId="13020" xr:uid="{59AA1D3C-49F2-480E-8FE2-CDE3E15ED0EA}"/>
    <cellStyle name="20% - Accent3 3 2 4 2 5" xfId="29914" xr:uid="{303756D0-CEB6-477A-8DDE-6A680E18632A}"/>
    <cellStyle name="20% - Accent3 3 2 4 3" xfId="5766" xr:uid="{00000000-0005-0000-0000-00009F010000}"/>
    <cellStyle name="20% - Accent3 3 2 4 3 2" xfId="23539" xr:uid="{7FF9A238-7D5A-4B69-AA99-38E7A4781BF5}"/>
    <cellStyle name="20% - Accent3 3 2 4 3 2 2" xfId="40433" xr:uid="{EB2E3A53-9114-469E-B6E0-39639FB683EF}"/>
    <cellStyle name="20% - Accent3 3 2 4 3 3" xfId="15092" xr:uid="{3A353A9C-9704-4A7C-97AF-8F8BA61FDC38}"/>
    <cellStyle name="20% - Accent3 3 2 4 3 4" xfId="31986" xr:uid="{F5819B7F-6810-4E0F-88A5-F2895C79F6B3}"/>
    <cellStyle name="20% - Accent3 3 2 4 4" xfId="19322" xr:uid="{55C62AAE-2D4E-48FF-BA62-861DF5461D03}"/>
    <cellStyle name="20% - Accent3 3 2 4 4 2" xfId="36216" xr:uid="{B7292CA6-DD23-4BF7-B855-1C5C0194903E}"/>
    <cellStyle name="20% - Accent3 3 2 4 5" xfId="10875" xr:uid="{C8F6A902-0556-469D-AA85-E7C55CED8CC7}"/>
    <cellStyle name="20% - Accent3 3 2 4 6" xfId="27769" xr:uid="{374C35CA-B1E6-4F61-8522-139AFDEA59FA}"/>
    <cellStyle name="20% - Accent3 3 2 5" xfId="1873" xr:uid="{00000000-0005-0000-0000-0000A0010000}"/>
    <cellStyle name="20% - Accent3 3 2 5 2" xfId="4102" xr:uid="{00000000-0005-0000-0000-0000A1010000}"/>
    <cellStyle name="20% - Accent3 3 2 5 2 2" xfId="8324" xr:uid="{00000000-0005-0000-0000-0000A2010000}"/>
    <cellStyle name="20% - Accent3 3 2 5 2 2 2" xfId="26097" xr:uid="{9F47AED1-1872-44B0-B4F2-F14C3F35FDEB}"/>
    <cellStyle name="20% - Accent3 3 2 5 2 2 2 2" xfId="42991" xr:uid="{7AF0ACF0-1EBE-4394-9577-17FD6F94E074}"/>
    <cellStyle name="20% - Accent3 3 2 5 2 2 3" xfId="17650" xr:uid="{361FAB14-9B8D-4707-BEDA-8050B3828750}"/>
    <cellStyle name="20% - Accent3 3 2 5 2 2 4" xfId="34544" xr:uid="{784EFA7D-CC40-4F79-AA96-DBF37044D32F}"/>
    <cellStyle name="20% - Accent3 3 2 5 2 3" xfId="21880" xr:uid="{88A77C3E-C380-49A8-8495-952EDC812438}"/>
    <cellStyle name="20% - Accent3 3 2 5 2 3 2" xfId="38774" xr:uid="{E7D6394C-EB4F-4C84-A84F-F9405D227046}"/>
    <cellStyle name="20% - Accent3 3 2 5 2 4" xfId="13433" xr:uid="{12D3F28F-B44E-44AA-89D3-D97FCD2795E7}"/>
    <cellStyle name="20% - Accent3 3 2 5 2 5" xfId="30327" xr:uid="{1098E609-B346-4AB2-A9DD-4E2C1E5B68E1}"/>
    <cellStyle name="20% - Accent3 3 2 5 3" xfId="6179" xr:uid="{00000000-0005-0000-0000-0000A3010000}"/>
    <cellStyle name="20% - Accent3 3 2 5 3 2" xfId="23952" xr:uid="{FD06EE18-B722-48F6-B19E-8C1001F22D97}"/>
    <cellStyle name="20% - Accent3 3 2 5 3 2 2" xfId="40846" xr:uid="{3D27141F-6A40-4CD5-84CB-6BDC6CCFF429}"/>
    <cellStyle name="20% - Accent3 3 2 5 3 3" xfId="15505" xr:uid="{555882CB-DF6B-457D-A18E-FB163797D695}"/>
    <cellStyle name="20% - Accent3 3 2 5 3 4" xfId="32399" xr:uid="{123DCCB2-6103-4170-BC8D-3FE41933AFA7}"/>
    <cellStyle name="20% - Accent3 3 2 5 4" xfId="19735" xr:uid="{B480A7D6-0A79-4DED-A73F-4679B8520A6F}"/>
    <cellStyle name="20% - Accent3 3 2 5 4 2" xfId="36629" xr:uid="{376827F8-02EB-4C54-9CBA-2CF7E50B5047}"/>
    <cellStyle name="20% - Accent3 3 2 5 5" xfId="11288" xr:uid="{E570C839-B3AB-4B58-84B3-E862CC2BF359}"/>
    <cellStyle name="20% - Accent3 3 2 5 6" xfId="28182" xr:uid="{75BC0ECA-3A7B-4435-AFEE-D44DDA5F1C8C}"/>
    <cellStyle name="20% - Accent3 3 2 6" xfId="2286" xr:uid="{00000000-0005-0000-0000-0000A4010000}"/>
    <cellStyle name="20% - Accent3 3 2 6 2" xfId="6592" xr:uid="{00000000-0005-0000-0000-0000A5010000}"/>
    <cellStyle name="20% - Accent3 3 2 6 2 2" xfId="24365" xr:uid="{0C90AA75-F9C2-4C2C-96F0-5ACD9E1422C5}"/>
    <cellStyle name="20% - Accent3 3 2 6 2 2 2" xfId="41259" xr:uid="{BD3BDBD2-CE7B-445D-9998-2B969A51373E}"/>
    <cellStyle name="20% - Accent3 3 2 6 2 3" xfId="15918" xr:uid="{B7FB9365-D0FD-4BBF-92BA-B5880F41B08B}"/>
    <cellStyle name="20% - Accent3 3 2 6 2 4" xfId="32812" xr:uid="{959D7497-E7F8-4040-BA5E-DDD8DD49C236}"/>
    <cellStyle name="20% - Accent3 3 2 6 3" xfId="20148" xr:uid="{8D5C19E4-78C6-4799-B925-FE7C9C20B283}"/>
    <cellStyle name="20% - Accent3 3 2 6 3 2" xfId="37042" xr:uid="{87CB9DBE-ABB8-4AAB-99CC-6583ED7A41E7}"/>
    <cellStyle name="20% - Accent3 3 2 6 4" xfId="11701" xr:uid="{223F112E-9E3C-418F-A896-A6BA98D758DB}"/>
    <cellStyle name="20% - Accent3 3 2 6 5" xfId="28595" xr:uid="{A2CE703B-5AB1-494A-9B9F-DDA8C8D71A09}"/>
    <cellStyle name="20% - Accent3 3 2 7" xfId="4526" xr:uid="{00000000-0005-0000-0000-0000A6010000}"/>
    <cellStyle name="20% - Accent3 3 2 7 2" xfId="22299" xr:uid="{4FE34F6B-0B4E-4979-8A88-1EBE5CB51656}"/>
    <cellStyle name="20% - Accent3 3 2 7 2 2" xfId="39193" xr:uid="{3525ED53-E33B-4B05-A64D-7CF53A183B66}"/>
    <cellStyle name="20% - Accent3 3 2 7 3" xfId="13852" xr:uid="{5797DEB0-497C-41A9-8F50-365969649B10}"/>
    <cellStyle name="20% - Accent3 3 2 7 4" xfId="30746" xr:uid="{8A16F48F-653F-40FB-AABD-97C491EF4B11}"/>
    <cellStyle name="20% - Accent3 3 2 8" xfId="9072" xr:uid="{422EC144-F6F8-460E-8B93-316BBF9707FB}"/>
    <cellStyle name="20% - Accent3 3 2 8 2" xfId="18082" xr:uid="{323CE41E-3CEB-496B-8CCE-2B4FFA72E45A}"/>
    <cellStyle name="20% - Accent3 3 2 8 3" xfId="34976" xr:uid="{F4B87397-1E09-4622-9ACE-2FEC939A5CDA}"/>
    <cellStyle name="20% - Accent3 3 2 9" xfId="9635" xr:uid="{811AD713-9CF9-4416-A0BB-FC15153453DA}"/>
    <cellStyle name="20% - Accent3 3 3" xfId="591" xr:uid="{00000000-0005-0000-0000-0000A7010000}"/>
    <cellStyle name="20% - Accent3 3 3 2" xfId="2862" xr:uid="{00000000-0005-0000-0000-0000A8010000}"/>
    <cellStyle name="20% - Accent3 3 3 2 2" xfId="7084" xr:uid="{00000000-0005-0000-0000-0000A9010000}"/>
    <cellStyle name="20% - Accent3 3 3 2 2 2" xfId="24857" xr:uid="{F50B0C02-E971-4352-B741-742953B217B1}"/>
    <cellStyle name="20% - Accent3 3 3 2 2 2 2" xfId="41751" xr:uid="{BA6CF2A6-DEC2-4973-9836-9C9679794CA8}"/>
    <cellStyle name="20% - Accent3 3 3 2 2 3" xfId="16410" xr:uid="{EB4A4CF1-7804-453A-822F-C5E0AFB0CAA2}"/>
    <cellStyle name="20% - Accent3 3 3 2 2 4" xfId="33304" xr:uid="{85C2281D-FAC7-469B-9580-9C12B1632BAD}"/>
    <cellStyle name="20% - Accent3 3 3 2 3" xfId="20640" xr:uid="{5909A7B1-0B68-434B-AAF3-FCF357315A9F}"/>
    <cellStyle name="20% - Accent3 3 3 2 3 2" xfId="37534" xr:uid="{73BDF50E-179B-4E1B-8BF6-5BB0DBB78AF5}"/>
    <cellStyle name="20% - Accent3 3 3 2 4" xfId="12193" xr:uid="{32B5EEF8-B980-4C78-98B1-2F230ED7FE89}"/>
    <cellStyle name="20% - Accent3 3 3 2 5" xfId="29087" xr:uid="{C5C29276-2391-43BD-8C2F-B640E07BD0A3}"/>
    <cellStyle name="20% - Accent3 3 3 3" xfId="4939" xr:uid="{00000000-0005-0000-0000-0000AA010000}"/>
    <cellStyle name="20% - Accent3 3 3 3 2" xfId="22712" xr:uid="{15628AD7-86D5-4089-AE43-038DB8AB45F6}"/>
    <cellStyle name="20% - Accent3 3 3 3 2 2" xfId="39606" xr:uid="{696AC785-90BD-4342-89EA-DF8FA37DCDE8}"/>
    <cellStyle name="20% - Accent3 3 3 3 3" xfId="14265" xr:uid="{AC4FD9E1-536D-4586-AD48-72084B209835}"/>
    <cellStyle name="20% - Accent3 3 3 3 4" xfId="31159" xr:uid="{FE313174-19A4-4590-9A57-727C76ECF754}"/>
    <cellStyle name="20% - Accent3 3 3 4" xfId="9290" xr:uid="{8511D0A3-BAF4-4D49-BFEA-2ED828678819}"/>
    <cellStyle name="20% - Accent3 3 3 4 2" xfId="18495" xr:uid="{AAA7CC8D-2D7E-4744-AF63-B4271BDDC63B}"/>
    <cellStyle name="20% - Accent3 3 3 4 3" xfId="35389" xr:uid="{E7B99FE4-821B-401E-9D98-958D5038A308}"/>
    <cellStyle name="20% - Accent3 3 3 5" xfId="10048" xr:uid="{01F4DB2C-D232-49CA-8C1F-3E329E670D1F}"/>
    <cellStyle name="20% - Accent3 3 3 6" xfId="26942" xr:uid="{0B78C9B7-8955-46F8-9546-5A6CC2718DE2}"/>
    <cellStyle name="20% - Accent3 3 4" xfId="1044" xr:uid="{00000000-0005-0000-0000-0000AB010000}"/>
    <cellStyle name="20% - Accent3 3 4 2" xfId="3275" xr:uid="{00000000-0005-0000-0000-0000AC010000}"/>
    <cellStyle name="20% - Accent3 3 4 2 2" xfId="7497" xr:uid="{00000000-0005-0000-0000-0000AD010000}"/>
    <cellStyle name="20% - Accent3 3 4 2 2 2" xfId="25270" xr:uid="{D1D53724-4F4C-474B-865C-9D71A5F6A4F5}"/>
    <cellStyle name="20% - Accent3 3 4 2 2 2 2" xfId="42164" xr:uid="{92C92314-BB14-4046-8A2C-574CB592A519}"/>
    <cellStyle name="20% - Accent3 3 4 2 2 3" xfId="16823" xr:uid="{0587B9CA-DB58-42AE-AC86-0DF884D585CE}"/>
    <cellStyle name="20% - Accent3 3 4 2 2 4" xfId="33717" xr:uid="{3CDB972E-2B68-4A94-9F12-FCA309470E76}"/>
    <cellStyle name="20% - Accent3 3 4 2 3" xfId="21053" xr:uid="{B4008FC9-29DC-4ABD-8D5C-4CB25EC57A4D}"/>
    <cellStyle name="20% - Accent3 3 4 2 3 2" xfId="37947" xr:uid="{9AB53AE3-758A-43FC-BB3B-559EE72E6048}"/>
    <cellStyle name="20% - Accent3 3 4 2 4" xfId="12606" xr:uid="{4949E969-73DF-4C9D-A02A-C8B3AE35BD09}"/>
    <cellStyle name="20% - Accent3 3 4 2 5" xfId="29500" xr:uid="{0A3E0647-1E21-48A9-BEA9-2F7E3225D524}"/>
    <cellStyle name="20% - Accent3 3 4 3" xfId="5352" xr:uid="{00000000-0005-0000-0000-0000AE010000}"/>
    <cellStyle name="20% - Accent3 3 4 3 2" xfId="23125" xr:uid="{B50B28B6-FDAC-4857-B994-302622D70E7D}"/>
    <cellStyle name="20% - Accent3 3 4 3 2 2" xfId="40019" xr:uid="{84E66B90-AB87-4EA5-9E90-50BA4EDF2CCC}"/>
    <cellStyle name="20% - Accent3 3 4 3 3" xfId="14678" xr:uid="{13CA3994-454E-4321-82F4-EF3E732D8565}"/>
    <cellStyle name="20% - Accent3 3 4 3 4" xfId="31572" xr:uid="{36871D67-DB5E-415C-B7FC-13AEEBAC5A9A}"/>
    <cellStyle name="20% - Accent3 3 4 4" xfId="18908" xr:uid="{E792B00A-02B1-4986-8F8A-FAFB131F5811}"/>
    <cellStyle name="20% - Accent3 3 4 4 2" xfId="35802" xr:uid="{8E023EBE-6640-4316-A564-CD2180C4C967}"/>
    <cellStyle name="20% - Accent3 3 4 5" xfId="10461" xr:uid="{1C2DFBC6-A7B0-4DED-B39D-3A51579646F4}"/>
    <cellStyle name="20% - Accent3 3 4 6" xfId="27355" xr:uid="{B01D47DE-51B1-4598-AB85-6435DC7752CC}"/>
    <cellStyle name="20% - Accent3 3 5" xfId="1458" xr:uid="{00000000-0005-0000-0000-0000AF010000}"/>
    <cellStyle name="20% - Accent3 3 5 2" xfId="3688" xr:uid="{00000000-0005-0000-0000-0000B0010000}"/>
    <cellStyle name="20% - Accent3 3 5 2 2" xfId="7910" xr:uid="{00000000-0005-0000-0000-0000B1010000}"/>
    <cellStyle name="20% - Accent3 3 5 2 2 2" xfId="25683" xr:uid="{AE268E39-57F8-47E1-B541-FA555709B9EF}"/>
    <cellStyle name="20% - Accent3 3 5 2 2 2 2" xfId="42577" xr:uid="{145BE60B-C3A8-46A8-A669-BB5269DB56E9}"/>
    <cellStyle name="20% - Accent3 3 5 2 2 3" xfId="17236" xr:uid="{25D4D57F-DB80-4B60-A4CD-CCFD24C17014}"/>
    <cellStyle name="20% - Accent3 3 5 2 2 4" xfId="34130" xr:uid="{075602E2-C7BE-487F-B562-F0A4F8B4C0BB}"/>
    <cellStyle name="20% - Accent3 3 5 2 3" xfId="21466" xr:uid="{AC32EF2A-C4DA-4211-AD09-E1C625D69A4D}"/>
    <cellStyle name="20% - Accent3 3 5 2 3 2" xfId="38360" xr:uid="{6D1162C8-E1E5-40EA-BAC2-6E3523B17A56}"/>
    <cellStyle name="20% - Accent3 3 5 2 4" xfId="13019" xr:uid="{B11FFD1F-4A86-4DF0-A638-AA9607BA8393}"/>
    <cellStyle name="20% - Accent3 3 5 2 5" xfId="29913" xr:uid="{2239FFDC-C521-44B0-A88A-64913214248B}"/>
    <cellStyle name="20% - Accent3 3 5 3" xfId="5765" xr:uid="{00000000-0005-0000-0000-0000B2010000}"/>
    <cellStyle name="20% - Accent3 3 5 3 2" xfId="23538" xr:uid="{4A30690D-31EE-4BC7-9E04-FE75287EB10D}"/>
    <cellStyle name="20% - Accent3 3 5 3 2 2" xfId="40432" xr:uid="{2A81A566-E35B-4FA5-9634-FE1E2D2506D9}"/>
    <cellStyle name="20% - Accent3 3 5 3 3" xfId="15091" xr:uid="{74D9288D-F918-40A2-AE20-613A78280AF9}"/>
    <cellStyle name="20% - Accent3 3 5 3 4" xfId="31985" xr:uid="{E643D090-2A5F-42E2-A6FD-346D9948257D}"/>
    <cellStyle name="20% - Accent3 3 5 4" xfId="19321" xr:uid="{E5755C99-7E68-43C7-8430-965A13B3E73B}"/>
    <cellStyle name="20% - Accent3 3 5 4 2" xfId="36215" xr:uid="{A6F42606-B7C8-4CA4-95C5-F01E82012598}"/>
    <cellStyle name="20% - Accent3 3 5 5" xfId="10874" xr:uid="{F86D8954-3690-4647-A98E-C532FD123A8F}"/>
    <cellStyle name="20% - Accent3 3 5 6" xfId="27768" xr:uid="{0F9405FF-34AF-43BF-A5ED-63E8A21AD151}"/>
    <cellStyle name="20% - Accent3 3 6" xfId="1872" xr:uid="{00000000-0005-0000-0000-0000B3010000}"/>
    <cellStyle name="20% - Accent3 3 6 2" xfId="4101" xr:uid="{00000000-0005-0000-0000-0000B4010000}"/>
    <cellStyle name="20% - Accent3 3 6 2 2" xfId="8323" xr:uid="{00000000-0005-0000-0000-0000B5010000}"/>
    <cellStyle name="20% - Accent3 3 6 2 2 2" xfId="26096" xr:uid="{8F4B3F1E-7FCE-482F-8928-6E18C967B826}"/>
    <cellStyle name="20% - Accent3 3 6 2 2 2 2" xfId="42990" xr:uid="{5B6B2A67-A009-4786-AB73-7F9A8EFEA19C}"/>
    <cellStyle name="20% - Accent3 3 6 2 2 3" xfId="17649" xr:uid="{D9A916B0-A141-406B-891A-486CC5C5C25C}"/>
    <cellStyle name="20% - Accent3 3 6 2 2 4" xfId="34543" xr:uid="{749792D3-69D8-49CD-8169-5B4D7F624294}"/>
    <cellStyle name="20% - Accent3 3 6 2 3" xfId="21879" xr:uid="{3B7BC5CC-35FE-49BE-89D1-BEF46F709B08}"/>
    <cellStyle name="20% - Accent3 3 6 2 3 2" xfId="38773" xr:uid="{8A468B11-3C76-45C0-B487-C6B3CE117734}"/>
    <cellStyle name="20% - Accent3 3 6 2 4" xfId="13432" xr:uid="{0CC59EC4-3086-4745-9598-3B9F301D3145}"/>
    <cellStyle name="20% - Accent3 3 6 2 5" xfId="30326" xr:uid="{14D5F5CF-4D8D-42B4-8F79-33DAC9ECFABB}"/>
    <cellStyle name="20% - Accent3 3 6 3" xfId="6178" xr:uid="{00000000-0005-0000-0000-0000B6010000}"/>
    <cellStyle name="20% - Accent3 3 6 3 2" xfId="23951" xr:uid="{9D1A429D-DF2D-427F-8363-F20F29F9812E}"/>
    <cellStyle name="20% - Accent3 3 6 3 2 2" xfId="40845" xr:uid="{E66B299B-F9CB-43CB-A0BF-2516787ED7C3}"/>
    <cellStyle name="20% - Accent3 3 6 3 3" xfId="15504" xr:uid="{A31B73F8-CA18-4D01-AD11-58DC64EBDF40}"/>
    <cellStyle name="20% - Accent3 3 6 3 4" xfId="32398" xr:uid="{5F9983F0-9588-4213-B83C-22FC836AB623}"/>
    <cellStyle name="20% - Accent3 3 6 4" xfId="19734" xr:uid="{BDF01015-BEC6-41D0-B28C-AAB6995F68F1}"/>
    <cellStyle name="20% - Accent3 3 6 4 2" xfId="36628" xr:uid="{E753E6FC-F792-4C1A-A7F5-6CE39A076572}"/>
    <cellStyle name="20% - Accent3 3 6 5" xfId="11287" xr:uid="{741E7484-D55E-47A0-93FE-EC7727CF52A8}"/>
    <cellStyle name="20% - Accent3 3 6 6" xfId="28181" xr:uid="{88C94608-6235-4C59-BC00-8D2784B36683}"/>
    <cellStyle name="20% - Accent3 3 7" xfId="2285" xr:uid="{00000000-0005-0000-0000-0000B7010000}"/>
    <cellStyle name="20% - Accent3 3 7 2" xfId="6591" xr:uid="{00000000-0005-0000-0000-0000B8010000}"/>
    <cellStyle name="20% - Accent3 3 7 2 2" xfId="24364" xr:uid="{875C097D-7EDE-497A-B5FA-46509ED0A761}"/>
    <cellStyle name="20% - Accent3 3 7 2 2 2" xfId="41258" xr:uid="{CCC0B7AF-556A-4764-8FCA-30087E967B8C}"/>
    <cellStyle name="20% - Accent3 3 7 2 3" xfId="15917" xr:uid="{6B14587B-1A01-4352-A1AE-8B91DE7D0627}"/>
    <cellStyle name="20% - Accent3 3 7 2 4" xfId="32811" xr:uid="{C64EF83A-3A34-429F-B6D0-BE66D340AD8F}"/>
    <cellStyle name="20% - Accent3 3 7 3" xfId="20147" xr:uid="{052FB753-F3AE-4B24-9132-2DF25DE20288}"/>
    <cellStyle name="20% - Accent3 3 7 3 2" xfId="37041" xr:uid="{BFBC9825-F1E7-4257-B0CE-F6F6C91E5E03}"/>
    <cellStyle name="20% - Accent3 3 7 4" xfId="11700" xr:uid="{0DAB8A6A-B1D3-4AB6-B17A-2B9542055503}"/>
    <cellStyle name="20% - Accent3 3 7 5" xfId="28594" xr:uid="{20D32C6D-727F-4CA6-9D83-ADB8FDB2C4B2}"/>
    <cellStyle name="20% - Accent3 3 8" xfId="4525" xr:uid="{00000000-0005-0000-0000-0000B9010000}"/>
    <cellStyle name="20% - Accent3 3 8 2" xfId="22298" xr:uid="{C21B01CD-05E7-4C6F-8A13-6D14FC820AF0}"/>
    <cellStyle name="20% - Accent3 3 8 2 2" xfId="39192" xr:uid="{ECA866ED-DFAA-4757-9801-17F569D7CAF2}"/>
    <cellStyle name="20% - Accent3 3 8 3" xfId="13851" xr:uid="{CED93A78-AF7A-4C04-B34E-BAC08F03D5D8}"/>
    <cellStyle name="20% - Accent3 3 8 4" xfId="30745" xr:uid="{87FB50BA-B8F2-48B9-BC7B-05D7C5D9AA8D}"/>
    <cellStyle name="20% - Accent3 3 9" xfId="8865" xr:uid="{FFA3EBA3-F40D-47A2-8AA1-A3A9E7BB9A8E}"/>
    <cellStyle name="20% - Accent3 3 9 2" xfId="18081" xr:uid="{5FECCE40-E3DF-42B6-A25E-FB567D8010A2}"/>
    <cellStyle name="20% - Accent3 3 9 3" xfId="34975" xr:uid="{25FB1A9B-D908-4A6B-8380-1FADDBBB45C9}"/>
    <cellStyle name="20% - Accent3 4" xfId="24" xr:uid="{00000000-0005-0000-0000-0000BA010000}"/>
    <cellStyle name="20% - Accent3 4 10" xfId="26530" xr:uid="{D5635D48-C0E9-45EA-BB58-108994B828B2}"/>
    <cellStyle name="20% - Accent3 4 2" xfId="593" xr:uid="{00000000-0005-0000-0000-0000BB010000}"/>
    <cellStyle name="20% - Accent3 4 2 2" xfId="2864" xr:uid="{00000000-0005-0000-0000-0000BC010000}"/>
    <cellStyle name="20% - Accent3 4 2 2 2" xfId="7086" xr:uid="{00000000-0005-0000-0000-0000BD010000}"/>
    <cellStyle name="20% - Accent3 4 2 2 2 2" xfId="24859" xr:uid="{07003562-BF0E-4721-9D04-892700CD5150}"/>
    <cellStyle name="20% - Accent3 4 2 2 2 2 2" xfId="41753" xr:uid="{565528D0-3622-47D6-A226-15940B63BD7D}"/>
    <cellStyle name="20% - Accent3 4 2 2 2 3" xfId="16412" xr:uid="{0A4451FB-2018-43EB-929D-1EBFC17389CA}"/>
    <cellStyle name="20% - Accent3 4 2 2 2 4" xfId="33306" xr:uid="{ED7C3934-99A4-422D-823F-3931948B239C}"/>
    <cellStyle name="20% - Accent3 4 2 2 3" xfId="20642" xr:uid="{B38C48AE-2C10-4B57-99CF-2387B66BE82E}"/>
    <cellStyle name="20% - Accent3 4 2 2 3 2" xfId="37536" xr:uid="{70A6880C-6D63-44ED-9E06-A2680553E5D6}"/>
    <cellStyle name="20% - Accent3 4 2 2 4" xfId="12195" xr:uid="{88567DD9-F540-4494-B801-74232622051C}"/>
    <cellStyle name="20% - Accent3 4 2 2 5" xfId="29089" xr:uid="{80FF9BC8-343C-4158-A81F-9BDA67712B1F}"/>
    <cellStyle name="20% - Accent3 4 2 3" xfId="4941" xr:uid="{00000000-0005-0000-0000-0000BE010000}"/>
    <cellStyle name="20% - Accent3 4 2 3 2" xfId="22714" xr:uid="{80C082E6-ADA9-4B4F-849C-928D6DE430E1}"/>
    <cellStyle name="20% - Accent3 4 2 3 2 2" xfId="39608" xr:uid="{CC8A1F2B-F0AD-4C28-BD7E-E9F1D208C08D}"/>
    <cellStyle name="20% - Accent3 4 2 3 3" xfId="14267" xr:uid="{47DF541B-F3D9-40CF-8DEF-B4CB99FCECA4}"/>
    <cellStyle name="20% - Accent3 4 2 3 4" xfId="31161" xr:uid="{1C60651C-D741-4525-B4E2-F27FC3BEDFED}"/>
    <cellStyle name="20% - Accent3 4 2 4" xfId="9376" xr:uid="{92AC27CA-0B0B-4AFE-8457-D3F19BE2837F}"/>
    <cellStyle name="20% - Accent3 4 2 4 2" xfId="18497" xr:uid="{B6487D4F-9188-4717-9215-775C332F972D}"/>
    <cellStyle name="20% - Accent3 4 2 4 3" xfId="35391" xr:uid="{9A9156AE-E089-4148-B34C-CFF7CB67213D}"/>
    <cellStyle name="20% - Accent3 4 2 5" xfId="10050" xr:uid="{843DBC2B-7746-4F34-9F67-CFB20A8B5065}"/>
    <cellStyle name="20% - Accent3 4 2 6" xfId="26944" xr:uid="{69886793-5B9F-48C9-ADD0-8714A852F69B}"/>
    <cellStyle name="20% - Accent3 4 3" xfId="1046" xr:uid="{00000000-0005-0000-0000-0000BF010000}"/>
    <cellStyle name="20% - Accent3 4 3 2" xfId="3277" xr:uid="{00000000-0005-0000-0000-0000C0010000}"/>
    <cellStyle name="20% - Accent3 4 3 2 2" xfId="7499" xr:uid="{00000000-0005-0000-0000-0000C1010000}"/>
    <cellStyle name="20% - Accent3 4 3 2 2 2" xfId="25272" xr:uid="{60EC871E-BD5E-4589-B28C-A5689B577C21}"/>
    <cellStyle name="20% - Accent3 4 3 2 2 2 2" xfId="42166" xr:uid="{47B1E70C-841E-40F7-9429-01890DEEE820}"/>
    <cellStyle name="20% - Accent3 4 3 2 2 3" xfId="16825" xr:uid="{299E05EC-220D-46AF-8FC3-958E93E9A939}"/>
    <cellStyle name="20% - Accent3 4 3 2 2 4" xfId="33719" xr:uid="{0B270414-4724-4BAE-ACE7-435214D7E5F2}"/>
    <cellStyle name="20% - Accent3 4 3 2 3" xfId="21055" xr:uid="{CA42C954-8453-4AD7-AB98-421FDACD9B63}"/>
    <cellStyle name="20% - Accent3 4 3 2 3 2" xfId="37949" xr:uid="{04F6A537-909D-40B5-85C9-4D6B88CBAD3F}"/>
    <cellStyle name="20% - Accent3 4 3 2 4" xfId="12608" xr:uid="{60FB2D4B-3CB1-47A4-A581-0DE01A91717E}"/>
    <cellStyle name="20% - Accent3 4 3 2 5" xfId="29502" xr:uid="{B51E88C2-472D-49BB-BD06-540B4C41FDF4}"/>
    <cellStyle name="20% - Accent3 4 3 3" xfId="5354" xr:uid="{00000000-0005-0000-0000-0000C2010000}"/>
    <cellStyle name="20% - Accent3 4 3 3 2" xfId="23127" xr:uid="{A703845C-77AA-4ACC-8814-F35A146B3D3A}"/>
    <cellStyle name="20% - Accent3 4 3 3 2 2" xfId="40021" xr:uid="{781E588A-F0C5-4CF2-81D8-767E3A510D87}"/>
    <cellStyle name="20% - Accent3 4 3 3 3" xfId="14680" xr:uid="{B02F61FE-05E6-403E-9713-9B69748DDE30}"/>
    <cellStyle name="20% - Accent3 4 3 3 4" xfId="31574" xr:uid="{581D0918-C1E3-4990-A292-A5815EF7A482}"/>
    <cellStyle name="20% - Accent3 4 3 4" xfId="18910" xr:uid="{CE1896DA-9CC9-4A8B-8390-78AAB4FDE00C}"/>
    <cellStyle name="20% - Accent3 4 3 4 2" xfId="35804" xr:uid="{F888B5BC-C8ED-44B0-BD2D-1E5948B7670B}"/>
    <cellStyle name="20% - Accent3 4 3 5" xfId="10463" xr:uid="{DACEA6A8-64BE-4B5C-A702-6E2EFE8432A8}"/>
    <cellStyle name="20% - Accent3 4 3 6" xfId="27357" xr:uid="{EF007915-5EFA-4E40-84F1-3BC7555C58B2}"/>
    <cellStyle name="20% - Accent3 4 4" xfId="1460" xr:uid="{00000000-0005-0000-0000-0000C3010000}"/>
    <cellStyle name="20% - Accent3 4 4 2" xfId="3690" xr:uid="{00000000-0005-0000-0000-0000C4010000}"/>
    <cellStyle name="20% - Accent3 4 4 2 2" xfId="7912" xr:uid="{00000000-0005-0000-0000-0000C5010000}"/>
    <cellStyle name="20% - Accent3 4 4 2 2 2" xfId="25685" xr:uid="{5964CBA2-FAED-48C7-B8EA-8B215B5FA23C}"/>
    <cellStyle name="20% - Accent3 4 4 2 2 2 2" xfId="42579" xr:uid="{36DA7C26-EBBC-458E-8229-41C4D0DDBAF1}"/>
    <cellStyle name="20% - Accent3 4 4 2 2 3" xfId="17238" xr:uid="{83C222A3-BF09-4A06-91EB-D584764CFC21}"/>
    <cellStyle name="20% - Accent3 4 4 2 2 4" xfId="34132" xr:uid="{052D4621-D535-4E22-9803-4E9B0704699F}"/>
    <cellStyle name="20% - Accent3 4 4 2 3" xfId="21468" xr:uid="{5D168033-714F-4759-84F1-343D5C500AB2}"/>
    <cellStyle name="20% - Accent3 4 4 2 3 2" xfId="38362" xr:uid="{0FC08D07-831A-424D-93DD-A219F2A1160F}"/>
    <cellStyle name="20% - Accent3 4 4 2 4" xfId="13021" xr:uid="{6B3CEB6B-0B14-48A0-88BA-D82AB60104CE}"/>
    <cellStyle name="20% - Accent3 4 4 2 5" xfId="29915" xr:uid="{EB2E5C01-FF6F-46EA-9815-964F345A6D57}"/>
    <cellStyle name="20% - Accent3 4 4 3" xfId="5767" xr:uid="{00000000-0005-0000-0000-0000C6010000}"/>
    <cellStyle name="20% - Accent3 4 4 3 2" xfId="23540" xr:uid="{3CB3BDEC-AADA-43A7-A1BB-1020EF42B921}"/>
    <cellStyle name="20% - Accent3 4 4 3 2 2" xfId="40434" xr:uid="{391B80DE-3A00-45FD-8F83-67367C78A572}"/>
    <cellStyle name="20% - Accent3 4 4 3 3" xfId="15093" xr:uid="{6F238B43-5E0B-429A-9F82-CDAF248BB10C}"/>
    <cellStyle name="20% - Accent3 4 4 3 4" xfId="31987" xr:uid="{D525F57F-FB48-4F13-B82F-3FB1A523DC97}"/>
    <cellStyle name="20% - Accent3 4 4 4" xfId="19323" xr:uid="{51BBC541-5EC1-4C1F-A5CD-AF1DF74DE0DC}"/>
    <cellStyle name="20% - Accent3 4 4 4 2" xfId="36217" xr:uid="{8DF6024E-3E5E-4E9C-8D0C-1D0ADAD6CD68}"/>
    <cellStyle name="20% - Accent3 4 4 5" xfId="10876" xr:uid="{8AD2D78A-2DC9-4ECF-9A7D-B833ED7C5F47}"/>
    <cellStyle name="20% - Accent3 4 4 6" xfId="27770" xr:uid="{0941C74C-5A65-43D1-8B74-4DDDA5DE2AF4}"/>
    <cellStyle name="20% - Accent3 4 5" xfId="1874" xr:uid="{00000000-0005-0000-0000-0000C7010000}"/>
    <cellStyle name="20% - Accent3 4 5 2" xfId="4103" xr:uid="{00000000-0005-0000-0000-0000C8010000}"/>
    <cellStyle name="20% - Accent3 4 5 2 2" xfId="8325" xr:uid="{00000000-0005-0000-0000-0000C9010000}"/>
    <cellStyle name="20% - Accent3 4 5 2 2 2" xfId="26098" xr:uid="{9839C037-7786-47E3-9CFF-A763B52F4482}"/>
    <cellStyle name="20% - Accent3 4 5 2 2 2 2" xfId="42992" xr:uid="{25504500-747D-4B53-9AF5-33DBB7F00EFA}"/>
    <cellStyle name="20% - Accent3 4 5 2 2 3" xfId="17651" xr:uid="{517DD2CC-47EE-4860-8117-DB1A749297D7}"/>
    <cellStyle name="20% - Accent3 4 5 2 2 4" xfId="34545" xr:uid="{5C1C755E-0B3E-47EC-A7CC-4710FBEF2196}"/>
    <cellStyle name="20% - Accent3 4 5 2 3" xfId="21881" xr:uid="{0DFB7F2A-B21F-43CE-AE1A-4857359336F2}"/>
    <cellStyle name="20% - Accent3 4 5 2 3 2" xfId="38775" xr:uid="{8E5A0761-96EC-4648-9775-C5ADD1E9DE65}"/>
    <cellStyle name="20% - Accent3 4 5 2 4" xfId="13434" xr:uid="{32DEB8DE-0B51-4888-8E2F-C9CB57C908A9}"/>
    <cellStyle name="20% - Accent3 4 5 2 5" xfId="30328" xr:uid="{5DC874F9-DB6F-43E4-8EEA-18EFCFE84150}"/>
    <cellStyle name="20% - Accent3 4 5 3" xfId="6180" xr:uid="{00000000-0005-0000-0000-0000CA010000}"/>
    <cellStyle name="20% - Accent3 4 5 3 2" xfId="23953" xr:uid="{B9D9AC4F-3ABD-4045-8642-987940637486}"/>
    <cellStyle name="20% - Accent3 4 5 3 2 2" xfId="40847" xr:uid="{056AC778-AA27-49D2-ABF9-6AF289E1ACA3}"/>
    <cellStyle name="20% - Accent3 4 5 3 3" xfId="15506" xr:uid="{F8D989F0-5F85-4E5D-8432-6223916F12C7}"/>
    <cellStyle name="20% - Accent3 4 5 3 4" xfId="32400" xr:uid="{5A85BFE8-17C2-4003-9902-F80A27CFFC32}"/>
    <cellStyle name="20% - Accent3 4 5 4" xfId="19736" xr:uid="{A29EB43F-3603-415D-B4E7-51D56AB2CC62}"/>
    <cellStyle name="20% - Accent3 4 5 4 2" xfId="36630" xr:uid="{08EE27D6-D651-468E-84EC-B0815366654A}"/>
    <cellStyle name="20% - Accent3 4 5 5" xfId="11289" xr:uid="{58C0EA6E-3F44-4240-8409-7A95DC7FE6B3}"/>
    <cellStyle name="20% - Accent3 4 5 6" xfId="28183" xr:uid="{FBBC1BB9-97A2-4FB0-A399-12CD84FB9F16}"/>
    <cellStyle name="20% - Accent3 4 6" xfId="2287" xr:uid="{00000000-0005-0000-0000-0000CB010000}"/>
    <cellStyle name="20% - Accent3 4 6 2" xfId="6593" xr:uid="{00000000-0005-0000-0000-0000CC010000}"/>
    <cellStyle name="20% - Accent3 4 6 2 2" xfId="24366" xr:uid="{2C462323-EE2B-463C-A5C9-AF4A148A141F}"/>
    <cellStyle name="20% - Accent3 4 6 2 2 2" xfId="41260" xr:uid="{D1114916-1F66-4059-B4F4-B7207B5F609F}"/>
    <cellStyle name="20% - Accent3 4 6 2 3" xfId="15919" xr:uid="{65925B4E-A55F-487B-8F72-12C5D6273780}"/>
    <cellStyle name="20% - Accent3 4 6 2 4" xfId="32813" xr:uid="{3EC51158-6DCE-41FC-81C3-27F5A8F756A5}"/>
    <cellStyle name="20% - Accent3 4 6 3" xfId="20149" xr:uid="{E6D00ACE-4B00-48D3-8800-FE03EDB27ACB}"/>
    <cellStyle name="20% - Accent3 4 6 3 2" xfId="37043" xr:uid="{A201B585-1AD7-4CD7-BC17-C2A6CF113B2D}"/>
    <cellStyle name="20% - Accent3 4 6 4" xfId="11702" xr:uid="{2CFF4044-693E-4D62-AE0C-1E4AFA426361}"/>
    <cellStyle name="20% - Accent3 4 6 5" xfId="28596" xr:uid="{F03D5BDC-E219-4F33-A21F-88C42A91463F}"/>
    <cellStyle name="20% - Accent3 4 7" xfId="4527" xr:uid="{00000000-0005-0000-0000-0000CD010000}"/>
    <cellStyle name="20% - Accent3 4 7 2" xfId="22300" xr:uid="{1AC9A2C0-9617-4372-9D51-76096238178A}"/>
    <cellStyle name="20% - Accent3 4 7 2 2" xfId="39194" xr:uid="{2DEEF88E-0F85-4A54-8B9B-8FB4DB25C260}"/>
    <cellStyle name="20% - Accent3 4 7 3" xfId="13853" xr:uid="{6414E9D9-E3F2-46ED-A7D6-6C73E3DD1942}"/>
    <cellStyle name="20% - Accent3 4 7 4" xfId="30747" xr:uid="{22D1B896-2FD0-4333-AF70-DFBFB8080EC4}"/>
    <cellStyle name="20% - Accent3 4 8" xfId="8951" xr:uid="{3CB7770B-4F12-4C44-B65D-06C641FEE851}"/>
    <cellStyle name="20% - Accent3 4 8 2" xfId="18083" xr:uid="{0B61A0B0-F35C-4EBF-961E-FB626221F84C}"/>
    <cellStyle name="20% - Accent3 4 8 3" xfId="34977" xr:uid="{76C0F187-F560-4ED5-9587-2038893EB5FC}"/>
    <cellStyle name="20% - Accent3 4 9" xfId="9636" xr:uid="{8078265C-7A58-48D0-BE49-A4262E39D888}"/>
    <cellStyle name="20% - Accent3 5" xfId="586" xr:uid="{00000000-0005-0000-0000-0000CE010000}"/>
    <cellStyle name="20% - Accent3 5 2" xfId="2857" xr:uid="{00000000-0005-0000-0000-0000CF010000}"/>
    <cellStyle name="20% - Accent3 5 2 2" xfId="7079" xr:uid="{00000000-0005-0000-0000-0000D0010000}"/>
    <cellStyle name="20% - Accent3 5 2 2 2" xfId="24852" xr:uid="{69083305-863C-48EB-A666-6830E59DD103}"/>
    <cellStyle name="20% - Accent3 5 2 2 2 2" xfId="41746" xr:uid="{C8688E82-B1A4-4044-8644-5FDC90F64212}"/>
    <cellStyle name="20% - Accent3 5 2 2 3" xfId="16405" xr:uid="{B7B9006F-69DA-450C-BB08-FD78A5E8C2B0}"/>
    <cellStyle name="20% - Accent3 5 2 2 4" xfId="33299" xr:uid="{B7490FA0-754E-4CA7-887B-DAF18885CB91}"/>
    <cellStyle name="20% - Accent3 5 2 3" xfId="20635" xr:uid="{8D15C1CE-CA7D-43CC-A6B7-302BA3393EBD}"/>
    <cellStyle name="20% - Accent3 5 2 3 2" xfId="37529" xr:uid="{AF4202F1-3DA4-4D92-B6F9-12B6997A0CED}"/>
    <cellStyle name="20% - Accent3 5 2 4" xfId="12188" xr:uid="{84535605-BD1E-44FE-B62C-80120306A466}"/>
    <cellStyle name="20% - Accent3 5 2 5" xfId="29082" xr:uid="{2BF56C1D-55DC-43FD-983D-187495CB3DFD}"/>
    <cellStyle name="20% - Accent3 5 3" xfId="4934" xr:uid="{00000000-0005-0000-0000-0000D1010000}"/>
    <cellStyle name="20% - Accent3 5 3 2" xfId="22707" xr:uid="{23BC9C2B-BD40-4D5D-A696-92D264AAF7E3}"/>
    <cellStyle name="20% - Accent3 5 3 2 2" xfId="39601" xr:uid="{ADA71A36-0A75-4BF8-B9EE-EEB01D57FDC6}"/>
    <cellStyle name="20% - Accent3 5 3 3" xfId="14260" xr:uid="{42BBB066-04AD-4878-939D-A27181B650AF}"/>
    <cellStyle name="20% - Accent3 5 3 4" xfId="31154" xr:uid="{765A3BC5-A87D-48D3-B644-AD283CB93BFD}"/>
    <cellStyle name="20% - Accent3 5 4" xfId="9184" xr:uid="{F51B2D95-9593-4370-A6D2-AFEF087D7920}"/>
    <cellStyle name="20% - Accent3 5 4 2" xfId="18490" xr:uid="{4D8F1C45-525B-4953-9A9C-E50D568C80F0}"/>
    <cellStyle name="20% - Accent3 5 4 3" xfId="35384" xr:uid="{792B7837-AC08-4BDD-9478-F964C551D5F8}"/>
    <cellStyle name="20% - Accent3 5 5" xfId="10043" xr:uid="{4D66BD2E-0370-47E5-A837-A8F053E56543}"/>
    <cellStyle name="20% - Accent3 5 6" xfId="26937" xr:uid="{F1743E38-9AE9-4294-B459-AB5DAB0587C4}"/>
    <cellStyle name="20% - Accent3 6" xfId="1039" xr:uid="{00000000-0005-0000-0000-0000D2010000}"/>
    <cellStyle name="20% - Accent3 6 2" xfId="3270" xr:uid="{00000000-0005-0000-0000-0000D3010000}"/>
    <cellStyle name="20% - Accent3 6 2 2" xfId="7492" xr:uid="{00000000-0005-0000-0000-0000D4010000}"/>
    <cellStyle name="20% - Accent3 6 2 2 2" xfId="25265" xr:uid="{6327FE07-726B-4674-89A6-94EBC912858C}"/>
    <cellStyle name="20% - Accent3 6 2 2 2 2" xfId="42159" xr:uid="{1B95EBC8-7508-4784-AFCB-B9BFE17638F5}"/>
    <cellStyle name="20% - Accent3 6 2 2 3" xfId="16818" xr:uid="{73B1A879-A857-40A9-A76B-025AABD63143}"/>
    <cellStyle name="20% - Accent3 6 2 2 4" xfId="33712" xr:uid="{B8F849EC-F01F-4A7D-981F-4AF560056194}"/>
    <cellStyle name="20% - Accent3 6 2 3" xfId="21048" xr:uid="{A9408F12-50F7-41A6-A885-A689D667E704}"/>
    <cellStyle name="20% - Accent3 6 2 3 2" xfId="37942" xr:uid="{FF6AF840-043B-435A-B8C3-3E1EAEAA1A34}"/>
    <cellStyle name="20% - Accent3 6 2 4" xfId="12601" xr:uid="{568E2189-AC25-445E-9A67-EBABA6190969}"/>
    <cellStyle name="20% - Accent3 6 2 5" xfId="29495" xr:uid="{74C07CA9-2D90-4841-A6B4-9017A7F5257A}"/>
    <cellStyle name="20% - Accent3 6 3" xfId="5347" xr:uid="{00000000-0005-0000-0000-0000D5010000}"/>
    <cellStyle name="20% - Accent3 6 3 2" xfId="23120" xr:uid="{9CA2568D-E2FE-45E0-A08E-7F82DF076A2F}"/>
    <cellStyle name="20% - Accent3 6 3 2 2" xfId="40014" xr:uid="{C5105C95-0B29-4DAE-9459-1E538E1075E8}"/>
    <cellStyle name="20% - Accent3 6 3 3" xfId="14673" xr:uid="{E68FB613-9650-45EB-83EB-EA13EC1AF85A}"/>
    <cellStyle name="20% - Accent3 6 3 4" xfId="31567" xr:uid="{E5C8B55A-EC19-468B-BEC4-9704C32F449B}"/>
    <cellStyle name="20% - Accent3 6 4" xfId="18903" xr:uid="{516A3936-E608-4E9F-9A7E-DA68E6B0E52F}"/>
    <cellStyle name="20% - Accent3 6 4 2" xfId="35797" xr:uid="{DF2692A3-2614-4A59-B560-116B2597363D}"/>
    <cellStyle name="20% - Accent3 6 5" xfId="10456" xr:uid="{FE94F00D-ADE4-48B3-AB00-8EF96CA762B9}"/>
    <cellStyle name="20% - Accent3 6 6" xfId="27350" xr:uid="{8BD4BE24-750C-4042-9631-EF595E41197A}"/>
    <cellStyle name="20% - Accent3 7" xfId="1453" xr:uid="{00000000-0005-0000-0000-0000D6010000}"/>
    <cellStyle name="20% - Accent3 7 2" xfId="3683" xr:uid="{00000000-0005-0000-0000-0000D7010000}"/>
    <cellStyle name="20% - Accent3 7 2 2" xfId="7905" xr:uid="{00000000-0005-0000-0000-0000D8010000}"/>
    <cellStyle name="20% - Accent3 7 2 2 2" xfId="25678" xr:uid="{CCFCBAA7-D77A-4996-AF27-935EC1DD1E96}"/>
    <cellStyle name="20% - Accent3 7 2 2 2 2" xfId="42572" xr:uid="{9352FAF1-2203-4989-9BFA-8C0DDAE04ACB}"/>
    <cellStyle name="20% - Accent3 7 2 2 3" xfId="17231" xr:uid="{2D02ABFB-EE97-43C2-A2F5-0F67E634E2B9}"/>
    <cellStyle name="20% - Accent3 7 2 2 4" xfId="34125" xr:uid="{BEE043EF-AF9A-44A4-A078-78AE2F54AEAF}"/>
    <cellStyle name="20% - Accent3 7 2 3" xfId="21461" xr:uid="{B97F1BAD-F6F0-423F-96B3-5290CA1C3AD0}"/>
    <cellStyle name="20% - Accent3 7 2 3 2" xfId="38355" xr:uid="{337C82B2-A4F5-483B-B0B3-A38FBA133C0C}"/>
    <cellStyle name="20% - Accent3 7 2 4" xfId="13014" xr:uid="{C7A4108A-5082-4262-931A-4C3AEF87BCAB}"/>
    <cellStyle name="20% - Accent3 7 2 5" xfId="29908" xr:uid="{624A9164-93CC-432C-8999-F9782BC0D814}"/>
    <cellStyle name="20% - Accent3 7 3" xfId="5760" xr:uid="{00000000-0005-0000-0000-0000D9010000}"/>
    <cellStyle name="20% - Accent3 7 3 2" xfId="23533" xr:uid="{41A5B722-6E30-41D2-8639-C58039E05E60}"/>
    <cellStyle name="20% - Accent3 7 3 2 2" xfId="40427" xr:uid="{56A2C4F8-CCE9-4B47-9B39-05424552B0F9}"/>
    <cellStyle name="20% - Accent3 7 3 3" xfId="15086" xr:uid="{2CE30055-DE67-48BC-95A6-48F01BE3FDF6}"/>
    <cellStyle name="20% - Accent3 7 3 4" xfId="31980" xr:uid="{C92A9C0D-A294-4853-84CC-E937E0D8A190}"/>
    <cellStyle name="20% - Accent3 7 4" xfId="19316" xr:uid="{3D016850-C6E2-41CD-8724-E311CFEA8509}"/>
    <cellStyle name="20% - Accent3 7 4 2" xfId="36210" xr:uid="{D6C82377-A38F-49EF-9471-360BD97E514A}"/>
    <cellStyle name="20% - Accent3 7 5" xfId="10869" xr:uid="{60F6A10E-F29A-48EA-AC8D-99DA6DD14551}"/>
    <cellStyle name="20% - Accent3 7 6" xfId="27763" xr:uid="{B258B9E1-E7F8-4097-8014-CBD34F69470F}"/>
    <cellStyle name="20% - Accent3 8" xfId="1867" xr:uid="{00000000-0005-0000-0000-0000DA010000}"/>
    <cellStyle name="20% - Accent3 8 2" xfId="4096" xr:uid="{00000000-0005-0000-0000-0000DB010000}"/>
    <cellStyle name="20% - Accent3 8 2 2" xfId="8318" xr:uid="{00000000-0005-0000-0000-0000DC010000}"/>
    <cellStyle name="20% - Accent3 8 2 2 2" xfId="26091" xr:uid="{2253271E-9822-4DB4-953A-F0C630E18966}"/>
    <cellStyle name="20% - Accent3 8 2 2 2 2" xfId="42985" xr:uid="{9A2BF235-8B9E-44EE-B44B-E41F1B6340EF}"/>
    <cellStyle name="20% - Accent3 8 2 2 3" xfId="17644" xr:uid="{7D210EB4-A158-4AD0-B847-E7DF2AC75E66}"/>
    <cellStyle name="20% - Accent3 8 2 2 4" xfId="34538" xr:uid="{5B544467-A588-4DB2-9424-176403BD63ED}"/>
    <cellStyle name="20% - Accent3 8 2 3" xfId="21874" xr:uid="{41970F9E-2093-4DEB-B013-4FE42BC47D91}"/>
    <cellStyle name="20% - Accent3 8 2 3 2" xfId="38768" xr:uid="{0A0E8115-DA16-4BB0-AAE3-17FB5EB14189}"/>
    <cellStyle name="20% - Accent3 8 2 4" xfId="13427" xr:uid="{396B5D4E-EECD-4854-8206-941F7EF2BC48}"/>
    <cellStyle name="20% - Accent3 8 2 5" xfId="30321" xr:uid="{3E2B2884-3705-402F-98A6-3E3D3975EFD4}"/>
    <cellStyle name="20% - Accent3 8 3" xfId="6173" xr:uid="{00000000-0005-0000-0000-0000DD010000}"/>
    <cellStyle name="20% - Accent3 8 3 2" xfId="23946" xr:uid="{C6E55620-A3D5-42FD-A437-94C6AB8C6B95}"/>
    <cellStyle name="20% - Accent3 8 3 2 2" xfId="40840" xr:uid="{E0AA4457-59F7-45E4-ADDE-AF6E2EE841AD}"/>
    <cellStyle name="20% - Accent3 8 3 3" xfId="15499" xr:uid="{246A9AFF-0157-45BE-B685-45F5E063148F}"/>
    <cellStyle name="20% - Accent3 8 3 4" xfId="32393" xr:uid="{8525462E-CD7D-4502-8702-11071D734E7B}"/>
    <cellStyle name="20% - Accent3 8 4" xfId="19729" xr:uid="{81EF5817-0682-4F1C-9CB6-EC30923A36D1}"/>
    <cellStyle name="20% - Accent3 8 4 2" xfId="36623" xr:uid="{8125C2B4-4BA2-4110-86D0-9FD31BD3A92D}"/>
    <cellStyle name="20% - Accent3 8 5" xfId="11282" xr:uid="{2D88FD82-4585-4D68-A450-B20C43C6EECF}"/>
    <cellStyle name="20% - Accent3 8 6" xfId="28176" xr:uid="{86361415-37B3-49F2-B0C4-17DC4D1E100D}"/>
    <cellStyle name="20% - Accent3 9" xfId="2280" xr:uid="{00000000-0005-0000-0000-0000DE010000}"/>
    <cellStyle name="20% - Accent3 9 2" xfId="6586" xr:uid="{00000000-0005-0000-0000-0000DF010000}"/>
    <cellStyle name="20% - Accent3 9 2 2" xfId="24359" xr:uid="{FA1C40BC-2490-4938-871D-4BA750A901CC}"/>
    <cellStyle name="20% - Accent3 9 2 2 2" xfId="41253" xr:uid="{B7FCCE39-170A-4D24-AF90-411EA65DC12B}"/>
    <cellStyle name="20% - Accent3 9 2 3" xfId="15912" xr:uid="{A8D08071-D755-4833-B7F4-48B62D224934}"/>
    <cellStyle name="20% - Accent3 9 2 4" xfId="32806" xr:uid="{2997724C-DC86-4482-A6A4-901E843E8D47}"/>
    <cellStyle name="20% - Accent3 9 3" xfId="20142" xr:uid="{D48342F5-5241-471C-9401-BBD90DF69E5A}"/>
    <cellStyle name="20% - Accent3 9 3 2" xfId="37036" xr:uid="{9628A22D-0AB1-40B9-804A-522D91E94529}"/>
    <cellStyle name="20% - Accent3 9 4" xfId="11695" xr:uid="{8464B681-4327-4261-8E77-221049D13B40}"/>
    <cellStyle name="20% - Accent3 9 5" xfId="28589" xr:uid="{9A4598ED-E19E-49E7-85EE-A2A81904A8C1}"/>
    <cellStyle name="20% - Accent4" xfId="25" builtinId="42" customBuiltin="1"/>
    <cellStyle name="20% - Accent4 10" xfId="4528" xr:uid="{00000000-0005-0000-0000-0000E1010000}"/>
    <cellStyle name="20% - Accent4 10 2" xfId="22301" xr:uid="{6333E5FF-604E-423F-998A-503C76F1E508}"/>
    <cellStyle name="20% - Accent4 10 2 2" xfId="39195" xr:uid="{4086288C-C923-4E2E-9191-CA744980DF46}"/>
    <cellStyle name="20% - Accent4 10 3" xfId="13854" xr:uid="{BC2F973C-90BB-4857-B73B-A37375A67758}"/>
    <cellStyle name="20% - Accent4 10 4" xfId="30748" xr:uid="{DA9292C6-D5E3-4E5C-BE28-D255797C9BB9}"/>
    <cellStyle name="20% - Accent4 11" xfId="8764" xr:uid="{4A9BF508-806C-496D-AEC5-5842E4A62892}"/>
    <cellStyle name="20% - Accent4 11 2" xfId="18084" xr:uid="{7F5089BE-F929-42F4-AACD-2E71161E9411}"/>
    <cellStyle name="20% - Accent4 11 3" xfId="34978" xr:uid="{FA21CA9A-CCCA-4E25-9125-204D85A88563}"/>
    <cellStyle name="20% - Accent4 12" xfId="9637" xr:uid="{D8C89AB9-0F2F-4637-B802-760C84208CB0}"/>
    <cellStyle name="20% - Accent4 13" xfId="26531" xr:uid="{768E76A8-16D6-4E46-9B2E-B36425B3CC0E}"/>
    <cellStyle name="20% - Accent4 2" xfId="26" xr:uid="{00000000-0005-0000-0000-0000E2010000}"/>
    <cellStyle name="20% - Accent4 2 10" xfId="8794" xr:uid="{31A2F477-5237-45C2-B43F-25AC049A95FF}"/>
    <cellStyle name="20% - Accent4 2 10 2" xfId="18085" xr:uid="{284B86C3-D3D6-449C-A3A2-F7F3D84835EE}"/>
    <cellStyle name="20% - Accent4 2 10 3" xfId="34979" xr:uid="{95106434-8BC8-45BC-A943-E562A22CEDB9}"/>
    <cellStyle name="20% - Accent4 2 11" xfId="9638" xr:uid="{BC973CD9-C9BB-461D-9055-9853F706D32C}"/>
    <cellStyle name="20% - Accent4 2 12" xfId="26532" xr:uid="{A049CFE6-42BB-470F-9452-73A9526206B0}"/>
    <cellStyle name="20% - Accent4 2 2" xfId="27" xr:uid="{00000000-0005-0000-0000-0000E3010000}"/>
    <cellStyle name="20% - Accent4 2 2 10" xfId="9639" xr:uid="{DCB427DE-BC1C-47EC-8ACF-2E14D0214E85}"/>
    <cellStyle name="20% - Accent4 2 2 11" xfId="26533" xr:uid="{B14001B1-BB6D-4AEE-ADDF-E056EDF5ACC0}"/>
    <cellStyle name="20% - Accent4 2 2 2" xfId="28" xr:uid="{00000000-0005-0000-0000-0000E4010000}"/>
    <cellStyle name="20% - Accent4 2 2 2 10" xfId="26534" xr:uid="{76F90268-7680-4B29-B199-D59C1C46CD9E}"/>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2 2 2" xfId="24863" xr:uid="{E06C3D20-B577-4FE5-BD74-496104B5D3E0}"/>
    <cellStyle name="20% - Accent4 2 2 2 2 2 2 2 2" xfId="41757" xr:uid="{B47E4A84-B504-48DC-BDA9-54F203B0C9FC}"/>
    <cellStyle name="20% - Accent4 2 2 2 2 2 2 3" xfId="16416" xr:uid="{FBA4A3FF-ACF5-4B7B-9D0F-EFD9181FD5D2}"/>
    <cellStyle name="20% - Accent4 2 2 2 2 2 2 4" xfId="33310" xr:uid="{9FAD4168-BDC7-4FE3-B086-799A18169ACA}"/>
    <cellStyle name="20% - Accent4 2 2 2 2 2 3" xfId="20646" xr:uid="{9D53E28C-16BD-4596-BC65-A47282AEA169}"/>
    <cellStyle name="20% - Accent4 2 2 2 2 2 3 2" xfId="37540" xr:uid="{2ACB0225-7AD3-4175-8DFB-6193F485D238}"/>
    <cellStyle name="20% - Accent4 2 2 2 2 2 4" xfId="12199" xr:uid="{BA78158F-357B-4448-955C-066E08195CBB}"/>
    <cellStyle name="20% - Accent4 2 2 2 2 2 5" xfId="29093" xr:uid="{D4521C76-9B6A-4696-8BBD-0D1B77E0CCBC}"/>
    <cellStyle name="20% - Accent4 2 2 2 2 3" xfId="4945" xr:uid="{00000000-0005-0000-0000-0000E8010000}"/>
    <cellStyle name="20% - Accent4 2 2 2 2 3 2" xfId="22718" xr:uid="{C60BF69E-DEA8-4247-B715-ED79FB2C062E}"/>
    <cellStyle name="20% - Accent4 2 2 2 2 3 2 2" xfId="39612" xr:uid="{A4F77CC5-C89A-4E71-AAF8-BA42034BA24B}"/>
    <cellStyle name="20% - Accent4 2 2 2 2 3 3" xfId="14271" xr:uid="{4E5BC340-3C7C-4D3B-83DC-4D75DE25403A}"/>
    <cellStyle name="20% - Accent4 2 2 2 2 3 4" xfId="31165" xr:uid="{17E5E073-AAF1-47BA-9004-5083F266CC52}"/>
    <cellStyle name="20% - Accent4 2 2 2 2 4" xfId="9529" xr:uid="{0C40CE19-1873-4316-818D-CC943AAFBB7B}"/>
    <cellStyle name="20% - Accent4 2 2 2 2 4 2" xfId="18501" xr:uid="{9131FAC6-9ABF-4A2F-B185-E8E1889B9D48}"/>
    <cellStyle name="20% - Accent4 2 2 2 2 4 3" xfId="35395" xr:uid="{CE97E226-6D77-4F2A-B33D-382D93228F7B}"/>
    <cellStyle name="20% - Accent4 2 2 2 2 5" xfId="10054" xr:uid="{0F6A8F5E-E991-4645-B4D7-186EF4430E96}"/>
    <cellStyle name="20% - Accent4 2 2 2 2 6" xfId="26948" xr:uid="{B9BBEDB8-FF21-4A01-BC53-D61E21704414}"/>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2 2 2" xfId="25276" xr:uid="{5E788CEC-411D-47FF-AF18-8C3C3291C8B6}"/>
    <cellStyle name="20% - Accent4 2 2 2 3 2 2 2 2" xfId="42170" xr:uid="{4907E8E7-8C3A-4BC7-8741-AF45DB8EDF16}"/>
    <cellStyle name="20% - Accent4 2 2 2 3 2 2 3" xfId="16829" xr:uid="{84342D81-39C5-4924-BEBC-7233141D48DD}"/>
    <cellStyle name="20% - Accent4 2 2 2 3 2 2 4" xfId="33723" xr:uid="{E275F772-D32B-4EBD-A1DF-26053A3818BA}"/>
    <cellStyle name="20% - Accent4 2 2 2 3 2 3" xfId="21059" xr:uid="{E7F1C264-1EE8-49BF-8D92-D5837305CB33}"/>
    <cellStyle name="20% - Accent4 2 2 2 3 2 3 2" xfId="37953" xr:uid="{E82B6B08-F9C0-4714-B28B-116C3562A561}"/>
    <cellStyle name="20% - Accent4 2 2 2 3 2 4" xfId="12612" xr:uid="{6372001E-610F-471B-8AE1-E759B703893A}"/>
    <cellStyle name="20% - Accent4 2 2 2 3 2 5" xfId="29506" xr:uid="{6CC708BE-765E-4634-864B-FD54539AF518}"/>
    <cellStyle name="20% - Accent4 2 2 2 3 3" xfId="5358" xr:uid="{00000000-0005-0000-0000-0000EC010000}"/>
    <cellStyle name="20% - Accent4 2 2 2 3 3 2" xfId="23131" xr:uid="{80A29A1B-2860-4DA3-B9CD-30FD44BB778E}"/>
    <cellStyle name="20% - Accent4 2 2 2 3 3 2 2" xfId="40025" xr:uid="{7809A638-04DA-417C-B9F4-56D3DF5DBD43}"/>
    <cellStyle name="20% - Accent4 2 2 2 3 3 3" xfId="14684" xr:uid="{B8105DC6-F302-483B-86D3-3ECC69D36CEE}"/>
    <cellStyle name="20% - Accent4 2 2 2 3 3 4" xfId="31578" xr:uid="{DC4D1976-EEDC-4E41-B451-024B8CC96A66}"/>
    <cellStyle name="20% - Accent4 2 2 2 3 4" xfId="18914" xr:uid="{51BFA300-BB06-45CB-871A-26AE9E4AB05E}"/>
    <cellStyle name="20% - Accent4 2 2 2 3 4 2" xfId="35808" xr:uid="{7388B361-F3F3-4227-BDEE-F37D9EFBFDBC}"/>
    <cellStyle name="20% - Accent4 2 2 2 3 5" xfId="10467" xr:uid="{CE7B1E39-0D9B-479A-9E45-7AC415B38636}"/>
    <cellStyle name="20% - Accent4 2 2 2 3 6" xfId="27361" xr:uid="{DD611CFB-B6AD-49D6-BD50-FA60F9DFCB18}"/>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2 2 2" xfId="25689" xr:uid="{B6CB18E3-8F85-4D65-8F12-86E652E901DA}"/>
    <cellStyle name="20% - Accent4 2 2 2 4 2 2 2 2" xfId="42583" xr:uid="{3AA38381-EB2E-429F-94BB-D7F19CE1438F}"/>
    <cellStyle name="20% - Accent4 2 2 2 4 2 2 3" xfId="17242" xr:uid="{B291964C-3031-4D31-B346-671CA77860FE}"/>
    <cellStyle name="20% - Accent4 2 2 2 4 2 2 4" xfId="34136" xr:uid="{2E3F3D67-FF8E-44F8-A7BE-7F47695F5880}"/>
    <cellStyle name="20% - Accent4 2 2 2 4 2 3" xfId="21472" xr:uid="{0C5C1443-4C66-4AF8-8E95-6EBACD09E255}"/>
    <cellStyle name="20% - Accent4 2 2 2 4 2 3 2" xfId="38366" xr:uid="{F708E774-509E-4204-AE57-31A7C8E5F58A}"/>
    <cellStyle name="20% - Accent4 2 2 2 4 2 4" xfId="13025" xr:uid="{96FC2072-7192-4194-AC69-892292E01478}"/>
    <cellStyle name="20% - Accent4 2 2 2 4 2 5" xfId="29919" xr:uid="{ABAFC5EC-3DF7-427D-998B-2017CB150980}"/>
    <cellStyle name="20% - Accent4 2 2 2 4 3" xfId="5771" xr:uid="{00000000-0005-0000-0000-0000F0010000}"/>
    <cellStyle name="20% - Accent4 2 2 2 4 3 2" xfId="23544" xr:uid="{AE7864B8-F5D4-4C90-8D61-05620C9DCB45}"/>
    <cellStyle name="20% - Accent4 2 2 2 4 3 2 2" xfId="40438" xr:uid="{BC933A48-8FEA-45DC-8743-DB64D9FD429C}"/>
    <cellStyle name="20% - Accent4 2 2 2 4 3 3" xfId="15097" xr:uid="{48E1B3A6-0D5E-4FEF-ADE7-D4028B3EAA95}"/>
    <cellStyle name="20% - Accent4 2 2 2 4 3 4" xfId="31991" xr:uid="{A4CBD303-F85B-4B79-9CD1-33205E187971}"/>
    <cellStyle name="20% - Accent4 2 2 2 4 4" xfId="19327" xr:uid="{CA99E548-8D5E-485C-A9EF-D87C14704865}"/>
    <cellStyle name="20% - Accent4 2 2 2 4 4 2" xfId="36221" xr:uid="{6266D29A-CEAC-4E82-B944-04DA9DDADD55}"/>
    <cellStyle name="20% - Accent4 2 2 2 4 5" xfId="10880" xr:uid="{4DE72CEE-B997-4192-9687-8897114B6F95}"/>
    <cellStyle name="20% - Accent4 2 2 2 4 6" xfId="27774" xr:uid="{47E8FE9C-207A-45CE-91F1-E90772AAB2A4}"/>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2 2 2" xfId="26102" xr:uid="{67DF19B7-40F3-41E3-BC95-808D6DC77D98}"/>
    <cellStyle name="20% - Accent4 2 2 2 5 2 2 2 2" xfId="42996" xr:uid="{BA442271-04A5-4244-B88D-A5D147DCBC0A}"/>
    <cellStyle name="20% - Accent4 2 2 2 5 2 2 3" xfId="17655" xr:uid="{669742AF-7B02-47FD-AD4D-6D95967BB33F}"/>
    <cellStyle name="20% - Accent4 2 2 2 5 2 2 4" xfId="34549" xr:uid="{4E6D8B00-15F2-4602-8080-CD1858A36234}"/>
    <cellStyle name="20% - Accent4 2 2 2 5 2 3" xfId="21885" xr:uid="{8ED8D85C-C915-4504-A6A9-507E57485D24}"/>
    <cellStyle name="20% - Accent4 2 2 2 5 2 3 2" xfId="38779" xr:uid="{8E5553F7-1865-4186-87E5-CF93754CAD49}"/>
    <cellStyle name="20% - Accent4 2 2 2 5 2 4" xfId="13438" xr:uid="{C459184D-822B-4756-9DDF-3728CA5D28A5}"/>
    <cellStyle name="20% - Accent4 2 2 2 5 2 5" xfId="30332" xr:uid="{B865DA45-58E7-4F79-B6B9-A453A16DF9D8}"/>
    <cellStyle name="20% - Accent4 2 2 2 5 3" xfId="6184" xr:uid="{00000000-0005-0000-0000-0000F4010000}"/>
    <cellStyle name="20% - Accent4 2 2 2 5 3 2" xfId="23957" xr:uid="{BBF1E60D-204B-43CB-B91A-3A57C89F2926}"/>
    <cellStyle name="20% - Accent4 2 2 2 5 3 2 2" xfId="40851" xr:uid="{E1836E4F-3A43-4F03-95C8-2235B3170462}"/>
    <cellStyle name="20% - Accent4 2 2 2 5 3 3" xfId="15510" xr:uid="{A3446726-A25B-4569-AF27-CA900F18AB10}"/>
    <cellStyle name="20% - Accent4 2 2 2 5 3 4" xfId="32404" xr:uid="{EE6FD1E8-8B3B-4AC7-B577-F2828D8A3CCA}"/>
    <cellStyle name="20% - Accent4 2 2 2 5 4" xfId="19740" xr:uid="{0CB98CDC-E912-4B7F-8EF5-A9B77C61B71B}"/>
    <cellStyle name="20% - Accent4 2 2 2 5 4 2" xfId="36634" xr:uid="{0A3536B9-36D8-4A2E-A142-A2E7F7B79BB9}"/>
    <cellStyle name="20% - Accent4 2 2 2 5 5" xfId="11293" xr:uid="{52FC1F40-64A4-455A-A6D7-FAA9A8E4BACD}"/>
    <cellStyle name="20% - Accent4 2 2 2 5 6" xfId="28187" xr:uid="{0D00BD79-297D-43D0-A8DC-82457BF10C78}"/>
    <cellStyle name="20% - Accent4 2 2 2 6" xfId="2291" xr:uid="{00000000-0005-0000-0000-0000F5010000}"/>
    <cellStyle name="20% - Accent4 2 2 2 6 2" xfId="6597" xr:uid="{00000000-0005-0000-0000-0000F6010000}"/>
    <cellStyle name="20% - Accent4 2 2 2 6 2 2" xfId="24370" xr:uid="{8787C845-71A6-44C0-AEF4-4107DE909671}"/>
    <cellStyle name="20% - Accent4 2 2 2 6 2 2 2" xfId="41264" xr:uid="{854F132C-84DC-470A-A8AC-9D9024650EA3}"/>
    <cellStyle name="20% - Accent4 2 2 2 6 2 3" xfId="15923" xr:uid="{96E1C258-3B78-49D6-93FA-387059710307}"/>
    <cellStyle name="20% - Accent4 2 2 2 6 2 4" xfId="32817" xr:uid="{69A108EE-4084-425D-8287-65B71E110DB3}"/>
    <cellStyle name="20% - Accent4 2 2 2 6 3" xfId="20153" xr:uid="{B9100F1B-B90E-4B6F-92F9-09467AB97CDC}"/>
    <cellStyle name="20% - Accent4 2 2 2 6 3 2" xfId="37047" xr:uid="{475933C6-5591-463E-81F7-54F238C25769}"/>
    <cellStyle name="20% - Accent4 2 2 2 6 4" xfId="11706" xr:uid="{37CEA83C-F8C3-4970-8B8D-935B0FACE09C}"/>
    <cellStyle name="20% - Accent4 2 2 2 6 5" xfId="28600" xr:uid="{18327366-336F-483E-A77C-F3EB50D57CC9}"/>
    <cellStyle name="20% - Accent4 2 2 2 7" xfId="4531" xr:uid="{00000000-0005-0000-0000-0000F7010000}"/>
    <cellStyle name="20% - Accent4 2 2 2 7 2" xfId="22304" xr:uid="{237429DF-901F-463D-8385-6CA2A5191898}"/>
    <cellStyle name="20% - Accent4 2 2 2 7 2 2" xfId="39198" xr:uid="{8CA34072-FAB3-4027-81F8-5AE497ABD78C}"/>
    <cellStyle name="20% - Accent4 2 2 2 7 3" xfId="13857" xr:uid="{8C27CA16-A440-4366-BE56-B899491B684D}"/>
    <cellStyle name="20% - Accent4 2 2 2 7 4" xfId="30751" xr:uid="{0DA70007-07A0-4025-9A67-B852BAFDC377}"/>
    <cellStyle name="20% - Accent4 2 2 2 8" xfId="9104" xr:uid="{526BE306-22BA-4A85-81B2-34AEB56F0D90}"/>
    <cellStyle name="20% - Accent4 2 2 2 8 2" xfId="18087" xr:uid="{050EEF9A-0A7E-45A8-84B2-C4CDE5134D70}"/>
    <cellStyle name="20% - Accent4 2 2 2 8 3" xfId="34981" xr:uid="{4751A95D-1767-47E8-9A95-66760B261442}"/>
    <cellStyle name="20% - Accent4 2 2 2 9" xfId="9640" xr:uid="{4B2E3AAF-1AE2-4C3B-A0F3-34E101B837F2}"/>
    <cellStyle name="20% - Accent4 2 2 3" xfId="596" xr:uid="{00000000-0005-0000-0000-0000F8010000}"/>
    <cellStyle name="20% - Accent4 2 2 3 2" xfId="2867" xr:uid="{00000000-0005-0000-0000-0000F9010000}"/>
    <cellStyle name="20% - Accent4 2 2 3 2 2" xfId="7089" xr:uid="{00000000-0005-0000-0000-0000FA010000}"/>
    <cellStyle name="20% - Accent4 2 2 3 2 2 2" xfId="24862" xr:uid="{38D00792-67A8-418E-B923-C4E92BD2B4BC}"/>
    <cellStyle name="20% - Accent4 2 2 3 2 2 2 2" xfId="41756" xr:uid="{0C0CB745-435D-452A-BD60-7344D7063757}"/>
    <cellStyle name="20% - Accent4 2 2 3 2 2 3" xfId="16415" xr:uid="{7CF12935-2FB8-456E-A8B4-5C6E306A1B22}"/>
    <cellStyle name="20% - Accent4 2 2 3 2 2 4" xfId="33309" xr:uid="{FF5FB302-5D8E-4EE4-BF8E-831B6613F8AE}"/>
    <cellStyle name="20% - Accent4 2 2 3 2 3" xfId="20645" xr:uid="{251D8E78-6236-42DA-A70D-155B8F36AF03}"/>
    <cellStyle name="20% - Accent4 2 2 3 2 3 2" xfId="37539" xr:uid="{96AF02EF-BCE7-43FA-B5AB-93D33FF34CF2}"/>
    <cellStyle name="20% - Accent4 2 2 3 2 4" xfId="12198" xr:uid="{89FF26D3-1160-4B7B-9952-B0B5A526C4BD}"/>
    <cellStyle name="20% - Accent4 2 2 3 2 5" xfId="29092" xr:uid="{2565099D-3F0E-47E5-AEFF-4532A15907C8}"/>
    <cellStyle name="20% - Accent4 2 2 3 3" xfId="4944" xr:uid="{00000000-0005-0000-0000-0000FB010000}"/>
    <cellStyle name="20% - Accent4 2 2 3 3 2" xfId="22717" xr:uid="{3175122A-4634-48B7-8C94-12AE526AD530}"/>
    <cellStyle name="20% - Accent4 2 2 3 3 2 2" xfId="39611" xr:uid="{EE7604DF-66F9-49DE-9D3A-A7B396A04FBE}"/>
    <cellStyle name="20% - Accent4 2 2 3 3 3" xfId="14270" xr:uid="{23D18D12-42C7-4A9D-985B-974D1389881D}"/>
    <cellStyle name="20% - Accent4 2 2 3 3 4" xfId="31164" xr:uid="{5148608F-FC05-4D4F-928A-855D5A42F351}"/>
    <cellStyle name="20% - Accent4 2 2 3 4" xfId="9322" xr:uid="{003BBE99-27AA-4036-A373-4475953A88F4}"/>
    <cellStyle name="20% - Accent4 2 2 3 4 2" xfId="18500" xr:uid="{BAA3D68F-0DC0-43D7-B040-A659CC4F935E}"/>
    <cellStyle name="20% - Accent4 2 2 3 4 3" xfId="35394" xr:uid="{3C365909-3047-4994-AB66-464E529DB4B3}"/>
    <cellStyle name="20% - Accent4 2 2 3 5" xfId="10053" xr:uid="{4FDED701-CE40-46A0-B9BC-802F1A7A0764}"/>
    <cellStyle name="20% - Accent4 2 2 3 6" xfId="26947" xr:uid="{23082509-F94D-4562-9E31-2629349519BD}"/>
    <cellStyle name="20% - Accent4 2 2 4" xfId="1049" xr:uid="{00000000-0005-0000-0000-0000FC010000}"/>
    <cellStyle name="20% - Accent4 2 2 4 2" xfId="3280" xr:uid="{00000000-0005-0000-0000-0000FD010000}"/>
    <cellStyle name="20% - Accent4 2 2 4 2 2" xfId="7502" xr:uid="{00000000-0005-0000-0000-0000FE010000}"/>
    <cellStyle name="20% - Accent4 2 2 4 2 2 2" xfId="25275" xr:uid="{22E8B180-2828-4420-9373-FD78161D58E3}"/>
    <cellStyle name="20% - Accent4 2 2 4 2 2 2 2" xfId="42169" xr:uid="{BC7F89BC-BD4A-4045-AEF7-7559FBC5B5B1}"/>
    <cellStyle name="20% - Accent4 2 2 4 2 2 3" xfId="16828" xr:uid="{FFA420AC-4412-46CA-A50E-3480D0707053}"/>
    <cellStyle name="20% - Accent4 2 2 4 2 2 4" xfId="33722" xr:uid="{482ED2E6-2B8C-417F-8082-3A965B83E66A}"/>
    <cellStyle name="20% - Accent4 2 2 4 2 3" xfId="21058" xr:uid="{B41E4170-6056-42E7-9BF1-6A534F084AE7}"/>
    <cellStyle name="20% - Accent4 2 2 4 2 3 2" xfId="37952" xr:uid="{DA31A499-B4CC-4FA5-B2C6-D3A836356755}"/>
    <cellStyle name="20% - Accent4 2 2 4 2 4" xfId="12611" xr:uid="{F374EF52-2769-4D72-B90B-93C0FE5AF784}"/>
    <cellStyle name="20% - Accent4 2 2 4 2 5" xfId="29505" xr:uid="{F6685A94-97CF-4873-BE84-956A18F8A009}"/>
    <cellStyle name="20% - Accent4 2 2 4 3" xfId="5357" xr:uid="{00000000-0005-0000-0000-0000FF010000}"/>
    <cellStyle name="20% - Accent4 2 2 4 3 2" xfId="23130" xr:uid="{571CA403-5DDF-45A6-8282-47930E337B6E}"/>
    <cellStyle name="20% - Accent4 2 2 4 3 2 2" xfId="40024" xr:uid="{DC36AC9F-A41B-460D-9A17-4A06813EA5F4}"/>
    <cellStyle name="20% - Accent4 2 2 4 3 3" xfId="14683" xr:uid="{78DBE553-D2E9-4975-9070-B12D01CD6E80}"/>
    <cellStyle name="20% - Accent4 2 2 4 3 4" xfId="31577" xr:uid="{B538AA02-B34E-4BD0-A425-6C551AE725E4}"/>
    <cellStyle name="20% - Accent4 2 2 4 4" xfId="18913" xr:uid="{62417F64-716B-4044-9C00-92CD3EE58FCD}"/>
    <cellStyle name="20% - Accent4 2 2 4 4 2" xfId="35807" xr:uid="{C14A0B4A-48BB-4B30-A695-D91541A9B864}"/>
    <cellStyle name="20% - Accent4 2 2 4 5" xfId="10466" xr:uid="{E786E98A-DE43-4B1F-A63A-36070B189824}"/>
    <cellStyle name="20% - Accent4 2 2 4 6" xfId="27360" xr:uid="{C645BB3A-AFEF-405B-86D9-4C16BDECBFB8}"/>
    <cellStyle name="20% - Accent4 2 2 5" xfId="1463" xr:uid="{00000000-0005-0000-0000-000000020000}"/>
    <cellStyle name="20% - Accent4 2 2 5 2" xfId="3693" xr:uid="{00000000-0005-0000-0000-000001020000}"/>
    <cellStyle name="20% - Accent4 2 2 5 2 2" xfId="7915" xr:uid="{00000000-0005-0000-0000-000002020000}"/>
    <cellStyle name="20% - Accent4 2 2 5 2 2 2" xfId="25688" xr:uid="{A79329FC-7694-4738-BD66-C6F4BE61F21C}"/>
    <cellStyle name="20% - Accent4 2 2 5 2 2 2 2" xfId="42582" xr:uid="{80D83F76-191C-4039-AEF5-D617EDFC3AF9}"/>
    <cellStyle name="20% - Accent4 2 2 5 2 2 3" xfId="17241" xr:uid="{0DA502E2-CAAF-4A12-8414-C2379479E8DA}"/>
    <cellStyle name="20% - Accent4 2 2 5 2 2 4" xfId="34135" xr:uid="{D4048A30-F24F-429D-8E32-DABB2FD56EE5}"/>
    <cellStyle name="20% - Accent4 2 2 5 2 3" xfId="21471" xr:uid="{ED895A44-1213-42B6-86E4-1AA76CF25A5C}"/>
    <cellStyle name="20% - Accent4 2 2 5 2 3 2" xfId="38365" xr:uid="{D1169C4F-9371-4683-BCB8-C18FFA33B654}"/>
    <cellStyle name="20% - Accent4 2 2 5 2 4" xfId="13024" xr:uid="{A7823660-51E6-4ABC-AC30-40689335C8C7}"/>
    <cellStyle name="20% - Accent4 2 2 5 2 5" xfId="29918" xr:uid="{357E5998-C13A-4D2F-88ED-702D7C6B9D7A}"/>
    <cellStyle name="20% - Accent4 2 2 5 3" xfId="5770" xr:uid="{00000000-0005-0000-0000-000003020000}"/>
    <cellStyle name="20% - Accent4 2 2 5 3 2" xfId="23543" xr:uid="{24400197-15B6-4D63-BB98-BEA1D29D723D}"/>
    <cellStyle name="20% - Accent4 2 2 5 3 2 2" xfId="40437" xr:uid="{D2A0F444-411A-4A26-BA02-C22BAA409EFB}"/>
    <cellStyle name="20% - Accent4 2 2 5 3 3" xfId="15096" xr:uid="{B6730A5D-71AC-4BFF-8D7D-7B6EB179991D}"/>
    <cellStyle name="20% - Accent4 2 2 5 3 4" xfId="31990" xr:uid="{6BCB3D90-EA37-4BD1-9ED0-EB1B303871A6}"/>
    <cellStyle name="20% - Accent4 2 2 5 4" xfId="19326" xr:uid="{700C55ED-9159-4E3F-866C-4E099A105BF0}"/>
    <cellStyle name="20% - Accent4 2 2 5 4 2" xfId="36220" xr:uid="{B5F21CD9-394C-43D1-B8D4-A763170DE89D}"/>
    <cellStyle name="20% - Accent4 2 2 5 5" xfId="10879" xr:uid="{9089AB0B-94BC-4FC5-82C1-6B241E3EBA4B}"/>
    <cellStyle name="20% - Accent4 2 2 5 6" xfId="27773" xr:uid="{E9538B8D-5851-48D3-8F15-7EB43B7EBCBE}"/>
    <cellStyle name="20% - Accent4 2 2 6" xfId="1877" xr:uid="{00000000-0005-0000-0000-000004020000}"/>
    <cellStyle name="20% - Accent4 2 2 6 2" xfId="4106" xr:uid="{00000000-0005-0000-0000-000005020000}"/>
    <cellStyle name="20% - Accent4 2 2 6 2 2" xfId="8328" xr:uid="{00000000-0005-0000-0000-000006020000}"/>
    <cellStyle name="20% - Accent4 2 2 6 2 2 2" xfId="26101" xr:uid="{0465ED47-01C1-41FB-B41E-35C4640C0781}"/>
    <cellStyle name="20% - Accent4 2 2 6 2 2 2 2" xfId="42995" xr:uid="{849DCE8D-3603-4421-9148-63C89EEE69D8}"/>
    <cellStyle name="20% - Accent4 2 2 6 2 2 3" xfId="17654" xr:uid="{80D14E15-6A55-4313-8D4C-5EC2F38C5555}"/>
    <cellStyle name="20% - Accent4 2 2 6 2 2 4" xfId="34548" xr:uid="{76DB497C-06EB-44D5-A91E-0634CA7F8B15}"/>
    <cellStyle name="20% - Accent4 2 2 6 2 3" xfId="21884" xr:uid="{CAC0E810-654B-42AA-940C-34CB4697562D}"/>
    <cellStyle name="20% - Accent4 2 2 6 2 3 2" xfId="38778" xr:uid="{A835EF4F-6D78-49F9-AE21-AE3C688CBA63}"/>
    <cellStyle name="20% - Accent4 2 2 6 2 4" xfId="13437" xr:uid="{DDAD1449-6615-44BC-89D3-ED534BB9BE7C}"/>
    <cellStyle name="20% - Accent4 2 2 6 2 5" xfId="30331" xr:uid="{34C43A1B-82B7-4C7F-8191-7EB1802BB6AC}"/>
    <cellStyle name="20% - Accent4 2 2 6 3" xfId="6183" xr:uid="{00000000-0005-0000-0000-000007020000}"/>
    <cellStyle name="20% - Accent4 2 2 6 3 2" xfId="23956" xr:uid="{7B271CBA-83F7-4F49-934A-59D641CF6CD5}"/>
    <cellStyle name="20% - Accent4 2 2 6 3 2 2" xfId="40850" xr:uid="{D8FEB8AB-D893-4A0B-B7C8-3D0E2B9BA278}"/>
    <cellStyle name="20% - Accent4 2 2 6 3 3" xfId="15509" xr:uid="{1A9AFE0D-A055-4DDA-82E8-15798DF9604E}"/>
    <cellStyle name="20% - Accent4 2 2 6 3 4" xfId="32403" xr:uid="{D44AC7D9-FBA8-49C6-B131-FB5A9603D6CB}"/>
    <cellStyle name="20% - Accent4 2 2 6 4" xfId="19739" xr:uid="{B9D63D4F-FF5A-46F7-9528-9632EF905416}"/>
    <cellStyle name="20% - Accent4 2 2 6 4 2" xfId="36633" xr:uid="{7FEF1BCB-DC3A-4F41-8756-80BF9A9BFBE5}"/>
    <cellStyle name="20% - Accent4 2 2 6 5" xfId="11292" xr:uid="{BBFB831F-58C9-402A-9BA1-C406B176E331}"/>
    <cellStyle name="20% - Accent4 2 2 6 6" xfId="28186" xr:uid="{CD56F352-F758-4BD1-BA90-9414454B5496}"/>
    <cellStyle name="20% - Accent4 2 2 7" xfId="2290" xr:uid="{00000000-0005-0000-0000-000008020000}"/>
    <cellStyle name="20% - Accent4 2 2 7 2" xfId="6596" xr:uid="{00000000-0005-0000-0000-000009020000}"/>
    <cellStyle name="20% - Accent4 2 2 7 2 2" xfId="24369" xr:uid="{EE752F89-579E-4A98-ACEA-8269BDC279EC}"/>
    <cellStyle name="20% - Accent4 2 2 7 2 2 2" xfId="41263" xr:uid="{E96DC081-032F-48DB-810D-94D3A704AC21}"/>
    <cellStyle name="20% - Accent4 2 2 7 2 3" xfId="15922" xr:uid="{38EB2FD7-60A0-4C9A-AFA1-31948EC2CF73}"/>
    <cellStyle name="20% - Accent4 2 2 7 2 4" xfId="32816" xr:uid="{71B817D7-9AF8-4A18-BAC0-86C4BE6632B7}"/>
    <cellStyle name="20% - Accent4 2 2 7 3" xfId="20152" xr:uid="{7B5507B4-3920-4FD2-A03F-14CE1C689DF0}"/>
    <cellStyle name="20% - Accent4 2 2 7 3 2" xfId="37046" xr:uid="{246DB2FE-B9AD-443A-B03B-B9ED64174DB1}"/>
    <cellStyle name="20% - Accent4 2 2 7 4" xfId="11705" xr:uid="{2656DFD7-58F4-4FBB-93BC-E676225E74B2}"/>
    <cellStyle name="20% - Accent4 2 2 7 5" xfId="28599" xr:uid="{89A1C215-BB50-4270-827C-E49EBA10E04D}"/>
    <cellStyle name="20% - Accent4 2 2 8" xfId="4530" xr:uid="{00000000-0005-0000-0000-00000A020000}"/>
    <cellStyle name="20% - Accent4 2 2 8 2" xfId="22303" xr:uid="{9EC31C50-D642-4BB2-A286-E116FCFB22A0}"/>
    <cellStyle name="20% - Accent4 2 2 8 2 2" xfId="39197" xr:uid="{3DC78A74-23C0-486F-8553-93F7F6B9400D}"/>
    <cellStyle name="20% - Accent4 2 2 8 3" xfId="13856" xr:uid="{9380A506-92CB-487E-8A53-1EB7231F8D50}"/>
    <cellStyle name="20% - Accent4 2 2 8 4" xfId="30750" xr:uid="{73AB2803-B6B5-4FF0-998B-85999A29BAD1}"/>
    <cellStyle name="20% - Accent4 2 2 9" xfId="8897" xr:uid="{3A58A73C-0193-4EAC-8E12-5BF8743CE9BA}"/>
    <cellStyle name="20% - Accent4 2 2 9 2" xfId="18086" xr:uid="{D2D4B551-9799-428F-A212-1D724D95F940}"/>
    <cellStyle name="20% - Accent4 2 2 9 3" xfId="34980" xr:uid="{C7FB20D2-6E60-40EB-A559-BA9DACBF56BA}"/>
    <cellStyle name="20% - Accent4 2 3" xfId="29" xr:uid="{00000000-0005-0000-0000-00000B020000}"/>
    <cellStyle name="20% - Accent4 2 3 10" xfId="26535" xr:uid="{0EFC6722-85AD-4B43-A93B-BA711C5E485C}"/>
    <cellStyle name="20% - Accent4 2 3 2" xfId="598" xr:uid="{00000000-0005-0000-0000-00000C020000}"/>
    <cellStyle name="20% - Accent4 2 3 2 2" xfId="2869" xr:uid="{00000000-0005-0000-0000-00000D020000}"/>
    <cellStyle name="20% - Accent4 2 3 2 2 2" xfId="7091" xr:uid="{00000000-0005-0000-0000-00000E020000}"/>
    <cellStyle name="20% - Accent4 2 3 2 2 2 2" xfId="24864" xr:uid="{B347554B-1F4E-49C8-BD3E-F19420FC07AA}"/>
    <cellStyle name="20% - Accent4 2 3 2 2 2 2 2" xfId="41758" xr:uid="{07A672D9-F9AF-4594-B054-1A20D764D1E2}"/>
    <cellStyle name="20% - Accent4 2 3 2 2 2 3" xfId="16417" xr:uid="{FB0C8310-21EA-40C9-AB90-8F5D5E4AD0F3}"/>
    <cellStyle name="20% - Accent4 2 3 2 2 2 4" xfId="33311" xr:uid="{EBE5B968-ACF2-470F-9630-C7BBA2885214}"/>
    <cellStyle name="20% - Accent4 2 3 2 2 3" xfId="20647" xr:uid="{67AF8DED-61AA-45DE-895E-AEA04B2ECB4D}"/>
    <cellStyle name="20% - Accent4 2 3 2 2 3 2" xfId="37541" xr:uid="{1F3C4B21-A2C0-4334-A6D1-F48E3FF91916}"/>
    <cellStyle name="20% - Accent4 2 3 2 2 4" xfId="12200" xr:uid="{B2C8ECAF-1C34-4719-B458-53824EFFB66F}"/>
    <cellStyle name="20% - Accent4 2 3 2 2 5" xfId="29094" xr:uid="{4C2638D0-3E4C-4504-92A2-4343466CC2D2}"/>
    <cellStyle name="20% - Accent4 2 3 2 3" xfId="4946" xr:uid="{00000000-0005-0000-0000-00000F020000}"/>
    <cellStyle name="20% - Accent4 2 3 2 3 2" xfId="22719" xr:uid="{D0C171F4-1543-477C-B571-9B4BA684AD13}"/>
    <cellStyle name="20% - Accent4 2 3 2 3 2 2" xfId="39613" xr:uid="{87F36118-1246-4413-AA1E-18A9E4AC7A69}"/>
    <cellStyle name="20% - Accent4 2 3 2 3 3" xfId="14272" xr:uid="{0FBB0B6C-7221-44E0-BA8D-FAA568C97D0E}"/>
    <cellStyle name="20% - Accent4 2 3 2 3 4" xfId="31166" xr:uid="{5FD99A3B-7D27-4B61-A866-631B7DC00058}"/>
    <cellStyle name="20% - Accent4 2 3 2 4" xfId="9426" xr:uid="{5B247D51-FBFD-4799-8395-E3F1C04297B8}"/>
    <cellStyle name="20% - Accent4 2 3 2 4 2" xfId="18502" xr:uid="{E3E896E3-3BC8-41E1-BDAE-61360143DECD}"/>
    <cellStyle name="20% - Accent4 2 3 2 4 3" xfId="35396" xr:uid="{12716944-E482-4FAA-B226-A99AC2526A46}"/>
    <cellStyle name="20% - Accent4 2 3 2 5" xfId="10055" xr:uid="{EA6CB332-109F-4856-AAA1-32E222A81B55}"/>
    <cellStyle name="20% - Accent4 2 3 2 6" xfId="26949" xr:uid="{1F13D2D5-525A-4C8B-9E08-BC903DB3F839}"/>
    <cellStyle name="20% - Accent4 2 3 3" xfId="1051" xr:uid="{00000000-0005-0000-0000-000010020000}"/>
    <cellStyle name="20% - Accent4 2 3 3 2" xfId="3282" xr:uid="{00000000-0005-0000-0000-000011020000}"/>
    <cellStyle name="20% - Accent4 2 3 3 2 2" xfId="7504" xr:uid="{00000000-0005-0000-0000-000012020000}"/>
    <cellStyle name="20% - Accent4 2 3 3 2 2 2" xfId="25277" xr:uid="{ACD93831-0F8F-4B6D-AE9F-49945AD197A2}"/>
    <cellStyle name="20% - Accent4 2 3 3 2 2 2 2" xfId="42171" xr:uid="{38C79A3C-2DE8-4223-948B-851A32287663}"/>
    <cellStyle name="20% - Accent4 2 3 3 2 2 3" xfId="16830" xr:uid="{AA074928-70D5-4CD5-9C1E-06EF20224ACB}"/>
    <cellStyle name="20% - Accent4 2 3 3 2 2 4" xfId="33724" xr:uid="{BAD27870-D745-48CB-B94C-F3D04D8A1B93}"/>
    <cellStyle name="20% - Accent4 2 3 3 2 3" xfId="21060" xr:uid="{135985D2-33B4-404B-96FC-13147FC92002}"/>
    <cellStyle name="20% - Accent4 2 3 3 2 3 2" xfId="37954" xr:uid="{7A9A6522-C47A-480D-91A5-B0475FA28EA1}"/>
    <cellStyle name="20% - Accent4 2 3 3 2 4" xfId="12613" xr:uid="{4D552352-7798-466B-A8A4-F16A9F7CF1EA}"/>
    <cellStyle name="20% - Accent4 2 3 3 2 5" xfId="29507" xr:uid="{2B4A8D2C-2557-4EA0-B494-90C2134D89FB}"/>
    <cellStyle name="20% - Accent4 2 3 3 3" xfId="5359" xr:uid="{00000000-0005-0000-0000-000013020000}"/>
    <cellStyle name="20% - Accent4 2 3 3 3 2" xfId="23132" xr:uid="{67687DBA-2940-4845-A580-14747F9F8382}"/>
    <cellStyle name="20% - Accent4 2 3 3 3 2 2" xfId="40026" xr:uid="{F115692A-E642-4E86-B984-AEBBDF34EE95}"/>
    <cellStyle name="20% - Accent4 2 3 3 3 3" xfId="14685" xr:uid="{5136B922-F569-4A4C-A3C6-EC00B012F458}"/>
    <cellStyle name="20% - Accent4 2 3 3 3 4" xfId="31579" xr:uid="{34B144C1-3928-4D10-8453-CE7652FE7C30}"/>
    <cellStyle name="20% - Accent4 2 3 3 4" xfId="18915" xr:uid="{F5ADB6CA-FCE6-4792-B252-B6261B294C70}"/>
    <cellStyle name="20% - Accent4 2 3 3 4 2" xfId="35809" xr:uid="{8E3AF064-CA6B-4F5E-8215-C7D1A383FEFE}"/>
    <cellStyle name="20% - Accent4 2 3 3 5" xfId="10468" xr:uid="{A4087B0D-926C-4C38-926E-B83AD9C14DB9}"/>
    <cellStyle name="20% - Accent4 2 3 3 6" xfId="27362" xr:uid="{CBE18969-C19E-4D77-8A15-FF519EAEDCA1}"/>
    <cellStyle name="20% - Accent4 2 3 4" xfId="1465" xr:uid="{00000000-0005-0000-0000-000014020000}"/>
    <cellStyle name="20% - Accent4 2 3 4 2" xfId="3695" xr:uid="{00000000-0005-0000-0000-000015020000}"/>
    <cellStyle name="20% - Accent4 2 3 4 2 2" xfId="7917" xr:uid="{00000000-0005-0000-0000-000016020000}"/>
    <cellStyle name="20% - Accent4 2 3 4 2 2 2" xfId="25690" xr:uid="{F062518F-D297-4872-A2FD-017A3B3164C0}"/>
    <cellStyle name="20% - Accent4 2 3 4 2 2 2 2" xfId="42584" xr:uid="{6697C81B-03E3-4458-BFF2-7C470CF4DFF1}"/>
    <cellStyle name="20% - Accent4 2 3 4 2 2 3" xfId="17243" xr:uid="{EF31017E-C6EE-455D-B087-7D6A6E43B50E}"/>
    <cellStyle name="20% - Accent4 2 3 4 2 2 4" xfId="34137" xr:uid="{7AAA36B4-C0B1-49FA-96A1-DAFCB8CF5FD2}"/>
    <cellStyle name="20% - Accent4 2 3 4 2 3" xfId="21473" xr:uid="{E4D3C164-7C03-4C2E-B60E-86DB53A390A4}"/>
    <cellStyle name="20% - Accent4 2 3 4 2 3 2" xfId="38367" xr:uid="{4C773692-F092-4B85-AB7B-5D9200BA8BAC}"/>
    <cellStyle name="20% - Accent4 2 3 4 2 4" xfId="13026" xr:uid="{08820A8D-F20C-4512-B9DC-04DCDC89DF69}"/>
    <cellStyle name="20% - Accent4 2 3 4 2 5" xfId="29920" xr:uid="{019D86EA-2D3F-4FE6-BDD8-ED3DB477DD14}"/>
    <cellStyle name="20% - Accent4 2 3 4 3" xfId="5772" xr:uid="{00000000-0005-0000-0000-000017020000}"/>
    <cellStyle name="20% - Accent4 2 3 4 3 2" xfId="23545" xr:uid="{3CC6234A-05A2-498B-8F94-351E59618FD7}"/>
    <cellStyle name="20% - Accent4 2 3 4 3 2 2" xfId="40439" xr:uid="{FBB39CDD-7614-4475-9DCF-75392DA8CC04}"/>
    <cellStyle name="20% - Accent4 2 3 4 3 3" xfId="15098" xr:uid="{403F011F-29CC-4272-86CB-3B245BDF59B8}"/>
    <cellStyle name="20% - Accent4 2 3 4 3 4" xfId="31992" xr:uid="{7B815A19-F795-4D5F-8C4B-0305F3974EA6}"/>
    <cellStyle name="20% - Accent4 2 3 4 4" xfId="19328" xr:uid="{52B127D5-5B33-4544-92A5-5C2803C440B4}"/>
    <cellStyle name="20% - Accent4 2 3 4 4 2" xfId="36222" xr:uid="{8302EB2C-F510-49FD-B0F6-CC77DA0F29C9}"/>
    <cellStyle name="20% - Accent4 2 3 4 5" xfId="10881" xr:uid="{F9729D7F-004B-4FB5-9B29-B1EBB6114714}"/>
    <cellStyle name="20% - Accent4 2 3 4 6" xfId="27775" xr:uid="{FB073D42-5D4D-45F2-A09A-D6564E77B172}"/>
    <cellStyle name="20% - Accent4 2 3 5" xfId="1879" xr:uid="{00000000-0005-0000-0000-000018020000}"/>
    <cellStyle name="20% - Accent4 2 3 5 2" xfId="4108" xr:uid="{00000000-0005-0000-0000-000019020000}"/>
    <cellStyle name="20% - Accent4 2 3 5 2 2" xfId="8330" xr:uid="{00000000-0005-0000-0000-00001A020000}"/>
    <cellStyle name="20% - Accent4 2 3 5 2 2 2" xfId="26103" xr:uid="{669EC06B-C999-4D91-AF16-F3586B165F99}"/>
    <cellStyle name="20% - Accent4 2 3 5 2 2 2 2" xfId="42997" xr:uid="{66152EEC-CD23-459E-8653-C45B6622F91D}"/>
    <cellStyle name="20% - Accent4 2 3 5 2 2 3" xfId="17656" xr:uid="{9559E630-1A91-48EF-AEB7-B3AB83868670}"/>
    <cellStyle name="20% - Accent4 2 3 5 2 2 4" xfId="34550" xr:uid="{560725A7-54E7-4634-A757-D284D75BA080}"/>
    <cellStyle name="20% - Accent4 2 3 5 2 3" xfId="21886" xr:uid="{1ED09005-1E59-41CC-A408-620ADB2B67F5}"/>
    <cellStyle name="20% - Accent4 2 3 5 2 3 2" xfId="38780" xr:uid="{6096A666-C708-4E9E-8542-4EC49BEB5344}"/>
    <cellStyle name="20% - Accent4 2 3 5 2 4" xfId="13439" xr:uid="{04660989-A362-443A-864B-56776BF45F79}"/>
    <cellStyle name="20% - Accent4 2 3 5 2 5" xfId="30333" xr:uid="{10FBB304-73EF-4ADF-9E23-4D2589375967}"/>
    <cellStyle name="20% - Accent4 2 3 5 3" xfId="6185" xr:uid="{00000000-0005-0000-0000-00001B020000}"/>
    <cellStyle name="20% - Accent4 2 3 5 3 2" xfId="23958" xr:uid="{48F9E49E-4D40-4C76-A553-67F3AD832CC6}"/>
    <cellStyle name="20% - Accent4 2 3 5 3 2 2" xfId="40852" xr:uid="{1D480751-D2E3-49CB-90C7-2498CBB24703}"/>
    <cellStyle name="20% - Accent4 2 3 5 3 3" xfId="15511" xr:uid="{0C698BAB-1368-499E-8B84-82E091FE7361}"/>
    <cellStyle name="20% - Accent4 2 3 5 3 4" xfId="32405" xr:uid="{E4109029-68A3-4394-96DA-FB66117573A8}"/>
    <cellStyle name="20% - Accent4 2 3 5 4" xfId="19741" xr:uid="{1BF43513-24CA-4699-A49F-DC06773EA958}"/>
    <cellStyle name="20% - Accent4 2 3 5 4 2" xfId="36635" xr:uid="{EB0C923B-E8BF-41DC-817B-7D1E60B198A5}"/>
    <cellStyle name="20% - Accent4 2 3 5 5" xfId="11294" xr:uid="{7FC4852F-0770-4E00-8511-E8BD35F809B6}"/>
    <cellStyle name="20% - Accent4 2 3 5 6" xfId="28188" xr:uid="{63FE048E-79D5-4EA8-B240-ECB79D0F673C}"/>
    <cellStyle name="20% - Accent4 2 3 6" xfId="2292" xr:uid="{00000000-0005-0000-0000-00001C020000}"/>
    <cellStyle name="20% - Accent4 2 3 6 2" xfId="6598" xr:uid="{00000000-0005-0000-0000-00001D020000}"/>
    <cellStyle name="20% - Accent4 2 3 6 2 2" xfId="24371" xr:uid="{818F5915-0D0B-4E98-B125-FCF8F8D6CE7F}"/>
    <cellStyle name="20% - Accent4 2 3 6 2 2 2" xfId="41265" xr:uid="{E54DC9A6-B5BA-40F2-9B3E-D1D5D4A707DB}"/>
    <cellStyle name="20% - Accent4 2 3 6 2 3" xfId="15924" xr:uid="{E384F493-9073-43DD-B689-BFB183FDEF1A}"/>
    <cellStyle name="20% - Accent4 2 3 6 2 4" xfId="32818" xr:uid="{06CA5029-AC1D-4CF0-B637-5FB233F40DDA}"/>
    <cellStyle name="20% - Accent4 2 3 6 3" xfId="20154" xr:uid="{D42B86E6-BA75-4FB2-ABDB-0DACFA6BD32F}"/>
    <cellStyle name="20% - Accent4 2 3 6 3 2" xfId="37048" xr:uid="{66B99624-76C6-4FEF-AB84-D42A884AA46C}"/>
    <cellStyle name="20% - Accent4 2 3 6 4" xfId="11707" xr:uid="{087DDC2F-C18B-4DDA-AC78-34D3374E0F13}"/>
    <cellStyle name="20% - Accent4 2 3 6 5" xfId="28601" xr:uid="{3B35E2F3-4A61-478E-8FBB-CFC97BE6F67C}"/>
    <cellStyle name="20% - Accent4 2 3 7" xfId="4532" xr:uid="{00000000-0005-0000-0000-00001E020000}"/>
    <cellStyle name="20% - Accent4 2 3 7 2" xfId="22305" xr:uid="{3F7E9469-F4D4-41B8-B32F-FCE7B06229F3}"/>
    <cellStyle name="20% - Accent4 2 3 7 2 2" xfId="39199" xr:uid="{1111D21F-1123-4230-8D03-A784FDF67FE5}"/>
    <cellStyle name="20% - Accent4 2 3 7 3" xfId="13858" xr:uid="{3189901F-4F41-4B08-A246-1BC32D720477}"/>
    <cellStyle name="20% - Accent4 2 3 7 4" xfId="30752" xr:uid="{870E4838-0C83-4C11-8C7A-ACDAECC7DD48}"/>
    <cellStyle name="20% - Accent4 2 3 8" xfId="9001" xr:uid="{B9DE6BBA-06E2-4FC8-B645-F20E60244072}"/>
    <cellStyle name="20% - Accent4 2 3 8 2" xfId="18088" xr:uid="{304081B2-4686-407C-8487-548F270BEFFE}"/>
    <cellStyle name="20% - Accent4 2 3 8 3" xfId="34982" xr:uid="{2B381EF9-9276-43A8-8B1D-83E2CB5B9C80}"/>
    <cellStyle name="20% - Accent4 2 3 9" xfId="9641" xr:uid="{E0C43561-F77B-4B68-9989-40E6774F9AD5}"/>
    <cellStyle name="20% - Accent4 2 4" xfId="595" xr:uid="{00000000-0005-0000-0000-00001F020000}"/>
    <cellStyle name="20% - Accent4 2 4 2" xfId="2866" xr:uid="{00000000-0005-0000-0000-000020020000}"/>
    <cellStyle name="20% - Accent4 2 4 2 2" xfId="7088" xr:uid="{00000000-0005-0000-0000-000021020000}"/>
    <cellStyle name="20% - Accent4 2 4 2 2 2" xfId="24861" xr:uid="{E42A74D7-0B10-4687-8D7F-6C891E503F95}"/>
    <cellStyle name="20% - Accent4 2 4 2 2 2 2" xfId="41755" xr:uid="{99F4CEEE-9487-4D76-9C0E-00ABBFDC29F4}"/>
    <cellStyle name="20% - Accent4 2 4 2 2 3" xfId="16414" xr:uid="{84FEE3D7-10E2-481E-8CC4-8C8B00267CE8}"/>
    <cellStyle name="20% - Accent4 2 4 2 2 4" xfId="33308" xr:uid="{CF2AB373-7623-4625-BB5A-3599FF89C627}"/>
    <cellStyle name="20% - Accent4 2 4 2 3" xfId="20644" xr:uid="{E5CDD93E-BECC-4987-8DD5-41211CBC12BF}"/>
    <cellStyle name="20% - Accent4 2 4 2 3 2" xfId="37538" xr:uid="{2B5506AB-9F81-45F1-9B49-0C65251F6968}"/>
    <cellStyle name="20% - Accent4 2 4 2 4" xfId="12197" xr:uid="{B3CFD6E9-2CE0-42FD-BBDF-96F7D691E30F}"/>
    <cellStyle name="20% - Accent4 2 4 2 5" xfId="29091" xr:uid="{1F6BD194-3315-4B3D-B87D-827C94557308}"/>
    <cellStyle name="20% - Accent4 2 4 3" xfId="4943" xr:uid="{00000000-0005-0000-0000-000022020000}"/>
    <cellStyle name="20% - Accent4 2 4 3 2" xfId="22716" xr:uid="{563F99C6-2400-4A57-B1DD-F2FD8F211AA8}"/>
    <cellStyle name="20% - Accent4 2 4 3 2 2" xfId="39610" xr:uid="{0C57C801-FB68-4238-8E4D-79797DD290CB}"/>
    <cellStyle name="20% - Accent4 2 4 3 3" xfId="14269" xr:uid="{CCCC0BF5-FF78-41C9-B102-25AB09CFA31D}"/>
    <cellStyle name="20% - Accent4 2 4 3 4" xfId="31163" xr:uid="{EB42703D-FD3E-427F-9B17-3646CDB5E157}"/>
    <cellStyle name="20% - Accent4 2 4 4" xfId="9218" xr:uid="{EEA9CEE5-7B27-41EB-B571-13D0ADC44445}"/>
    <cellStyle name="20% - Accent4 2 4 4 2" xfId="18499" xr:uid="{999B7767-57BB-4715-890A-51151AD057DE}"/>
    <cellStyle name="20% - Accent4 2 4 4 3" xfId="35393" xr:uid="{F2CE1CC9-6B7E-43C3-B85B-FA58C0296885}"/>
    <cellStyle name="20% - Accent4 2 4 5" xfId="10052" xr:uid="{D0BF9D52-585C-4C15-BBFB-18EF2FACA2B8}"/>
    <cellStyle name="20% - Accent4 2 4 6" xfId="26946" xr:uid="{5CE2E2AF-EAA3-4C59-97CE-A7ED181DC579}"/>
    <cellStyle name="20% - Accent4 2 5" xfId="1048" xr:uid="{00000000-0005-0000-0000-000023020000}"/>
    <cellStyle name="20% - Accent4 2 5 2" xfId="3279" xr:uid="{00000000-0005-0000-0000-000024020000}"/>
    <cellStyle name="20% - Accent4 2 5 2 2" xfId="7501" xr:uid="{00000000-0005-0000-0000-000025020000}"/>
    <cellStyle name="20% - Accent4 2 5 2 2 2" xfId="25274" xr:uid="{F992C960-4AC7-4CB3-8745-DCC49F76492A}"/>
    <cellStyle name="20% - Accent4 2 5 2 2 2 2" xfId="42168" xr:uid="{49CAC737-42BA-47A5-9F86-648358BC86F7}"/>
    <cellStyle name="20% - Accent4 2 5 2 2 3" xfId="16827" xr:uid="{47FC5F9C-B73D-4B80-9225-DFBD32344590}"/>
    <cellStyle name="20% - Accent4 2 5 2 2 4" xfId="33721" xr:uid="{68D30A76-FD28-4130-AFCF-385B67CD1206}"/>
    <cellStyle name="20% - Accent4 2 5 2 3" xfId="21057" xr:uid="{C2B8D297-34E2-499E-B21B-E8E4BF553CFC}"/>
    <cellStyle name="20% - Accent4 2 5 2 3 2" xfId="37951" xr:uid="{93D9600C-182B-46B4-9B0B-7DD54647CCC3}"/>
    <cellStyle name="20% - Accent4 2 5 2 4" xfId="12610" xr:uid="{D772ED47-939D-4C34-8C24-7A842A3D5CE8}"/>
    <cellStyle name="20% - Accent4 2 5 2 5" xfId="29504" xr:uid="{AFBA0287-D018-4E14-B7F6-E30DA365A1C2}"/>
    <cellStyle name="20% - Accent4 2 5 3" xfId="5356" xr:uid="{00000000-0005-0000-0000-000026020000}"/>
    <cellStyle name="20% - Accent4 2 5 3 2" xfId="23129" xr:uid="{3BB4E831-0358-43F3-B776-AECB9C1862F2}"/>
    <cellStyle name="20% - Accent4 2 5 3 2 2" xfId="40023" xr:uid="{0456E6B3-92ED-4736-B3F0-EDCE5AF0A903}"/>
    <cellStyle name="20% - Accent4 2 5 3 3" xfId="14682" xr:uid="{88CC9985-6D26-4107-921D-DD463C821A8F}"/>
    <cellStyle name="20% - Accent4 2 5 3 4" xfId="31576" xr:uid="{06A0F86A-90DA-42C4-9B7F-5A9E269D96C5}"/>
    <cellStyle name="20% - Accent4 2 5 4" xfId="18912" xr:uid="{AD844603-AFB3-449E-ACF0-1843EDEF38CE}"/>
    <cellStyle name="20% - Accent4 2 5 4 2" xfId="35806" xr:uid="{DB782DBD-19E7-4DA3-B526-80809382004C}"/>
    <cellStyle name="20% - Accent4 2 5 5" xfId="10465" xr:uid="{F2C89060-5053-4ABA-90E9-0ED78586B611}"/>
    <cellStyle name="20% - Accent4 2 5 6" xfId="27359" xr:uid="{AA5E8918-A124-4D64-9EE5-33555045E0FF}"/>
    <cellStyle name="20% - Accent4 2 6" xfId="1462" xr:uid="{00000000-0005-0000-0000-000027020000}"/>
    <cellStyle name="20% - Accent4 2 6 2" xfId="3692" xr:uid="{00000000-0005-0000-0000-000028020000}"/>
    <cellStyle name="20% - Accent4 2 6 2 2" xfId="7914" xr:uid="{00000000-0005-0000-0000-000029020000}"/>
    <cellStyle name="20% - Accent4 2 6 2 2 2" xfId="25687" xr:uid="{E7C69EEC-7C23-467A-99D7-F3EA35D30F33}"/>
    <cellStyle name="20% - Accent4 2 6 2 2 2 2" xfId="42581" xr:uid="{21FC9B03-86AA-42C5-94F5-37E6295B4464}"/>
    <cellStyle name="20% - Accent4 2 6 2 2 3" xfId="17240" xr:uid="{B41ADAE2-F236-4AED-A41A-240721338A9A}"/>
    <cellStyle name="20% - Accent4 2 6 2 2 4" xfId="34134" xr:uid="{AA3D3AB7-0B79-425F-B202-B911417861E0}"/>
    <cellStyle name="20% - Accent4 2 6 2 3" xfId="21470" xr:uid="{7B4198D6-FEB9-4601-9514-E892FA1C2E33}"/>
    <cellStyle name="20% - Accent4 2 6 2 3 2" xfId="38364" xr:uid="{BF31B5EC-73D4-456C-94C1-3CA6217ECF73}"/>
    <cellStyle name="20% - Accent4 2 6 2 4" xfId="13023" xr:uid="{4C9809D1-9099-4177-B420-17B2D1459EB3}"/>
    <cellStyle name="20% - Accent4 2 6 2 5" xfId="29917" xr:uid="{A1FFE4E7-DCE8-4B58-8C2B-C901DC51B94D}"/>
    <cellStyle name="20% - Accent4 2 6 3" xfId="5769" xr:uid="{00000000-0005-0000-0000-00002A020000}"/>
    <cellStyle name="20% - Accent4 2 6 3 2" xfId="23542" xr:uid="{BF09B6C9-E39A-4545-8EF0-0FC437B8AA1F}"/>
    <cellStyle name="20% - Accent4 2 6 3 2 2" xfId="40436" xr:uid="{5C719D7D-EF7B-4685-8C27-A44063E9E9B8}"/>
    <cellStyle name="20% - Accent4 2 6 3 3" xfId="15095" xr:uid="{47B62F16-C373-4F86-B52A-ACBF88B0A88B}"/>
    <cellStyle name="20% - Accent4 2 6 3 4" xfId="31989" xr:uid="{1AE8CA02-0246-4011-89CF-6C3B422BC11A}"/>
    <cellStyle name="20% - Accent4 2 6 4" xfId="19325" xr:uid="{E6A6B6FE-EAA0-452F-A21D-C846F40B5A31}"/>
    <cellStyle name="20% - Accent4 2 6 4 2" xfId="36219" xr:uid="{9A6E9820-46AE-492B-AD90-56E7D5029FC7}"/>
    <cellStyle name="20% - Accent4 2 6 5" xfId="10878" xr:uid="{D3B11F27-334C-4106-A5EB-AD49677DCAAD}"/>
    <cellStyle name="20% - Accent4 2 6 6" xfId="27772" xr:uid="{7A5A59A1-09FE-482A-B637-3DAD585F378F}"/>
    <cellStyle name="20% - Accent4 2 7" xfId="1876" xr:uid="{00000000-0005-0000-0000-00002B020000}"/>
    <cellStyle name="20% - Accent4 2 7 2" xfId="4105" xr:uid="{00000000-0005-0000-0000-00002C020000}"/>
    <cellStyle name="20% - Accent4 2 7 2 2" xfId="8327" xr:uid="{00000000-0005-0000-0000-00002D020000}"/>
    <cellStyle name="20% - Accent4 2 7 2 2 2" xfId="26100" xr:uid="{D06AF95B-C1FB-4D01-BCA1-E125655D08BE}"/>
    <cellStyle name="20% - Accent4 2 7 2 2 2 2" xfId="42994" xr:uid="{4D9CC057-B839-4BF9-A16C-C8AE1C18FA79}"/>
    <cellStyle name="20% - Accent4 2 7 2 2 3" xfId="17653" xr:uid="{E2A2C50B-F96B-409B-8C5C-154BCDBEB34D}"/>
    <cellStyle name="20% - Accent4 2 7 2 2 4" xfId="34547" xr:uid="{574DFF2A-0E31-4B66-8086-A013FFD76743}"/>
    <cellStyle name="20% - Accent4 2 7 2 3" xfId="21883" xr:uid="{2C02FFA6-6BD2-489E-9C65-97621B25D3D3}"/>
    <cellStyle name="20% - Accent4 2 7 2 3 2" xfId="38777" xr:uid="{AC816292-48AB-462B-8DDB-D839E796A4F1}"/>
    <cellStyle name="20% - Accent4 2 7 2 4" xfId="13436" xr:uid="{9AC3157B-A565-4198-924D-51A6BD6ACC2F}"/>
    <cellStyle name="20% - Accent4 2 7 2 5" xfId="30330" xr:uid="{308CEFC9-1E86-4CF7-8B51-BE48B0BB0808}"/>
    <cellStyle name="20% - Accent4 2 7 3" xfId="6182" xr:uid="{00000000-0005-0000-0000-00002E020000}"/>
    <cellStyle name="20% - Accent4 2 7 3 2" xfId="23955" xr:uid="{312F1B1D-B677-4F5A-B5A8-D105FB97C4E4}"/>
    <cellStyle name="20% - Accent4 2 7 3 2 2" xfId="40849" xr:uid="{DB205EB2-B4DB-4846-8230-3C5414542B78}"/>
    <cellStyle name="20% - Accent4 2 7 3 3" xfId="15508" xr:uid="{B5421473-0181-44C3-AF7F-489B5B541574}"/>
    <cellStyle name="20% - Accent4 2 7 3 4" xfId="32402" xr:uid="{DE41AFD7-AFFF-4CB7-9BB5-9F142761CAEF}"/>
    <cellStyle name="20% - Accent4 2 7 4" xfId="19738" xr:uid="{A11EB2D4-5801-49A9-A2B5-0A440B1A1843}"/>
    <cellStyle name="20% - Accent4 2 7 4 2" xfId="36632" xr:uid="{76FB94F1-E8B6-4030-AD0A-CDD6774B0700}"/>
    <cellStyle name="20% - Accent4 2 7 5" xfId="11291" xr:uid="{C604E001-06FD-405E-83F6-2EE0C3A8B87E}"/>
    <cellStyle name="20% - Accent4 2 7 6" xfId="28185" xr:uid="{E9BF65B8-89C9-43FE-9572-7630CABF1387}"/>
    <cellStyle name="20% - Accent4 2 8" xfId="2289" xr:uid="{00000000-0005-0000-0000-00002F020000}"/>
    <cellStyle name="20% - Accent4 2 8 2" xfId="6595" xr:uid="{00000000-0005-0000-0000-000030020000}"/>
    <cellStyle name="20% - Accent4 2 8 2 2" xfId="24368" xr:uid="{985A65BB-5B1F-4EA7-BF53-821E0F98D4A3}"/>
    <cellStyle name="20% - Accent4 2 8 2 2 2" xfId="41262" xr:uid="{5BFA49FA-0761-464D-9FCF-444B50DAA760}"/>
    <cellStyle name="20% - Accent4 2 8 2 3" xfId="15921" xr:uid="{5F90ED44-9067-4905-B464-0BFE6AE51545}"/>
    <cellStyle name="20% - Accent4 2 8 2 4" xfId="32815" xr:uid="{5BDB5FB1-D465-4346-AE10-E62210B6CC3C}"/>
    <cellStyle name="20% - Accent4 2 8 3" xfId="20151" xr:uid="{E445C390-AEF4-4E69-AC8C-34BD70677B93}"/>
    <cellStyle name="20% - Accent4 2 8 3 2" xfId="37045" xr:uid="{B43F9FA5-C23E-4DFD-A001-941DBE6CFFA2}"/>
    <cellStyle name="20% - Accent4 2 8 4" xfId="11704" xr:uid="{A66BE2EB-EC43-4A6D-92B6-DE4728806810}"/>
    <cellStyle name="20% - Accent4 2 8 5" xfId="28598" xr:uid="{656B8F40-9F26-459A-B293-C9606129254F}"/>
    <cellStyle name="20% - Accent4 2 9" xfId="4529" xr:uid="{00000000-0005-0000-0000-000031020000}"/>
    <cellStyle name="20% - Accent4 2 9 2" xfId="22302" xr:uid="{7072C1E1-3288-4FC4-829E-36C88FF7599C}"/>
    <cellStyle name="20% - Accent4 2 9 2 2" xfId="39196" xr:uid="{5B573E68-42A6-42E8-81A6-EA0E1BEBEC44}"/>
    <cellStyle name="20% - Accent4 2 9 3" xfId="13855" xr:uid="{75E356C9-27C4-4B28-9EE7-383EE2D5C040}"/>
    <cellStyle name="20% - Accent4 2 9 4" xfId="30749" xr:uid="{E65E2993-E9EE-45A7-BC5D-0B13B84711D0}"/>
    <cellStyle name="20% - Accent4 3" xfId="30" xr:uid="{00000000-0005-0000-0000-000032020000}"/>
    <cellStyle name="20% - Accent4 3 10" xfId="9642" xr:uid="{25509D19-E930-4F6E-B66A-30841D09638F}"/>
    <cellStyle name="20% - Accent4 3 11" xfId="26536" xr:uid="{D6A4F1B2-097E-4C49-AFA8-BEBB7D950243}"/>
    <cellStyle name="20% - Accent4 3 2" xfId="31" xr:uid="{00000000-0005-0000-0000-000033020000}"/>
    <cellStyle name="20% - Accent4 3 2 10" xfId="26537" xr:uid="{23300308-C484-4D01-91CD-311F8423F271}"/>
    <cellStyle name="20% - Accent4 3 2 2" xfId="600" xr:uid="{00000000-0005-0000-0000-000034020000}"/>
    <cellStyle name="20% - Accent4 3 2 2 2" xfId="2871" xr:uid="{00000000-0005-0000-0000-000035020000}"/>
    <cellStyle name="20% - Accent4 3 2 2 2 2" xfId="7093" xr:uid="{00000000-0005-0000-0000-000036020000}"/>
    <cellStyle name="20% - Accent4 3 2 2 2 2 2" xfId="24866" xr:uid="{2B998E0A-DABB-4BAB-B665-901AD5DBC189}"/>
    <cellStyle name="20% - Accent4 3 2 2 2 2 2 2" xfId="41760" xr:uid="{CB570884-B935-451E-B969-D52163F2438D}"/>
    <cellStyle name="20% - Accent4 3 2 2 2 2 3" xfId="16419" xr:uid="{9D3FAC2E-5B2D-4B50-8DF9-E8606A44244D}"/>
    <cellStyle name="20% - Accent4 3 2 2 2 2 4" xfId="33313" xr:uid="{4490DF42-1AD6-4305-AABC-CDDE7637F337}"/>
    <cellStyle name="20% - Accent4 3 2 2 2 3" xfId="20649" xr:uid="{970B1B97-2A31-4AF5-9A50-8F471B9D5FDC}"/>
    <cellStyle name="20% - Accent4 3 2 2 2 3 2" xfId="37543" xr:uid="{9B781CAC-FBCF-487F-A9E0-F768644B5B8A}"/>
    <cellStyle name="20% - Accent4 3 2 2 2 4" xfId="12202" xr:uid="{EF02221C-E9C0-4A24-9D8F-682AC8F41E65}"/>
    <cellStyle name="20% - Accent4 3 2 2 2 5" xfId="29096" xr:uid="{F7FA1CA9-5A4A-4BCA-8FA6-CBB404A2223B}"/>
    <cellStyle name="20% - Accent4 3 2 2 3" xfId="4948" xr:uid="{00000000-0005-0000-0000-000037020000}"/>
    <cellStyle name="20% - Accent4 3 2 2 3 2" xfId="22721" xr:uid="{113F7CA7-CD5D-4141-BE7A-5E1FC49A9E81}"/>
    <cellStyle name="20% - Accent4 3 2 2 3 2 2" xfId="39615" xr:uid="{6CECB2A1-C874-4938-9D3D-1288ACAD679F}"/>
    <cellStyle name="20% - Accent4 3 2 2 3 3" xfId="14274" xr:uid="{A69859DC-6E2E-4E1A-A6FA-C9F9CB6D04C2}"/>
    <cellStyle name="20% - Accent4 3 2 2 3 4" xfId="31168" xr:uid="{B90C0A9E-0A3F-47B9-8C18-1BCA96D0D212}"/>
    <cellStyle name="20% - Accent4 3 2 2 4" xfId="9499" xr:uid="{019308F4-938B-408B-A627-483AF94276A0}"/>
    <cellStyle name="20% - Accent4 3 2 2 4 2" xfId="18504" xr:uid="{B9D4BD8A-C886-4C2B-AC85-8A10FF1EDD81}"/>
    <cellStyle name="20% - Accent4 3 2 2 4 3" xfId="35398" xr:uid="{99D36C77-4721-45C5-BF14-202CD803E157}"/>
    <cellStyle name="20% - Accent4 3 2 2 5" xfId="10057" xr:uid="{3FB63020-2B95-476D-9467-751CAAE45275}"/>
    <cellStyle name="20% - Accent4 3 2 2 6" xfId="26951" xr:uid="{DC5DE150-80A7-42D5-9583-024349831F6B}"/>
    <cellStyle name="20% - Accent4 3 2 3" xfId="1053" xr:uid="{00000000-0005-0000-0000-000038020000}"/>
    <cellStyle name="20% - Accent4 3 2 3 2" xfId="3284" xr:uid="{00000000-0005-0000-0000-000039020000}"/>
    <cellStyle name="20% - Accent4 3 2 3 2 2" xfId="7506" xr:uid="{00000000-0005-0000-0000-00003A020000}"/>
    <cellStyle name="20% - Accent4 3 2 3 2 2 2" xfId="25279" xr:uid="{3B6C1FFE-C4D1-4A16-AA54-5991B3ABFAC8}"/>
    <cellStyle name="20% - Accent4 3 2 3 2 2 2 2" xfId="42173" xr:uid="{6580C8ED-E37D-45C8-9AB3-A2994E686C04}"/>
    <cellStyle name="20% - Accent4 3 2 3 2 2 3" xfId="16832" xr:uid="{3EAA1E60-1508-4282-A5FD-84A00722C73F}"/>
    <cellStyle name="20% - Accent4 3 2 3 2 2 4" xfId="33726" xr:uid="{85DC3BF1-A0A8-4D01-9D26-303DB2DDDCA4}"/>
    <cellStyle name="20% - Accent4 3 2 3 2 3" xfId="21062" xr:uid="{1D58E756-0953-4901-A2CD-615D80F19927}"/>
    <cellStyle name="20% - Accent4 3 2 3 2 3 2" xfId="37956" xr:uid="{E6BE7FE9-126B-49C0-984D-68A1E21940A7}"/>
    <cellStyle name="20% - Accent4 3 2 3 2 4" xfId="12615" xr:uid="{4EFB83A2-4294-48B3-A359-D3F0D99E42E3}"/>
    <cellStyle name="20% - Accent4 3 2 3 2 5" xfId="29509" xr:uid="{0E02D18B-5660-44E4-A339-0B81AF7A935D}"/>
    <cellStyle name="20% - Accent4 3 2 3 3" xfId="5361" xr:uid="{00000000-0005-0000-0000-00003B020000}"/>
    <cellStyle name="20% - Accent4 3 2 3 3 2" xfId="23134" xr:uid="{44460F54-9C99-43B7-AA05-7B3899067AF4}"/>
    <cellStyle name="20% - Accent4 3 2 3 3 2 2" xfId="40028" xr:uid="{FA6F67E4-D60F-4B03-9AD6-7C6C86830411}"/>
    <cellStyle name="20% - Accent4 3 2 3 3 3" xfId="14687" xr:uid="{76D60941-E2AB-4C17-B9A2-575CDCC610D2}"/>
    <cellStyle name="20% - Accent4 3 2 3 3 4" xfId="31581" xr:uid="{7687368C-EA57-4D74-86FF-5D8C2A184BE3}"/>
    <cellStyle name="20% - Accent4 3 2 3 4" xfId="18917" xr:uid="{CC3062B2-B3CE-4F61-BC7F-C5902C230577}"/>
    <cellStyle name="20% - Accent4 3 2 3 4 2" xfId="35811" xr:uid="{74F83BF8-3C1D-424A-AF60-244DABC7193C}"/>
    <cellStyle name="20% - Accent4 3 2 3 5" xfId="10470" xr:uid="{A5DDDDF2-CC28-4356-ADB2-A0CFAB38C1EF}"/>
    <cellStyle name="20% - Accent4 3 2 3 6" xfId="27364" xr:uid="{DAC6EB88-EFF6-48E2-961E-52AD55609290}"/>
    <cellStyle name="20% - Accent4 3 2 4" xfId="1467" xr:uid="{00000000-0005-0000-0000-00003C020000}"/>
    <cellStyle name="20% - Accent4 3 2 4 2" xfId="3697" xr:uid="{00000000-0005-0000-0000-00003D020000}"/>
    <cellStyle name="20% - Accent4 3 2 4 2 2" xfId="7919" xr:uid="{00000000-0005-0000-0000-00003E020000}"/>
    <cellStyle name="20% - Accent4 3 2 4 2 2 2" xfId="25692" xr:uid="{0B2606A4-2DDB-4D6E-8020-5F6FF406B8C9}"/>
    <cellStyle name="20% - Accent4 3 2 4 2 2 2 2" xfId="42586" xr:uid="{5B76DBC2-C7FB-4302-9246-69B93518B2E5}"/>
    <cellStyle name="20% - Accent4 3 2 4 2 2 3" xfId="17245" xr:uid="{20289B15-6B4E-496E-970D-18A90357F19A}"/>
    <cellStyle name="20% - Accent4 3 2 4 2 2 4" xfId="34139" xr:uid="{277ECB9B-E7A4-4098-AAE6-662A7CBA29B9}"/>
    <cellStyle name="20% - Accent4 3 2 4 2 3" xfId="21475" xr:uid="{1B55FBB1-B77E-4439-B6E5-69A9A7DFCEB2}"/>
    <cellStyle name="20% - Accent4 3 2 4 2 3 2" xfId="38369" xr:uid="{4D082E70-64FE-45F1-9DE8-6D91FFDE8FC7}"/>
    <cellStyle name="20% - Accent4 3 2 4 2 4" xfId="13028" xr:uid="{3975C3F9-F3FF-4D93-ABF6-F5721F72CCAC}"/>
    <cellStyle name="20% - Accent4 3 2 4 2 5" xfId="29922" xr:uid="{F655B719-A2D3-42DB-B37C-871909FDCBB3}"/>
    <cellStyle name="20% - Accent4 3 2 4 3" xfId="5774" xr:uid="{00000000-0005-0000-0000-00003F020000}"/>
    <cellStyle name="20% - Accent4 3 2 4 3 2" xfId="23547" xr:uid="{DE23617F-FC9F-430E-9ACF-7EBE10B39196}"/>
    <cellStyle name="20% - Accent4 3 2 4 3 2 2" xfId="40441" xr:uid="{51C689A7-068C-4AED-89A0-5F6F2B93DF5D}"/>
    <cellStyle name="20% - Accent4 3 2 4 3 3" xfId="15100" xr:uid="{98570007-69E9-418E-B7C4-642E4FF52AD1}"/>
    <cellStyle name="20% - Accent4 3 2 4 3 4" xfId="31994" xr:uid="{479B7B6D-FFE5-425F-A431-A4424696341F}"/>
    <cellStyle name="20% - Accent4 3 2 4 4" xfId="19330" xr:uid="{D711B647-A38C-4DA2-8D65-6BDADAD49312}"/>
    <cellStyle name="20% - Accent4 3 2 4 4 2" xfId="36224" xr:uid="{C544727D-2237-455F-B025-50160D37D5B0}"/>
    <cellStyle name="20% - Accent4 3 2 4 5" xfId="10883" xr:uid="{2E97CBBE-CF12-4C3C-BE8A-B548DCFE772F}"/>
    <cellStyle name="20% - Accent4 3 2 4 6" xfId="27777" xr:uid="{D9D54375-6EAE-4E99-B405-C7E72D47C1EF}"/>
    <cellStyle name="20% - Accent4 3 2 5" xfId="1881" xr:uid="{00000000-0005-0000-0000-000040020000}"/>
    <cellStyle name="20% - Accent4 3 2 5 2" xfId="4110" xr:uid="{00000000-0005-0000-0000-000041020000}"/>
    <cellStyle name="20% - Accent4 3 2 5 2 2" xfId="8332" xr:uid="{00000000-0005-0000-0000-000042020000}"/>
    <cellStyle name="20% - Accent4 3 2 5 2 2 2" xfId="26105" xr:uid="{0BB84945-B192-41E2-B26E-F58B02802539}"/>
    <cellStyle name="20% - Accent4 3 2 5 2 2 2 2" xfId="42999" xr:uid="{8D87598C-8697-452D-81C2-E3BEA79C2FD5}"/>
    <cellStyle name="20% - Accent4 3 2 5 2 2 3" xfId="17658" xr:uid="{AD1F1D8F-518F-4605-9D74-C16355236F46}"/>
    <cellStyle name="20% - Accent4 3 2 5 2 2 4" xfId="34552" xr:uid="{04E07BCE-959C-4A73-9DDF-139F7C7E965C}"/>
    <cellStyle name="20% - Accent4 3 2 5 2 3" xfId="21888" xr:uid="{5FDD3AF2-E37F-4D59-8DA6-AC7F622480A3}"/>
    <cellStyle name="20% - Accent4 3 2 5 2 3 2" xfId="38782" xr:uid="{DBC972A8-6836-437A-8A0D-3D56DEFA74F4}"/>
    <cellStyle name="20% - Accent4 3 2 5 2 4" xfId="13441" xr:uid="{FF76AB1D-94F6-4BA7-9BDC-4E64E46069A4}"/>
    <cellStyle name="20% - Accent4 3 2 5 2 5" xfId="30335" xr:uid="{47E9C36D-6D02-4D19-85DE-25BDD5BC23C7}"/>
    <cellStyle name="20% - Accent4 3 2 5 3" xfId="6187" xr:uid="{00000000-0005-0000-0000-000043020000}"/>
    <cellStyle name="20% - Accent4 3 2 5 3 2" xfId="23960" xr:uid="{3BFA18E5-3DAD-4036-8EDB-4BFAB97708DD}"/>
    <cellStyle name="20% - Accent4 3 2 5 3 2 2" xfId="40854" xr:uid="{CF821934-769F-4D52-88EB-A6FB76ECF308}"/>
    <cellStyle name="20% - Accent4 3 2 5 3 3" xfId="15513" xr:uid="{C70C20FA-5F16-4F79-9198-FADC7BD959E7}"/>
    <cellStyle name="20% - Accent4 3 2 5 3 4" xfId="32407" xr:uid="{10B1034F-E63B-412C-A439-FFBC2E07CC96}"/>
    <cellStyle name="20% - Accent4 3 2 5 4" xfId="19743" xr:uid="{9C99BAB8-EB65-4F44-BD04-5CB32F753603}"/>
    <cellStyle name="20% - Accent4 3 2 5 4 2" xfId="36637" xr:uid="{06D4DB1A-95BB-49EA-804E-0AE2EC2F6982}"/>
    <cellStyle name="20% - Accent4 3 2 5 5" xfId="11296" xr:uid="{D3D7A251-6719-4491-BFC1-C73F3DF20689}"/>
    <cellStyle name="20% - Accent4 3 2 5 6" xfId="28190" xr:uid="{3494B1A8-806E-4D9A-A856-17175AAE062A}"/>
    <cellStyle name="20% - Accent4 3 2 6" xfId="2294" xr:uid="{00000000-0005-0000-0000-000044020000}"/>
    <cellStyle name="20% - Accent4 3 2 6 2" xfId="6600" xr:uid="{00000000-0005-0000-0000-000045020000}"/>
    <cellStyle name="20% - Accent4 3 2 6 2 2" xfId="24373" xr:uid="{B3D54BDB-E132-44B6-8CF4-75C5BC31F40A}"/>
    <cellStyle name="20% - Accent4 3 2 6 2 2 2" xfId="41267" xr:uid="{88B8F431-1D77-4B0F-A44D-4681EF40CB12}"/>
    <cellStyle name="20% - Accent4 3 2 6 2 3" xfId="15926" xr:uid="{63DADD57-C641-4D39-9707-039BFBFD8728}"/>
    <cellStyle name="20% - Accent4 3 2 6 2 4" xfId="32820" xr:uid="{48CA2E3E-47A9-4CEB-83E9-E3B1E8ED577B}"/>
    <cellStyle name="20% - Accent4 3 2 6 3" xfId="20156" xr:uid="{33EF2356-CAFE-4B9A-8585-D257572B3D4E}"/>
    <cellStyle name="20% - Accent4 3 2 6 3 2" xfId="37050" xr:uid="{E2643705-3DA6-468C-9044-39C9CD1B1093}"/>
    <cellStyle name="20% - Accent4 3 2 6 4" xfId="11709" xr:uid="{0FF7B787-FDE8-49E0-831D-6C382559244F}"/>
    <cellStyle name="20% - Accent4 3 2 6 5" xfId="28603" xr:uid="{3D2E2774-C33B-4B73-B372-9C194297AFE7}"/>
    <cellStyle name="20% - Accent4 3 2 7" xfId="4534" xr:uid="{00000000-0005-0000-0000-000046020000}"/>
    <cellStyle name="20% - Accent4 3 2 7 2" xfId="22307" xr:uid="{0381CB45-F93B-49FA-ABEA-6B1F219A09B5}"/>
    <cellStyle name="20% - Accent4 3 2 7 2 2" xfId="39201" xr:uid="{720D6733-3A6D-4C70-84F1-445A5E7B8241}"/>
    <cellStyle name="20% - Accent4 3 2 7 3" xfId="13860" xr:uid="{447125EA-6B4A-4309-8732-33DB0D6FEAB9}"/>
    <cellStyle name="20% - Accent4 3 2 7 4" xfId="30754" xr:uid="{17482A8E-CA48-456F-AD5B-7093BBE32635}"/>
    <cellStyle name="20% - Accent4 3 2 8" xfId="9074" xr:uid="{BA25EAA8-2B5F-4309-91A3-FC61FCEF209C}"/>
    <cellStyle name="20% - Accent4 3 2 8 2" xfId="18090" xr:uid="{A6CBF9B4-0B05-488F-B2A3-2935EC4BB708}"/>
    <cellStyle name="20% - Accent4 3 2 8 3" xfId="34984" xr:uid="{50C31F7C-360E-4431-9B91-2DE43046B1D2}"/>
    <cellStyle name="20% - Accent4 3 2 9" xfId="9643" xr:uid="{5C886AF4-0B3A-4A8C-BB8D-1D8237FCC377}"/>
    <cellStyle name="20% - Accent4 3 3" xfId="599" xr:uid="{00000000-0005-0000-0000-000047020000}"/>
    <cellStyle name="20% - Accent4 3 3 2" xfId="2870" xr:uid="{00000000-0005-0000-0000-000048020000}"/>
    <cellStyle name="20% - Accent4 3 3 2 2" xfId="7092" xr:uid="{00000000-0005-0000-0000-000049020000}"/>
    <cellStyle name="20% - Accent4 3 3 2 2 2" xfId="24865" xr:uid="{518EBFA0-32FA-4ED5-9769-96E5237B9F87}"/>
    <cellStyle name="20% - Accent4 3 3 2 2 2 2" xfId="41759" xr:uid="{04186490-8DB4-4DB8-85AD-EA2DF2A16760}"/>
    <cellStyle name="20% - Accent4 3 3 2 2 3" xfId="16418" xr:uid="{BB5F9098-5622-46AD-869F-E5547971474D}"/>
    <cellStyle name="20% - Accent4 3 3 2 2 4" xfId="33312" xr:uid="{EA0072ED-417A-4790-A49E-E8B22F827148}"/>
    <cellStyle name="20% - Accent4 3 3 2 3" xfId="20648" xr:uid="{3FD61449-EEB5-4929-BAC5-57299C8562E3}"/>
    <cellStyle name="20% - Accent4 3 3 2 3 2" xfId="37542" xr:uid="{1E40860C-A838-45D0-9BED-3A7408744D79}"/>
    <cellStyle name="20% - Accent4 3 3 2 4" xfId="12201" xr:uid="{BB1634DB-87C6-446C-A0D9-D499CF62D61D}"/>
    <cellStyle name="20% - Accent4 3 3 2 5" xfId="29095" xr:uid="{BCEFD2A5-165A-4211-A1E1-E54B8C76B6F6}"/>
    <cellStyle name="20% - Accent4 3 3 3" xfId="4947" xr:uid="{00000000-0005-0000-0000-00004A020000}"/>
    <cellStyle name="20% - Accent4 3 3 3 2" xfId="22720" xr:uid="{1CD9257F-C5D3-4336-90A3-62D28E1588E3}"/>
    <cellStyle name="20% - Accent4 3 3 3 2 2" xfId="39614" xr:uid="{641868C9-77DA-4C6A-9DB0-DBF55956F100}"/>
    <cellStyle name="20% - Accent4 3 3 3 3" xfId="14273" xr:uid="{AC1FAECA-88C0-4AF4-A45F-8C1C900504CB}"/>
    <cellStyle name="20% - Accent4 3 3 3 4" xfId="31167" xr:uid="{E9BA7339-19FD-41AD-9E41-7688F9BB7EDD}"/>
    <cellStyle name="20% - Accent4 3 3 4" xfId="9292" xr:uid="{E33AB5E9-A8F9-45CB-AD95-0E461E901C30}"/>
    <cellStyle name="20% - Accent4 3 3 4 2" xfId="18503" xr:uid="{436627E4-07B6-4288-91A4-A91C20CF49F6}"/>
    <cellStyle name="20% - Accent4 3 3 4 3" xfId="35397" xr:uid="{01B15A5E-5CD6-4942-AB6C-20B685D880D9}"/>
    <cellStyle name="20% - Accent4 3 3 5" xfId="10056" xr:uid="{AE80AB91-7F6A-4F69-ABC7-C98926FE039B}"/>
    <cellStyle name="20% - Accent4 3 3 6" xfId="26950" xr:uid="{76F0FD82-44AE-4176-859F-AE30BDD432B0}"/>
    <cellStyle name="20% - Accent4 3 4" xfId="1052" xr:uid="{00000000-0005-0000-0000-00004B020000}"/>
    <cellStyle name="20% - Accent4 3 4 2" xfId="3283" xr:uid="{00000000-0005-0000-0000-00004C020000}"/>
    <cellStyle name="20% - Accent4 3 4 2 2" xfId="7505" xr:uid="{00000000-0005-0000-0000-00004D020000}"/>
    <cellStyle name="20% - Accent4 3 4 2 2 2" xfId="25278" xr:uid="{4D733E6C-C74C-49BD-9640-9D3507048348}"/>
    <cellStyle name="20% - Accent4 3 4 2 2 2 2" xfId="42172" xr:uid="{FA38E057-CBE3-46D8-AA5E-37E8993B0A0F}"/>
    <cellStyle name="20% - Accent4 3 4 2 2 3" xfId="16831" xr:uid="{24DF49C2-290C-4456-86BE-D25F4413CD32}"/>
    <cellStyle name="20% - Accent4 3 4 2 2 4" xfId="33725" xr:uid="{296CD4D1-B573-42A3-8B25-C7F9C302CD4A}"/>
    <cellStyle name="20% - Accent4 3 4 2 3" xfId="21061" xr:uid="{63D6AD44-1F6C-41FB-98DE-390D500A626B}"/>
    <cellStyle name="20% - Accent4 3 4 2 3 2" xfId="37955" xr:uid="{B3F5E461-CDD2-4C46-BEC0-CDA8FC55F7A3}"/>
    <cellStyle name="20% - Accent4 3 4 2 4" xfId="12614" xr:uid="{F7E2D231-D101-4CA3-83B9-52DB97058A07}"/>
    <cellStyle name="20% - Accent4 3 4 2 5" xfId="29508" xr:uid="{5B79137E-83B9-4A6D-A7BE-831000F24071}"/>
    <cellStyle name="20% - Accent4 3 4 3" xfId="5360" xr:uid="{00000000-0005-0000-0000-00004E020000}"/>
    <cellStyle name="20% - Accent4 3 4 3 2" xfId="23133" xr:uid="{33CD20FA-01FC-4507-B7C4-124AD7539935}"/>
    <cellStyle name="20% - Accent4 3 4 3 2 2" xfId="40027" xr:uid="{C895B1D6-92F0-44BD-B9F9-0D0CEF0A95EF}"/>
    <cellStyle name="20% - Accent4 3 4 3 3" xfId="14686" xr:uid="{E2F47EBA-46AD-4E4F-9B26-72F543A4D502}"/>
    <cellStyle name="20% - Accent4 3 4 3 4" xfId="31580" xr:uid="{5BD0233F-2A7E-44B6-9262-638286445B70}"/>
    <cellStyle name="20% - Accent4 3 4 4" xfId="18916" xr:uid="{88FA5C8B-FF53-4EA1-89EB-DE29E3DE4B6D}"/>
    <cellStyle name="20% - Accent4 3 4 4 2" xfId="35810" xr:uid="{FEA776E6-A88D-43A1-B5AA-6118BAAAAB5C}"/>
    <cellStyle name="20% - Accent4 3 4 5" xfId="10469" xr:uid="{0F5E9C3A-7868-42D7-A34A-36D547B60C4A}"/>
    <cellStyle name="20% - Accent4 3 4 6" xfId="27363" xr:uid="{186AB4A9-E10C-4EBF-84F2-CC68918166B2}"/>
    <cellStyle name="20% - Accent4 3 5" xfId="1466" xr:uid="{00000000-0005-0000-0000-00004F020000}"/>
    <cellStyle name="20% - Accent4 3 5 2" xfId="3696" xr:uid="{00000000-0005-0000-0000-000050020000}"/>
    <cellStyle name="20% - Accent4 3 5 2 2" xfId="7918" xr:uid="{00000000-0005-0000-0000-000051020000}"/>
    <cellStyle name="20% - Accent4 3 5 2 2 2" xfId="25691" xr:uid="{DB4CCE53-7D47-4120-9879-D19A238A7985}"/>
    <cellStyle name="20% - Accent4 3 5 2 2 2 2" xfId="42585" xr:uid="{3BD66690-F12B-409A-9D4B-B226174E27EE}"/>
    <cellStyle name="20% - Accent4 3 5 2 2 3" xfId="17244" xr:uid="{A0DB7BEF-ECC2-4F85-8467-B6A4AF816A78}"/>
    <cellStyle name="20% - Accent4 3 5 2 2 4" xfId="34138" xr:uid="{D27D270A-8610-4E36-B8B4-421CEFF296FA}"/>
    <cellStyle name="20% - Accent4 3 5 2 3" xfId="21474" xr:uid="{6F29CC0E-A93F-43DE-8FEC-95FA4F4875D6}"/>
    <cellStyle name="20% - Accent4 3 5 2 3 2" xfId="38368" xr:uid="{560A10FA-76A5-40DA-8E3B-26453EA7126C}"/>
    <cellStyle name="20% - Accent4 3 5 2 4" xfId="13027" xr:uid="{44A0B1BB-C67E-454E-A198-F50C00DB4A95}"/>
    <cellStyle name="20% - Accent4 3 5 2 5" xfId="29921" xr:uid="{42454A45-9E17-44DF-9360-F32AAAB75566}"/>
    <cellStyle name="20% - Accent4 3 5 3" xfId="5773" xr:uid="{00000000-0005-0000-0000-000052020000}"/>
    <cellStyle name="20% - Accent4 3 5 3 2" xfId="23546" xr:uid="{0CE9020D-9629-4F8C-BDB5-3FD2E0B969A3}"/>
    <cellStyle name="20% - Accent4 3 5 3 2 2" xfId="40440" xr:uid="{0CDC7418-A8E5-492E-888A-0E5239BA1FE8}"/>
    <cellStyle name="20% - Accent4 3 5 3 3" xfId="15099" xr:uid="{0C5582AC-82E8-46D1-BF25-B6D7C33B0158}"/>
    <cellStyle name="20% - Accent4 3 5 3 4" xfId="31993" xr:uid="{1DFE4FB5-E964-4A61-A70B-8CFDE56A9925}"/>
    <cellStyle name="20% - Accent4 3 5 4" xfId="19329" xr:uid="{0F2CF54C-630C-48F0-9A9E-E99BD297215C}"/>
    <cellStyle name="20% - Accent4 3 5 4 2" xfId="36223" xr:uid="{725B88FE-E9D9-4BC9-AF64-33CBF854899D}"/>
    <cellStyle name="20% - Accent4 3 5 5" xfId="10882" xr:uid="{5056130D-8563-4A67-986C-9618C3A7BB7F}"/>
    <cellStyle name="20% - Accent4 3 5 6" xfId="27776" xr:uid="{368E6C23-06C1-4BC5-B74A-D8BCD64F06E0}"/>
    <cellStyle name="20% - Accent4 3 6" xfId="1880" xr:uid="{00000000-0005-0000-0000-000053020000}"/>
    <cellStyle name="20% - Accent4 3 6 2" xfId="4109" xr:uid="{00000000-0005-0000-0000-000054020000}"/>
    <cellStyle name="20% - Accent4 3 6 2 2" xfId="8331" xr:uid="{00000000-0005-0000-0000-000055020000}"/>
    <cellStyle name="20% - Accent4 3 6 2 2 2" xfId="26104" xr:uid="{61EECCE0-E191-4550-8E2C-6C460F9D2208}"/>
    <cellStyle name="20% - Accent4 3 6 2 2 2 2" xfId="42998" xr:uid="{CEB70C67-53CB-4A14-A408-330EF432FC24}"/>
    <cellStyle name="20% - Accent4 3 6 2 2 3" xfId="17657" xr:uid="{6C0D2BD5-2A63-41D9-BC3C-E8149033D7B3}"/>
    <cellStyle name="20% - Accent4 3 6 2 2 4" xfId="34551" xr:uid="{7A833935-2A8B-4614-A948-E0A6AAEA56D2}"/>
    <cellStyle name="20% - Accent4 3 6 2 3" xfId="21887" xr:uid="{488408AB-BF43-4117-8F94-13292EE6E9F2}"/>
    <cellStyle name="20% - Accent4 3 6 2 3 2" xfId="38781" xr:uid="{CEFE69A3-180F-40C7-BC1B-C1BC06FEA514}"/>
    <cellStyle name="20% - Accent4 3 6 2 4" xfId="13440" xr:uid="{8ECF1441-3541-49B7-8ED0-B166104660C3}"/>
    <cellStyle name="20% - Accent4 3 6 2 5" xfId="30334" xr:uid="{11253FCE-8171-458C-99CB-A56CC8EBFBC0}"/>
    <cellStyle name="20% - Accent4 3 6 3" xfId="6186" xr:uid="{00000000-0005-0000-0000-000056020000}"/>
    <cellStyle name="20% - Accent4 3 6 3 2" xfId="23959" xr:uid="{212AC2EF-EAC8-47AC-A83F-C015515D0768}"/>
    <cellStyle name="20% - Accent4 3 6 3 2 2" xfId="40853" xr:uid="{7CDB15A1-B16E-45A0-ACF2-67282F1B0A6C}"/>
    <cellStyle name="20% - Accent4 3 6 3 3" xfId="15512" xr:uid="{D5215952-15C9-4D49-9E73-55EC1EC535B7}"/>
    <cellStyle name="20% - Accent4 3 6 3 4" xfId="32406" xr:uid="{239889FC-0204-4FDF-925F-1277143B16D1}"/>
    <cellStyle name="20% - Accent4 3 6 4" xfId="19742" xr:uid="{47589625-B7D8-4FC9-83C1-09F7BE058A08}"/>
    <cellStyle name="20% - Accent4 3 6 4 2" xfId="36636" xr:uid="{FEFF2F20-8F56-4969-95E0-DCCC89ACA84C}"/>
    <cellStyle name="20% - Accent4 3 6 5" xfId="11295" xr:uid="{4858CD9D-7A1B-40C4-B03C-0F4961621FDC}"/>
    <cellStyle name="20% - Accent4 3 6 6" xfId="28189" xr:uid="{7E0B41D8-7135-45E1-A0A5-F897B432B10D}"/>
    <cellStyle name="20% - Accent4 3 7" xfId="2293" xr:uid="{00000000-0005-0000-0000-000057020000}"/>
    <cellStyle name="20% - Accent4 3 7 2" xfId="6599" xr:uid="{00000000-0005-0000-0000-000058020000}"/>
    <cellStyle name="20% - Accent4 3 7 2 2" xfId="24372" xr:uid="{51FC9406-F0BE-4927-8898-28E75D5F1FF4}"/>
    <cellStyle name="20% - Accent4 3 7 2 2 2" xfId="41266" xr:uid="{05AA489F-AA15-4E19-A19B-B06D74E14DE9}"/>
    <cellStyle name="20% - Accent4 3 7 2 3" xfId="15925" xr:uid="{3D6B3D50-5C88-477B-A9B4-EA9AD6BEE5B6}"/>
    <cellStyle name="20% - Accent4 3 7 2 4" xfId="32819" xr:uid="{32C6552E-7CDF-439E-8540-34D1665279A1}"/>
    <cellStyle name="20% - Accent4 3 7 3" xfId="20155" xr:uid="{0656AB98-5DA6-41C2-B3D8-EA4AF07BB923}"/>
    <cellStyle name="20% - Accent4 3 7 3 2" xfId="37049" xr:uid="{D39B9326-ECDB-4BE8-BCF5-880C4561EF2E}"/>
    <cellStyle name="20% - Accent4 3 7 4" xfId="11708" xr:uid="{A488F769-9BBA-4873-88B6-6BAC9B8134C9}"/>
    <cellStyle name="20% - Accent4 3 7 5" xfId="28602" xr:uid="{BB466682-8A05-40F8-8B8E-1BF66F7E8E27}"/>
    <cellStyle name="20% - Accent4 3 8" xfId="4533" xr:uid="{00000000-0005-0000-0000-000059020000}"/>
    <cellStyle name="20% - Accent4 3 8 2" xfId="22306" xr:uid="{1B2CF7CA-AFC2-4921-9C6E-B12FCF0CE2F3}"/>
    <cellStyle name="20% - Accent4 3 8 2 2" xfId="39200" xr:uid="{0AADD022-3450-41D7-8BBD-2255526D451D}"/>
    <cellStyle name="20% - Accent4 3 8 3" xfId="13859" xr:uid="{067A98D6-493E-4712-8464-453319647865}"/>
    <cellStyle name="20% - Accent4 3 8 4" xfId="30753" xr:uid="{4E3BFB9C-23A9-4FF4-8E8C-A5DC160B73FD}"/>
    <cellStyle name="20% - Accent4 3 9" xfId="8867" xr:uid="{27FB4CEF-7F56-4AEC-B5AC-6B6A1477FBD8}"/>
    <cellStyle name="20% - Accent4 3 9 2" xfId="18089" xr:uid="{20DB2F78-5B8A-464E-B3C6-6B4253A766AC}"/>
    <cellStyle name="20% - Accent4 3 9 3" xfId="34983" xr:uid="{6D06AF59-00C6-47BF-9BE7-B86634CBDDBA}"/>
    <cellStyle name="20% - Accent4 4" xfId="32" xr:uid="{00000000-0005-0000-0000-00005A020000}"/>
    <cellStyle name="20% - Accent4 4 10" xfId="26538" xr:uid="{BCC89FAC-E79E-4F6A-9C94-E965D9B2E728}"/>
    <cellStyle name="20% - Accent4 4 2" xfId="601" xr:uid="{00000000-0005-0000-0000-00005B020000}"/>
    <cellStyle name="20% - Accent4 4 2 2" xfId="2872" xr:uid="{00000000-0005-0000-0000-00005C020000}"/>
    <cellStyle name="20% - Accent4 4 2 2 2" xfId="7094" xr:uid="{00000000-0005-0000-0000-00005D020000}"/>
    <cellStyle name="20% - Accent4 4 2 2 2 2" xfId="24867" xr:uid="{1FB4321F-CE1B-43D4-A5A1-D3936288B372}"/>
    <cellStyle name="20% - Accent4 4 2 2 2 2 2" xfId="41761" xr:uid="{27D1360E-1629-471D-B524-10C112E75434}"/>
    <cellStyle name="20% - Accent4 4 2 2 2 3" xfId="16420" xr:uid="{03A6B519-AA59-4E19-8AB7-5EDBE32D048C}"/>
    <cellStyle name="20% - Accent4 4 2 2 2 4" xfId="33314" xr:uid="{3C275004-C11B-4BC9-90D6-5AC68819939C}"/>
    <cellStyle name="20% - Accent4 4 2 2 3" xfId="20650" xr:uid="{0887B2DD-1F81-488F-A6ED-D96C274B920C}"/>
    <cellStyle name="20% - Accent4 4 2 2 3 2" xfId="37544" xr:uid="{4E4C7EAF-C333-4BF6-9B02-F7360C42AB1E}"/>
    <cellStyle name="20% - Accent4 4 2 2 4" xfId="12203" xr:uid="{80D84A19-C19F-49B7-B992-D9AD8F500C97}"/>
    <cellStyle name="20% - Accent4 4 2 2 5" xfId="29097" xr:uid="{267C5834-B369-467E-AF7E-DB1E7276F958}"/>
    <cellStyle name="20% - Accent4 4 2 3" xfId="4949" xr:uid="{00000000-0005-0000-0000-00005E020000}"/>
    <cellStyle name="20% - Accent4 4 2 3 2" xfId="22722" xr:uid="{738E8CAF-27DD-4756-BBAC-E8B107A8EC04}"/>
    <cellStyle name="20% - Accent4 4 2 3 2 2" xfId="39616" xr:uid="{1F1D2B1C-E967-48CE-8581-777DC084DF14}"/>
    <cellStyle name="20% - Accent4 4 2 3 3" xfId="14275" xr:uid="{4DE863B5-EE27-4B4E-BC1F-00F49C5E454D}"/>
    <cellStyle name="20% - Accent4 4 2 3 4" xfId="31169" xr:uid="{4C216ED6-8069-4CC3-BF85-CB189A5D495F}"/>
    <cellStyle name="20% - Accent4 4 2 4" xfId="9378" xr:uid="{761B3D4A-2751-4646-8A50-05A0DD408525}"/>
    <cellStyle name="20% - Accent4 4 2 4 2" xfId="18505" xr:uid="{0D08A3B5-BB1C-4E73-B6FC-5AFD2CDD5172}"/>
    <cellStyle name="20% - Accent4 4 2 4 3" xfId="35399" xr:uid="{9F694285-B639-44BA-A67B-5DC881FAAA81}"/>
    <cellStyle name="20% - Accent4 4 2 5" xfId="10058" xr:uid="{6880E978-E43A-469A-AB34-75D7DE76C984}"/>
    <cellStyle name="20% - Accent4 4 2 6" xfId="26952" xr:uid="{3DE66EC2-F1E7-468D-8BD7-D30C5690C594}"/>
    <cellStyle name="20% - Accent4 4 3" xfId="1054" xr:uid="{00000000-0005-0000-0000-00005F020000}"/>
    <cellStyle name="20% - Accent4 4 3 2" xfId="3285" xr:uid="{00000000-0005-0000-0000-000060020000}"/>
    <cellStyle name="20% - Accent4 4 3 2 2" xfId="7507" xr:uid="{00000000-0005-0000-0000-000061020000}"/>
    <cellStyle name="20% - Accent4 4 3 2 2 2" xfId="25280" xr:uid="{FB100E3E-B6B7-40F9-9956-C2A63C914091}"/>
    <cellStyle name="20% - Accent4 4 3 2 2 2 2" xfId="42174" xr:uid="{1D2B061C-9CA3-4CD5-9BF1-8FF6C40D8746}"/>
    <cellStyle name="20% - Accent4 4 3 2 2 3" xfId="16833" xr:uid="{1BFABE4F-FACB-456C-AD39-7AD9F75B62FB}"/>
    <cellStyle name="20% - Accent4 4 3 2 2 4" xfId="33727" xr:uid="{4D1891D1-F237-48FD-9DB9-9D5F7BDC887B}"/>
    <cellStyle name="20% - Accent4 4 3 2 3" xfId="21063" xr:uid="{3FC4F637-2C23-4842-BA2D-1ED2B13F5811}"/>
    <cellStyle name="20% - Accent4 4 3 2 3 2" xfId="37957" xr:uid="{40AA12BA-88D7-4C9F-B4C2-05A643AD77F5}"/>
    <cellStyle name="20% - Accent4 4 3 2 4" xfId="12616" xr:uid="{592BA181-F42F-442B-B852-31E1FC6A3AF4}"/>
    <cellStyle name="20% - Accent4 4 3 2 5" xfId="29510" xr:uid="{856896D8-E213-4FD2-ACC9-9949915E6868}"/>
    <cellStyle name="20% - Accent4 4 3 3" xfId="5362" xr:uid="{00000000-0005-0000-0000-000062020000}"/>
    <cellStyle name="20% - Accent4 4 3 3 2" xfId="23135" xr:uid="{0F4AAD60-39F5-453E-8E4D-108A3EB4B751}"/>
    <cellStyle name="20% - Accent4 4 3 3 2 2" xfId="40029" xr:uid="{61996CCE-E868-451A-9560-8C4159F25037}"/>
    <cellStyle name="20% - Accent4 4 3 3 3" xfId="14688" xr:uid="{1056F909-D542-4D9E-8A88-FD4637BFE7B2}"/>
    <cellStyle name="20% - Accent4 4 3 3 4" xfId="31582" xr:uid="{B7239FAB-9BDB-4E95-9274-5F82DB17FD3F}"/>
    <cellStyle name="20% - Accent4 4 3 4" xfId="18918" xr:uid="{E2A617F7-F0AA-4DC5-A70E-97CF5278173F}"/>
    <cellStyle name="20% - Accent4 4 3 4 2" xfId="35812" xr:uid="{57140AA7-99C9-4471-8872-AD3B9A03223E}"/>
    <cellStyle name="20% - Accent4 4 3 5" xfId="10471" xr:uid="{02652374-A228-4FC6-8FA7-115B93E1CAE3}"/>
    <cellStyle name="20% - Accent4 4 3 6" xfId="27365" xr:uid="{09019423-79D9-4361-97F3-B58EDD1A537F}"/>
    <cellStyle name="20% - Accent4 4 4" xfId="1468" xr:uid="{00000000-0005-0000-0000-000063020000}"/>
    <cellStyle name="20% - Accent4 4 4 2" xfId="3698" xr:uid="{00000000-0005-0000-0000-000064020000}"/>
    <cellStyle name="20% - Accent4 4 4 2 2" xfId="7920" xr:uid="{00000000-0005-0000-0000-000065020000}"/>
    <cellStyle name="20% - Accent4 4 4 2 2 2" xfId="25693" xr:uid="{EB611971-AEC6-4AE5-9C67-A5708435CC8A}"/>
    <cellStyle name="20% - Accent4 4 4 2 2 2 2" xfId="42587" xr:uid="{CEE09E36-B1F6-46F0-AF99-46E75E66A218}"/>
    <cellStyle name="20% - Accent4 4 4 2 2 3" xfId="17246" xr:uid="{902E7990-CC5B-4F3E-B7E0-DB5D2D67E705}"/>
    <cellStyle name="20% - Accent4 4 4 2 2 4" xfId="34140" xr:uid="{AD8DC5F2-4605-400E-AF01-90127464F073}"/>
    <cellStyle name="20% - Accent4 4 4 2 3" xfId="21476" xr:uid="{D8CC905F-5761-4D5A-9E60-95ECB4F33568}"/>
    <cellStyle name="20% - Accent4 4 4 2 3 2" xfId="38370" xr:uid="{72DF7646-169C-45CE-ACF0-E3181B2EF7D0}"/>
    <cellStyle name="20% - Accent4 4 4 2 4" xfId="13029" xr:uid="{26D21B7E-722C-47AC-8AF6-A8D1817C31FE}"/>
    <cellStyle name="20% - Accent4 4 4 2 5" xfId="29923" xr:uid="{B92A2945-C25C-41ED-99D9-12E44CD07239}"/>
    <cellStyle name="20% - Accent4 4 4 3" xfId="5775" xr:uid="{00000000-0005-0000-0000-000066020000}"/>
    <cellStyle name="20% - Accent4 4 4 3 2" xfId="23548" xr:uid="{3863B441-52E6-4DEF-9D61-0EBA5CF1132D}"/>
    <cellStyle name="20% - Accent4 4 4 3 2 2" xfId="40442" xr:uid="{0E88E5EB-C56C-4B8B-BF0E-0945C15829C6}"/>
    <cellStyle name="20% - Accent4 4 4 3 3" xfId="15101" xr:uid="{0EE8CB5A-3F9A-44BF-B5BC-1089F9CF5AD9}"/>
    <cellStyle name="20% - Accent4 4 4 3 4" xfId="31995" xr:uid="{8562556D-13B3-4DC5-9F84-847D349F028B}"/>
    <cellStyle name="20% - Accent4 4 4 4" xfId="19331" xr:uid="{099D1EBC-4F7B-4D41-9878-85B5364AD4AE}"/>
    <cellStyle name="20% - Accent4 4 4 4 2" xfId="36225" xr:uid="{9C92DF81-245F-4DC5-A046-C619C38682FE}"/>
    <cellStyle name="20% - Accent4 4 4 5" xfId="10884" xr:uid="{DCC278EC-D5DC-4DB5-9D45-0F83393BBD6F}"/>
    <cellStyle name="20% - Accent4 4 4 6" xfId="27778" xr:uid="{50B01F16-F126-4DF5-A6AD-A6D290285767}"/>
    <cellStyle name="20% - Accent4 4 5" xfId="1882" xr:uid="{00000000-0005-0000-0000-000067020000}"/>
    <cellStyle name="20% - Accent4 4 5 2" xfId="4111" xr:uid="{00000000-0005-0000-0000-000068020000}"/>
    <cellStyle name="20% - Accent4 4 5 2 2" xfId="8333" xr:uid="{00000000-0005-0000-0000-000069020000}"/>
    <cellStyle name="20% - Accent4 4 5 2 2 2" xfId="26106" xr:uid="{24A748D3-4E2E-41DF-95E7-8DB36268C774}"/>
    <cellStyle name="20% - Accent4 4 5 2 2 2 2" xfId="43000" xr:uid="{677CDCEC-24B1-4C67-BAE2-77C1E1BB43B3}"/>
    <cellStyle name="20% - Accent4 4 5 2 2 3" xfId="17659" xr:uid="{2C20D150-7092-4658-A8FA-7F2EEE7F6438}"/>
    <cellStyle name="20% - Accent4 4 5 2 2 4" xfId="34553" xr:uid="{CCA57B42-8559-4C4A-9434-4770404A3561}"/>
    <cellStyle name="20% - Accent4 4 5 2 3" xfId="21889" xr:uid="{FFA7ABAB-5FF7-4557-B3E8-AF1715E4B8E1}"/>
    <cellStyle name="20% - Accent4 4 5 2 3 2" xfId="38783" xr:uid="{7A5B1A19-858A-431D-BE92-ACB87CD01D78}"/>
    <cellStyle name="20% - Accent4 4 5 2 4" xfId="13442" xr:uid="{CE5C63EA-9435-4A9A-A3CD-94F8FC900DAB}"/>
    <cellStyle name="20% - Accent4 4 5 2 5" xfId="30336" xr:uid="{817E4CEA-FCBB-4E6C-BD49-7D8E1285BFD8}"/>
    <cellStyle name="20% - Accent4 4 5 3" xfId="6188" xr:uid="{00000000-0005-0000-0000-00006A020000}"/>
    <cellStyle name="20% - Accent4 4 5 3 2" xfId="23961" xr:uid="{555EF2D5-C78F-489A-BFE1-493C6F2AA8F4}"/>
    <cellStyle name="20% - Accent4 4 5 3 2 2" xfId="40855" xr:uid="{FEA087E7-0E0D-4DC1-B2B1-2C3FDBA11993}"/>
    <cellStyle name="20% - Accent4 4 5 3 3" xfId="15514" xr:uid="{CB51564A-E820-4F8B-8784-7313F377BBCD}"/>
    <cellStyle name="20% - Accent4 4 5 3 4" xfId="32408" xr:uid="{DC68456D-448C-4DAE-8A68-F5EAFD1BDE63}"/>
    <cellStyle name="20% - Accent4 4 5 4" xfId="19744" xr:uid="{3CA0577B-9DA2-45D6-AA2F-A340C711C2D6}"/>
    <cellStyle name="20% - Accent4 4 5 4 2" xfId="36638" xr:uid="{842C3006-4155-4216-AE9A-49BFD28090F9}"/>
    <cellStyle name="20% - Accent4 4 5 5" xfId="11297" xr:uid="{360BAA19-11E3-4EF6-B54A-6C60A2E3E361}"/>
    <cellStyle name="20% - Accent4 4 5 6" xfId="28191" xr:uid="{CD8EDC4A-7689-4A24-9E24-9F3D50941880}"/>
    <cellStyle name="20% - Accent4 4 6" xfId="2295" xr:uid="{00000000-0005-0000-0000-00006B020000}"/>
    <cellStyle name="20% - Accent4 4 6 2" xfId="6601" xr:uid="{00000000-0005-0000-0000-00006C020000}"/>
    <cellStyle name="20% - Accent4 4 6 2 2" xfId="24374" xr:uid="{284A443D-A10B-4914-B719-41AC17AF96C7}"/>
    <cellStyle name="20% - Accent4 4 6 2 2 2" xfId="41268" xr:uid="{DFB8115A-99A5-44DC-9C2C-C25B4083918B}"/>
    <cellStyle name="20% - Accent4 4 6 2 3" xfId="15927" xr:uid="{08E3E5BD-0532-4F0F-8A30-7EC16BD2A76F}"/>
    <cellStyle name="20% - Accent4 4 6 2 4" xfId="32821" xr:uid="{FBBE2B1D-33A9-4FA6-B2E9-79D7CD20DF91}"/>
    <cellStyle name="20% - Accent4 4 6 3" xfId="20157" xr:uid="{E52F68CD-0337-4B71-8F06-14804AC1A704}"/>
    <cellStyle name="20% - Accent4 4 6 3 2" xfId="37051" xr:uid="{BF0E860E-C1BB-4A3D-9B66-2604B4E08B06}"/>
    <cellStyle name="20% - Accent4 4 6 4" xfId="11710" xr:uid="{75B9832B-F206-482C-97EF-866A88048183}"/>
    <cellStyle name="20% - Accent4 4 6 5" xfId="28604" xr:uid="{DF628626-16C3-4A26-88F6-86A367DCE906}"/>
    <cellStyle name="20% - Accent4 4 7" xfId="4535" xr:uid="{00000000-0005-0000-0000-00006D020000}"/>
    <cellStyle name="20% - Accent4 4 7 2" xfId="22308" xr:uid="{E43671E0-9675-4616-BA7A-6FDB41F9696F}"/>
    <cellStyle name="20% - Accent4 4 7 2 2" xfId="39202" xr:uid="{B258DBE0-3785-4213-8343-034C73F8B104}"/>
    <cellStyle name="20% - Accent4 4 7 3" xfId="13861" xr:uid="{7B35D15C-1E55-49A7-9E18-04DE12DC77BF}"/>
    <cellStyle name="20% - Accent4 4 7 4" xfId="30755" xr:uid="{C670D408-DA90-4EAB-9A30-ACAC72A252BB}"/>
    <cellStyle name="20% - Accent4 4 8" xfId="8953" xr:uid="{66D1590A-BB3A-4B79-BA94-169F97E79370}"/>
    <cellStyle name="20% - Accent4 4 8 2" xfId="18091" xr:uid="{70270675-ACB0-497B-AB44-2490E40FC801}"/>
    <cellStyle name="20% - Accent4 4 8 3" xfId="34985" xr:uid="{F2BEF4CE-EC62-4C0B-AC9C-733730D2590C}"/>
    <cellStyle name="20% - Accent4 4 9" xfId="9644" xr:uid="{7CD917D2-9CA7-4C8A-8A0E-9A7C70EBA886}"/>
    <cellStyle name="20% - Accent4 5" xfId="594" xr:uid="{00000000-0005-0000-0000-00006E020000}"/>
    <cellStyle name="20% - Accent4 5 2" xfId="2865" xr:uid="{00000000-0005-0000-0000-00006F020000}"/>
    <cellStyle name="20% - Accent4 5 2 2" xfId="7087" xr:uid="{00000000-0005-0000-0000-000070020000}"/>
    <cellStyle name="20% - Accent4 5 2 2 2" xfId="24860" xr:uid="{675A6BB8-297F-48B3-910B-05C97BF7E6B2}"/>
    <cellStyle name="20% - Accent4 5 2 2 2 2" xfId="41754" xr:uid="{A0854660-2589-44A7-9DE6-A9FFEBEDFB49}"/>
    <cellStyle name="20% - Accent4 5 2 2 3" xfId="16413" xr:uid="{B3D87B4C-48D8-4288-9F67-4126520A04B1}"/>
    <cellStyle name="20% - Accent4 5 2 2 4" xfId="33307" xr:uid="{97FEFAED-01FD-48F9-9D1C-570E47E5E48C}"/>
    <cellStyle name="20% - Accent4 5 2 3" xfId="20643" xr:uid="{17DABAC2-4FD5-4E8B-B33B-7CA3C1DF1100}"/>
    <cellStyle name="20% - Accent4 5 2 3 2" xfId="37537" xr:uid="{6E3C5BFC-59CF-4837-BB32-30352E8FCCCB}"/>
    <cellStyle name="20% - Accent4 5 2 4" xfId="12196" xr:uid="{4396D261-BB44-4D07-BE18-4BC1446E4F39}"/>
    <cellStyle name="20% - Accent4 5 2 5" xfId="29090" xr:uid="{CD4ADA76-1D4B-4DDE-8C29-1B57A5654B73}"/>
    <cellStyle name="20% - Accent4 5 3" xfId="4942" xr:uid="{00000000-0005-0000-0000-000071020000}"/>
    <cellStyle name="20% - Accent4 5 3 2" xfId="22715" xr:uid="{15DC25A3-9CF4-428F-8480-2238361BD4A9}"/>
    <cellStyle name="20% - Accent4 5 3 2 2" xfId="39609" xr:uid="{8CFEBD79-CBA0-4D0C-94C5-A0901F94646C}"/>
    <cellStyle name="20% - Accent4 5 3 3" xfId="14268" xr:uid="{B3612073-8CF8-4BF2-AC04-417CA2C1E86B}"/>
    <cellStyle name="20% - Accent4 5 3 4" xfId="31162" xr:uid="{60B6B925-3E39-4A10-8D3A-332EF7D81FFE}"/>
    <cellStyle name="20% - Accent4 5 4" xfId="9186" xr:uid="{E62ED282-F767-404B-ADA1-4F8E5B4D01EB}"/>
    <cellStyle name="20% - Accent4 5 4 2" xfId="18498" xr:uid="{619B5C29-D987-4837-8DF6-AD090E868D0B}"/>
    <cellStyle name="20% - Accent4 5 4 3" xfId="35392" xr:uid="{88288215-3DBA-437E-97C4-487651E49E0B}"/>
    <cellStyle name="20% - Accent4 5 5" xfId="10051" xr:uid="{C656BFEC-0B3C-4F67-904C-56EAD1C91446}"/>
    <cellStyle name="20% - Accent4 5 6" xfId="26945" xr:uid="{9AFEABC4-BAE3-4E66-8E5E-6A8961228DC9}"/>
    <cellStyle name="20% - Accent4 6" xfId="1047" xr:uid="{00000000-0005-0000-0000-000072020000}"/>
    <cellStyle name="20% - Accent4 6 2" xfId="3278" xr:uid="{00000000-0005-0000-0000-000073020000}"/>
    <cellStyle name="20% - Accent4 6 2 2" xfId="7500" xr:uid="{00000000-0005-0000-0000-000074020000}"/>
    <cellStyle name="20% - Accent4 6 2 2 2" xfId="25273" xr:uid="{3A4A6276-A239-4FC9-A57F-CC8FD3B2085F}"/>
    <cellStyle name="20% - Accent4 6 2 2 2 2" xfId="42167" xr:uid="{6D3D4F95-D84D-4A22-BB65-44BA8AFFFBB2}"/>
    <cellStyle name="20% - Accent4 6 2 2 3" xfId="16826" xr:uid="{0A8061EB-EBEE-4EE7-A35C-1617213C5A61}"/>
    <cellStyle name="20% - Accent4 6 2 2 4" xfId="33720" xr:uid="{6AB7ECAF-432A-4CA4-A9EA-51B19588DB67}"/>
    <cellStyle name="20% - Accent4 6 2 3" xfId="21056" xr:uid="{0293FBAC-50C0-4536-B478-BEBE177949FE}"/>
    <cellStyle name="20% - Accent4 6 2 3 2" xfId="37950" xr:uid="{F6D3C1A6-6402-412E-BFB0-199A5951830C}"/>
    <cellStyle name="20% - Accent4 6 2 4" xfId="12609" xr:uid="{50E5833C-7461-40E8-AADA-976C05973A00}"/>
    <cellStyle name="20% - Accent4 6 2 5" xfId="29503" xr:uid="{B25EBF78-392F-4071-9793-62D2543A29DD}"/>
    <cellStyle name="20% - Accent4 6 3" xfId="5355" xr:uid="{00000000-0005-0000-0000-000075020000}"/>
    <cellStyle name="20% - Accent4 6 3 2" xfId="23128" xr:uid="{57036D32-C5C5-4273-8DEB-9E5A7BBCBFDF}"/>
    <cellStyle name="20% - Accent4 6 3 2 2" xfId="40022" xr:uid="{52B0138A-95DB-4410-8CBB-CD8E3A60BDF0}"/>
    <cellStyle name="20% - Accent4 6 3 3" xfId="14681" xr:uid="{005BFFC1-A80A-4F1A-81A3-0EC34D50FBD6}"/>
    <cellStyle name="20% - Accent4 6 3 4" xfId="31575" xr:uid="{9C6BDBFD-10F2-4933-AC13-3B5552D92C8A}"/>
    <cellStyle name="20% - Accent4 6 4" xfId="18911" xr:uid="{D413AD51-565E-45F4-95A5-99A19597CAF3}"/>
    <cellStyle name="20% - Accent4 6 4 2" xfId="35805" xr:uid="{C337D141-B12A-4EAA-840D-A87AB93C0803}"/>
    <cellStyle name="20% - Accent4 6 5" xfId="10464" xr:uid="{E3FFBC8A-280E-45F4-80E1-C52F0DFA7679}"/>
    <cellStyle name="20% - Accent4 6 6" xfId="27358" xr:uid="{04C6EB04-0022-4EE5-9383-0B1EF5983A9F}"/>
    <cellStyle name="20% - Accent4 7" xfId="1461" xr:uid="{00000000-0005-0000-0000-000076020000}"/>
    <cellStyle name="20% - Accent4 7 2" xfId="3691" xr:uid="{00000000-0005-0000-0000-000077020000}"/>
    <cellStyle name="20% - Accent4 7 2 2" xfId="7913" xr:uid="{00000000-0005-0000-0000-000078020000}"/>
    <cellStyle name="20% - Accent4 7 2 2 2" xfId="25686" xr:uid="{BF42B718-6254-4DD2-B5F8-6C7F0CE63F8D}"/>
    <cellStyle name="20% - Accent4 7 2 2 2 2" xfId="42580" xr:uid="{C203D245-D718-4BF0-B9D5-E6D8A5B1518F}"/>
    <cellStyle name="20% - Accent4 7 2 2 3" xfId="17239" xr:uid="{E9140EB2-B783-45B7-8500-89C76CE9C17E}"/>
    <cellStyle name="20% - Accent4 7 2 2 4" xfId="34133" xr:uid="{61B22EF7-6A44-4EBE-A122-DBC08476A603}"/>
    <cellStyle name="20% - Accent4 7 2 3" xfId="21469" xr:uid="{8EE3F04D-F8E9-43F1-99CE-AF997F9B5CD3}"/>
    <cellStyle name="20% - Accent4 7 2 3 2" xfId="38363" xr:uid="{1F26226C-D76E-4B99-9C90-2DA9B3B21CBA}"/>
    <cellStyle name="20% - Accent4 7 2 4" xfId="13022" xr:uid="{250376C1-98A8-4E2F-81BF-CBBE8022A25B}"/>
    <cellStyle name="20% - Accent4 7 2 5" xfId="29916" xr:uid="{D7D404A2-478A-490D-8653-C4E8A0ADB018}"/>
    <cellStyle name="20% - Accent4 7 3" xfId="5768" xr:uid="{00000000-0005-0000-0000-000079020000}"/>
    <cellStyle name="20% - Accent4 7 3 2" xfId="23541" xr:uid="{03E74E7B-8D15-4726-9858-B65B58386870}"/>
    <cellStyle name="20% - Accent4 7 3 2 2" xfId="40435" xr:uid="{3C2333A1-2E83-437C-A00D-79F44D9D16E0}"/>
    <cellStyle name="20% - Accent4 7 3 3" xfId="15094" xr:uid="{9C7469CC-0F6B-45DF-AB7A-934E92A80493}"/>
    <cellStyle name="20% - Accent4 7 3 4" xfId="31988" xr:uid="{FEAC3827-B411-4079-901B-6BD883B4632C}"/>
    <cellStyle name="20% - Accent4 7 4" xfId="19324" xr:uid="{6BEA0B41-8DFB-4631-8D81-2E19DB44CE8B}"/>
    <cellStyle name="20% - Accent4 7 4 2" xfId="36218" xr:uid="{38D69A64-C7A3-405B-90B2-2772F9775F91}"/>
    <cellStyle name="20% - Accent4 7 5" xfId="10877" xr:uid="{1101DACE-096F-4511-9AA9-2FAED469ECCB}"/>
    <cellStyle name="20% - Accent4 7 6" xfId="27771" xr:uid="{32ACD0A2-70DE-4B26-8F86-A58D62993EDB}"/>
    <cellStyle name="20% - Accent4 8" xfId="1875" xr:uid="{00000000-0005-0000-0000-00007A020000}"/>
    <cellStyle name="20% - Accent4 8 2" xfId="4104" xr:uid="{00000000-0005-0000-0000-00007B020000}"/>
    <cellStyle name="20% - Accent4 8 2 2" xfId="8326" xr:uid="{00000000-0005-0000-0000-00007C020000}"/>
    <cellStyle name="20% - Accent4 8 2 2 2" xfId="26099" xr:uid="{DF4E5A56-5FA4-49B4-B992-4B30A4013325}"/>
    <cellStyle name="20% - Accent4 8 2 2 2 2" xfId="42993" xr:uid="{7BE076F8-448C-44D4-9A9C-1C4BBA2FDF94}"/>
    <cellStyle name="20% - Accent4 8 2 2 3" xfId="17652" xr:uid="{DDF16D7E-BA7A-4848-A8CF-6DC493C3421E}"/>
    <cellStyle name="20% - Accent4 8 2 2 4" xfId="34546" xr:uid="{A0A99EFD-673C-4864-B949-CBEACA8B1829}"/>
    <cellStyle name="20% - Accent4 8 2 3" xfId="21882" xr:uid="{8DC9598B-E962-46E3-BB02-3930C6D9B689}"/>
    <cellStyle name="20% - Accent4 8 2 3 2" xfId="38776" xr:uid="{B4CBDC4B-DE64-435B-90BB-1A07D5EB980A}"/>
    <cellStyle name="20% - Accent4 8 2 4" xfId="13435" xr:uid="{EC50539C-2EC3-44E5-A2B4-001816135A88}"/>
    <cellStyle name="20% - Accent4 8 2 5" xfId="30329" xr:uid="{2F5DE93B-0E5E-4D5C-B113-CF1D2BCEC670}"/>
    <cellStyle name="20% - Accent4 8 3" xfId="6181" xr:uid="{00000000-0005-0000-0000-00007D020000}"/>
    <cellStyle name="20% - Accent4 8 3 2" xfId="23954" xr:uid="{598B2436-7D9F-42B6-86A5-0E8835EF2167}"/>
    <cellStyle name="20% - Accent4 8 3 2 2" xfId="40848" xr:uid="{D6D9B66F-B1EA-443B-A3C6-5103C721C22A}"/>
    <cellStyle name="20% - Accent4 8 3 3" xfId="15507" xr:uid="{F5454A5E-CCE3-493C-ACBF-C558CCABAF89}"/>
    <cellStyle name="20% - Accent4 8 3 4" xfId="32401" xr:uid="{3164F12B-AEEC-4A6C-A2B8-5334E25A916E}"/>
    <cellStyle name="20% - Accent4 8 4" xfId="19737" xr:uid="{AC2362B4-07A0-4E91-B739-3E90562EC652}"/>
    <cellStyle name="20% - Accent4 8 4 2" xfId="36631" xr:uid="{A67744AF-D1C0-42C3-A972-911BD998816F}"/>
    <cellStyle name="20% - Accent4 8 5" xfId="11290" xr:uid="{F4C3CDD7-9717-4734-A459-261901EC1477}"/>
    <cellStyle name="20% - Accent4 8 6" xfId="28184" xr:uid="{E1172371-A443-440B-BA3A-26C480356442}"/>
    <cellStyle name="20% - Accent4 9" xfId="2288" xr:uid="{00000000-0005-0000-0000-00007E020000}"/>
    <cellStyle name="20% - Accent4 9 2" xfId="6594" xr:uid="{00000000-0005-0000-0000-00007F020000}"/>
    <cellStyle name="20% - Accent4 9 2 2" xfId="24367" xr:uid="{56A57897-3C90-48CB-94A1-BD2C03A65F61}"/>
    <cellStyle name="20% - Accent4 9 2 2 2" xfId="41261" xr:uid="{2011779B-4214-4FE9-8B4A-811DD6405032}"/>
    <cellStyle name="20% - Accent4 9 2 3" xfId="15920" xr:uid="{B5ECEA3A-27A0-4E92-8BA3-ECB95C908CD9}"/>
    <cellStyle name="20% - Accent4 9 2 4" xfId="32814" xr:uid="{710AC687-1A09-4552-BDB6-45F2ED2B6C4C}"/>
    <cellStyle name="20% - Accent4 9 3" xfId="20150" xr:uid="{F7054315-AB77-46BF-8E71-3183F4686012}"/>
    <cellStyle name="20% - Accent4 9 3 2" xfId="37044" xr:uid="{DBBF4625-7CBD-496C-9D97-DA8E6662B6DA}"/>
    <cellStyle name="20% - Accent4 9 4" xfId="11703" xr:uid="{50947CA0-AF0A-4912-9465-A482F047D65B}"/>
    <cellStyle name="20% - Accent4 9 5" xfId="28597" xr:uid="{B9807016-28B1-420B-BAC9-FDF53F99E135}"/>
    <cellStyle name="20% - Accent5" xfId="33" builtinId="46" customBuiltin="1"/>
    <cellStyle name="20% - Accent5 10" xfId="4536" xr:uid="{00000000-0005-0000-0000-000081020000}"/>
    <cellStyle name="20% - Accent5 10 2" xfId="22309" xr:uid="{CA2BBAFE-8F0D-447C-B7F7-C63794C7457D}"/>
    <cellStyle name="20% - Accent5 10 2 2" xfId="39203" xr:uid="{66972BE6-17FF-4F5C-8EBB-CB87C29A1648}"/>
    <cellStyle name="20% - Accent5 10 3" xfId="13862" xr:uid="{CD48B9CB-1755-4797-AB2A-A38A8BD80E11}"/>
    <cellStyle name="20% - Accent5 10 4" xfId="30756" xr:uid="{5C8DAEA9-221D-4341-B4D7-33EF3AF19825}"/>
    <cellStyle name="20% - Accent5 11" xfId="8766" xr:uid="{A87C980D-48BC-4AA3-98F7-53B2F02F228C}"/>
    <cellStyle name="20% - Accent5 11 2" xfId="18092" xr:uid="{F5F1E840-DC09-488E-9696-85543055CB5A}"/>
    <cellStyle name="20% - Accent5 11 3" xfId="34986" xr:uid="{BCAAB9A4-574B-4524-B279-64B2643FFABA}"/>
    <cellStyle name="20% - Accent5 12" xfId="9645" xr:uid="{EDB51B37-0048-43CA-9862-9A7CB0921E82}"/>
    <cellStyle name="20% - Accent5 13" xfId="26539" xr:uid="{BC43BF9F-6761-4ACF-9581-72AF28038038}"/>
    <cellStyle name="20% - Accent5 2" xfId="34" xr:uid="{00000000-0005-0000-0000-000082020000}"/>
    <cellStyle name="20% - Accent5 2 10" xfId="8796" xr:uid="{5BBF4372-A7B1-47A0-AC3D-4A60EDC1A5F8}"/>
    <cellStyle name="20% - Accent5 2 10 2" xfId="18093" xr:uid="{FF168E5E-0BC1-4126-8610-0BC07E420F3C}"/>
    <cellStyle name="20% - Accent5 2 10 3" xfId="34987" xr:uid="{982A678D-8A66-40FC-836C-B8B2E5377869}"/>
    <cellStyle name="20% - Accent5 2 11" xfId="9646" xr:uid="{4C725B20-6E91-4C2B-9342-6475E7A97055}"/>
    <cellStyle name="20% - Accent5 2 12" xfId="26540" xr:uid="{45C34980-D491-4830-B717-5E40AADA8717}"/>
    <cellStyle name="20% - Accent5 2 2" xfId="35" xr:uid="{00000000-0005-0000-0000-000083020000}"/>
    <cellStyle name="20% - Accent5 2 2 10" xfId="9647" xr:uid="{9B43FA5D-0ADF-4ECE-81BA-63EA5C5718B6}"/>
    <cellStyle name="20% - Accent5 2 2 11" xfId="26541" xr:uid="{F7EFD588-99CD-4069-93DB-B7CF2CAB6544}"/>
    <cellStyle name="20% - Accent5 2 2 2" xfId="36" xr:uid="{00000000-0005-0000-0000-000084020000}"/>
    <cellStyle name="20% - Accent5 2 2 2 10" xfId="26542" xr:uid="{144F9652-AA6A-4A39-B261-31117C4F80C8}"/>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2 2 2" xfId="24871" xr:uid="{83D49897-D6F0-4AFD-A3A4-0D62A39D492A}"/>
    <cellStyle name="20% - Accent5 2 2 2 2 2 2 2 2" xfId="41765" xr:uid="{F284A41B-5E3D-4321-A080-A18DB0931E8B}"/>
    <cellStyle name="20% - Accent5 2 2 2 2 2 2 3" xfId="16424" xr:uid="{567AE6D0-4CA2-4088-976D-BCAF3165FC89}"/>
    <cellStyle name="20% - Accent5 2 2 2 2 2 2 4" xfId="33318" xr:uid="{BC7005AA-F7A3-4DFC-86C6-4F459C2C87EF}"/>
    <cellStyle name="20% - Accent5 2 2 2 2 2 3" xfId="20654" xr:uid="{7E02FFFC-1EA9-47A0-B120-227516AED2A6}"/>
    <cellStyle name="20% - Accent5 2 2 2 2 2 3 2" xfId="37548" xr:uid="{0A0D548A-C961-4F0D-A891-B3A4A25566A2}"/>
    <cellStyle name="20% - Accent5 2 2 2 2 2 4" xfId="12207" xr:uid="{CA07FC05-6435-46F4-9096-5D704C606E4F}"/>
    <cellStyle name="20% - Accent5 2 2 2 2 2 5" xfId="29101" xr:uid="{F869DFDE-8FDF-4897-9628-27589888CC33}"/>
    <cellStyle name="20% - Accent5 2 2 2 2 3" xfId="4953" xr:uid="{00000000-0005-0000-0000-000088020000}"/>
    <cellStyle name="20% - Accent5 2 2 2 2 3 2" xfId="22726" xr:uid="{8272B5F7-8373-4C7A-ACCB-765E49CCC27C}"/>
    <cellStyle name="20% - Accent5 2 2 2 2 3 2 2" xfId="39620" xr:uid="{CDF3B215-32EA-4B76-886F-831B689F5AD9}"/>
    <cellStyle name="20% - Accent5 2 2 2 2 3 3" xfId="14279" xr:uid="{2BB9F952-54BB-4294-8BCC-38C484F77A58}"/>
    <cellStyle name="20% - Accent5 2 2 2 2 3 4" xfId="31173" xr:uid="{C0DC343B-E77C-4C4C-AE68-BB1D6BE64D54}"/>
    <cellStyle name="20% - Accent5 2 2 2 2 4" xfId="9531" xr:uid="{5DC5F027-F767-49FB-B9DE-2ACABCF8AC5A}"/>
    <cellStyle name="20% - Accent5 2 2 2 2 4 2" xfId="18509" xr:uid="{5A85245D-234D-4FFD-9AA6-59AA2B2370B4}"/>
    <cellStyle name="20% - Accent5 2 2 2 2 4 3" xfId="35403" xr:uid="{151FE609-B808-40C6-B195-44F03FB540D8}"/>
    <cellStyle name="20% - Accent5 2 2 2 2 5" xfId="10062" xr:uid="{E584BCB3-E5B1-4BEA-AEEC-FBF1606387D2}"/>
    <cellStyle name="20% - Accent5 2 2 2 2 6" xfId="26956" xr:uid="{27CBD0ED-BF75-4795-A9F0-5CDB09253C6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2 2 2" xfId="25284" xr:uid="{2234DF6E-400E-451F-AD24-03FBFA4420C6}"/>
    <cellStyle name="20% - Accent5 2 2 2 3 2 2 2 2" xfId="42178" xr:uid="{5BE270AC-8276-48D4-8D6B-7DA4FF86298A}"/>
    <cellStyle name="20% - Accent5 2 2 2 3 2 2 3" xfId="16837" xr:uid="{9C96FB9D-6388-4B3C-B0F3-BD95082314BF}"/>
    <cellStyle name="20% - Accent5 2 2 2 3 2 2 4" xfId="33731" xr:uid="{2154577B-FD4A-47FA-A6A8-25A197FBD1A6}"/>
    <cellStyle name="20% - Accent5 2 2 2 3 2 3" xfId="21067" xr:uid="{CB51B78E-74B9-491D-A8A7-B99342F354BC}"/>
    <cellStyle name="20% - Accent5 2 2 2 3 2 3 2" xfId="37961" xr:uid="{09E208ED-598B-44CF-8781-92A7EDB0A5DF}"/>
    <cellStyle name="20% - Accent5 2 2 2 3 2 4" xfId="12620" xr:uid="{CD7E57A3-2627-4E0D-9EA2-FF2C2A8CD49D}"/>
    <cellStyle name="20% - Accent5 2 2 2 3 2 5" xfId="29514" xr:uid="{8983D8DE-B63D-4DD3-85B5-0FCED0DB0C01}"/>
    <cellStyle name="20% - Accent5 2 2 2 3 3" xfId="5366" xr:uid="{00000000-0005-0000-0000-00008C020000}"/>
    <cellStyle name="20% - Accent5 2 2 2 3 3 2" xfId="23139" xr:uid="{E5A00CA4-D1B4-4CA5-B05A-A1A12CF139EB}"/>
    <cellStyle name="20% - Accent5 2 2 2 3 3 2 2" xfId="40033" xr:uid="{08B92E8D-872E-463F-B96E-2383A4B296E8}"/>
    <cellStyle name="20% - Accent5 2 2 2 3 3 3" xfId="14692" xr:uid="{4A190867-0066-4AD0-A503-3EC49767D6C6}"/>
    <cellStyle name="20% - Accent5 2 2 2 3 3 4" xfId="31586" xr:uid="{6CECD07E-5945-42E7-9960-65795C69057B}"/>
    <cellStyle name="20% - Accent5 2 2 2 3 4" xfId="18922" xr:uid="{CB179C89-050E-427F-A787-4B3A1ACF7298}"/>
    <cellStyle name="20% - Accent5 2 2 2 3 4 2" xfId="35816" xr:uid="{2E3BFC16-9121-41E8-A3C5-DAB6F8C6C7F7}"/>
    <cellStyle name="20% - Accent5 2 2 2 3 5" xfId="10475" xr:uid="{1C5C438C-3475-4E94-B9D9-73ED63032286}"/>
    <cellStyle name="20% - Accent5 2 2 2 3 6" xfId="27369" xr:uid="{575D6AAF-FB6C-4674-9694-C89D4B9FF359}"/>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2 2 2" xfId="25697" xr:uid="{0940D25C-F1C2-4A6E-8109-67EE92A051F7}"/>
    <cellStyle name="20% - Accent5 2 2 2 4 2 2 2 2" xfId="42591" xr:uid="{32AEA152-A26D-42AE-B339-01F71C3D8E61}"/>
    <cellStyle name="20% - Accent5 2 2 2 4 2 2 3" xfId="17250" xr:uid="{9374A79A-51E0-49FB-9A58-FA7DFE88BC8F}"/>
    <cellStyle name="20% - Accent5 2 2 2 4 2 2 4" xfId="34144" xr:uid="{012B09B5-F9DF-4149-8376-E00AC78C64FB}"/>
    <cellStyle name="20% - Accent5 2 2 2 4 2 3" xfId="21480" xr:uid="{A4E33483-EB3B-45B0-8781-D5A88A63BC3C}"/>
    <cellStyle name="20% - Accent5 2 2 2 4 2 3 2" xfId="38374" xr:uid="{9DE57689-F2D3-4081-A821-A3C38D8C48E1}"/>
    <cellStyle name="20% - Accent5 2 2 2 4 2 4" xfId="13033" xr:uid="{2FD2EAE5-D2DA-438E-B607-A81A698C4F25}"/>
    <cellStyle name="20% - Accent5 2 2 2 4 2 5" xfId="29927" xr:uid="{35035061-1151-4286-B9FD-01D3A1B303C8}"/>
    <cellStyle name="20% - Accent5 2 2 2 4 3" xfId="5779" xr:uid="{00000000-0005-0000-0000-000090020000}"/>
    <cellStyle name="20% - Accent5 2 2 2 4 3 2" xfId="23552" xr:uid="{F6FD20D3-248A-4D29-9C88-90ADB4715D1A}"/>
    <cellStyle name="20% - Accent5 2 2 2 4 3 2 2" xfId="40446" xr:uid="{492D02E0-9B47-412D-8DE8-034683D28E70}"/>
    <cellStyle name="20% - Accent5 2 2 2 4 3 3" xfId="15105" xr:uid="{710B912A-71B1-4BA3-B81B-E198DD94E7EE}"/>
    <cellStyle name="20% - Accent5 2 2 2 4 3 4" xfId="31999" xr:uid="{7ADD860E-9A90-46FE-BE6F-75D045FD6985}"/>
    <cellStyle name="20% - Accent5 2 2 2 4 4" xfId="19335" xr:uid="{5127FE5F-4D9D-4B49-ABFE-1400DEB61BFF}"/>
    <cellStyle name="20% - Accent5 2 2 2 4 4 2" xfId="36229" xr:uid="{28560844-3F00-460A-8E7C-84F4A207A71E}"/>
    <cellStyle name="20% - Accent5 2 2 2 4 5" xfId="10888" xr:uid="{A3532CD7-2A98-4B74-BE66-3826CA09FE73}"/>
    <cellStyle name="20% - Accent5 2 2 2 4 6" xfId="27782" xr:uid="{08319A51-42ED-4B56-885D-6E8D40575C21}"/>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2 2 2" xfId="26110" xr:uid="{6A8DC226-551C-484B-BADF-53F0705A6EA3}"/>
    <cellStyle name="20% - Accent5 2 2 2 5 2 2 2 2" xfId="43004" xr:uid="{09526E47-DDD7-42DA-A781-59DC2B06A53F}"/>
    <cellStyle name="20% - Accent5 2 2 2 5 2 2 3" xfId="17663" xr:uid="{9F67E19F-8C92-4B8F-AF9D-77EBD919B0C7}"/>
    <cellStyle name="20% - Accent5 2 2 2 5 2 2 4" xfId="34557" xr:uid="{11C5C6BD-50EA-4BF7-9025-4D9B3354940C}"/>
    <cellStyle name="20% - Accent5 2 2 2 5 2 3" xfId="21893" xr:uid="{E7128EC3-2591-4DE0-ACED-626BDA03EC23}"/>
    <cellStyle name="20% - Accent5 2 2 2 5 2 3 2" xfId="38787" xr:uid="{46CF2AD1-48B8-4F92-BD81-8A607B5FDFF3}"/>
    <cellStyle name="20% - Accent5 2 2 2 5 2 4" xfId="13446" xr:uid="{D7A69778-5974-426D-891D-6E05E5537BDA}"/>
    <cellStyle name="20% - Accent5 2 2 2 5 2 5" xfId="30340" xr:uid="{55A7CB10-3C64-4B21-B2F1-6447DF2468F1}"/>
    <cellStyle name="20% - Accent5 2 2 2 5 3" xfId="6192" xr:uid="{00000000-0005-0000-0000-000094020000}"/>
    <cellStyle name="20% - Accent5 2 2 2 5 3 2" xfId="23965" xr:uid="{DC4D2E3C-8735-44D6-87A1-3CAD20260B54}"/>
    <cellStyle name="20% - Accent5 2 2 2 5 3 2 2" xfId="40859" xr:uid="{70BC8AEE-0DA0-40C0-B1B6-34462C0A0FB2}"/>
    <cellStyle name="20% - Accent5 2 2 2 5 3 3" xfId="15518" xr:uid="{9BCA6319-3EA0-42ED-B49E-6851C6FF0D7D}"/>
    <cellStyle name="20% - Accent5 2 2 2 5 3 4" xfId="32412" xr:uid="{22E07BDD-D015-48F3-A912-F60B1956CAD4}"/>
    <cellStyle name="20% - Accent5 2 2 2 5 4" xfId="19748" xr:uid="{43B08B20-4AC5-4DD2-911C-78C2AEA50774}"/>
    <cellStyle name="20% - Accent5 2 2 2 5 4 2" xfId="36642" xr:uid="{1108C16A-404D-48ED-AE31-B608EC087727}"/>
    <cellStyle name="20% - Accent5 2 2 2 5 5" xfId="11301" xr:uid="{D5E5D5BA-C104-4E5A-826A-A894A1211274}"/>
    <cellStyle name="20% - Accent5 2 2 2 5 6" xfId="28195" xr:uid="{3657850F-CD50-4C9C-899D-32B763FDFD2F}"/>
    <cellStyle name="20% - Accent5 2 2 2 6" xfId="2299" xr:uid="{00000000-0005-0000-0000-000095020000}"/>
    <cellStyle name="20% - Accent5 2 2 2 6 2" xfId="6605" xr:uid="{00000000-0005-0000-0000-000096020000}"/>
    <cellStyle name="20% - Accent5 2 2 2 6 2 2" xfId="24378" xr:uid="{6B08122A-CE5F-4821-A772-ACEAD26CE874}"/>
    <cellStyle name="20% - Accent5 2 2 2 6 2 2 2" xfId="41272" xr:uid="{B3450276-BB59-4FA4-B418-03BC8AB1A99A}"/>
    <cellStyle name="20% - Accent5 2 2 2 6 2 3" xfId="15931" xr:uid="{E899F0F3-CC0A-4586-B0B3-2D457F4AA33B}"/>
    <cellStyle name="20% - Accent5 2 2 2 6 2 4" xfId="32825" xr:uid="{7DC27D7E-40C0-4A19-B649-E01195F740A2}"/>
    <cellStyle name="20% - Accent5 2 2 2 6 3" xfId="20161" xr:uid="{C87980B3-D93D-4DD0-8352-80E4474E7A5F}"/>
    <cellStyle name="20% - Accent5 2 2 2 6 3 2" xfId="37055" xr:uid="{F899B89B-42BC-4C9D-A0BE-385596E2DBAB}"/>
    <cellStyle name="20% - Accent5 2 2 2 6 4" xfId="11714" xr:uid="{D1C3E7EC-25AD-4D11-BD85-65C574DB47B5}"/>
    <cellStyle name="20% - Accent5 2 2 2 6 5" xfId="28608" xr:uid="{73092DAE-BFA4-4B0B-BC46-17D35278988C}"/>
    <cellStyle name="20% - Accent5 2 2 2 7" xfId="4539" xr:uid="{00000000-0005-0000-0000-000097020000}"/>
    <cellStyle name="20% - Accent5 2 2 2 7 2" xfId="22312" xr:uid="{0785B808-04A9-49DB-814E-CD79C020F93C}"/>
    <cellStyle name="20% - Accent5 2 2 2 7 2 2" xfId="39206" xr:uid="{7555A42A-A591-458F-BC83-7B1910A9A0DA}"/>
    <cellStyle name="20% - Accent5 2 2 2 7 3" xfId="13865" xr:uid="{CC8088B6-4DDC-410F-89CD-8C1BF9AAF124}"/>
    <cellStyle name="20% - Accent5 2 2 2 7 4" xfId="30759" xr:uid="{2EDE50E7-E653-4338-91D4-9025436D6362}"/>
    <cellStyle name="20% - Accent5 2 2 2 8" xfId="9106" xr:uid="{E7B219CB-83A9-494A-83ED-783719A0F1D9}"/>
    <cellStyle name="20% - Accent5 2 2 2 8 2" xfId="18095" xr:uid="{ACB295C8-4B34-4BC6-9E3E-336A48B30B11}"/>
    <cellStyle name="20% - Accent5 2 2 2 8 3" xfId="34989" xr:uid="{4AD13DC8-2C50-4654-B960-81B87A248DCF}"/>
    <cellStyle name="20% - Accent5 2 2 2 9" xfId="9648" xr:uid="{E5C1F032-8CDF-4218-87EB-D5B615B2C0E6}"/>
    <cellStyle name="20% - Accent5 2 2 3" xfId="604" xr:uid="{00000000-0005-0000-0000-000098020000}"/>
    <cellStyle name="20% - Accent5 2 2 3 2" xfId="2875" xr:uid="{00000000-0005-0000-0000-000099020000}"/>
    <cellStyle name="20% - Accent5 2 2 3 2 2" xfId="7097" xr:uid="{00000000-0005-0000-0000-00009A020000}"/>
    <cellStyle name="20% - Accent5 2 2 3 2 2 2" xfId="24870" xr:uid="{3A692F92-9B3A-4BE0-B996-5CF09D09418F}"/>
    <cellStyle name="20% - Accent5 2 2 3 2 2 2 2" xfId="41764" xr:uid="{ADAF8986-C7A5-4E1B-A0E9-E85CA4519EFA}"/>
    <cellStyle name="20% - Accent5 2 2 3 2 2 3" xfId="16423" xr:uid="{9880BAA8-C8E4-4044-8598-220F7360D6D3}"/>
    <cellStyle name="20% - Accent5 2 2 3 2 2 4" xfId="33317" xr:uid="{94728FC6-DA3C-4D29-978A-3AEA37D4CDA8}"/>
    <cellStyle name="20% - Accent5 2 2 3 2 3" xfId="20653" xr:uid="{6BBB2034-88B9-463E-9AA2-C26A62F4C4D4}"/>
    <cellStyle name="20% - Accent5 2 2 3 2 3 2" xfId="37547" xr:uid="{10B54357-B00D-4B32-95CC-9B846AD7A9E0}"/>
    <cellStyle name="20% - Accent5 2 2 3 2 4" xfId="12206" xr:uid="{4B10E179-ADFF-48CC-9411-C427ABF38F9C}"/>
    <cellStyle name="20% - Accent5 2 2 3 2 5" xfId="29100" xr:uid="{2D7E5DCD-7F24-4583-946E-C40DE7F5F0AF}"/>
    <cellStyle name="20% - Accent5 2 2 3 3" xfId="4952" xr:uid="{00000000-0005-0000-0000-00009B020000}"/>
    <cellStyle name="20% - Accent5 2 2 3 3 2" xfId="22725" xr:uid="{1C54B4DC-D576-43E6-A02F-146CD4B36F71}"/>
    <cellStyle name="20% - Accent5 2 2 3 3 2 2" xfId="39619" xr:uid="{C202FFB4-A2E5-4F57-BCB6-A409C399BDDF}"/>
    <cellStyle name="20% - Accent5 2 2 3 3 3" xfId="14278" xr:uid="{FF3E76C7-8EBC-4ABA-BFA6-BBDE08AC8D6A}"/>
    <cellStyle name="20% - Accent5 2 2 3 3 4" xfId="31172" xr:uid="{3A6B26AC-F692-4BBF-A030-14CBBC26C893}"/>
    <cellStyle name="20% - Accent5 2 2 3 4" xfId="9324" xr:uid="{6094FEE1-8E2A-466F-9CDF-43EB9EE581FF}"/>
    <cellStyle name="20% - Accent5 2 2 3 4 2" xfId="18508" xr:uid="{B4DE6EAB-9DB8-4449-95AF-1A8AC2A99AC4}"/>
    <cellStyle name="20% - Accent5 2 2 3 4 3" xfId="35402" xr:uid="{1ED19473-453F-4822-B80E-ACF93A9C4A82}"/>
    <cellStyle name="20% - Accent5 2 2 3 5" xfId="10061" xr:uid="{1871090C-7685-4615-A693-31CE9F125578}"/>
    <cellStyle name="20% - Accent5 2 2 3 6" xfId="26955" xr:uid="{6E42B988-683A-4577-8D0D-AB5EC780312B}"/>
    <cellStyle name="20% - Accent5 2 2 4" xfId="1057" xr:uid="{00000000-0005-0000-0000-00009C020000}"/>
    <cellStyle name="20% - Accent5 2 2 4 2" xfId="3288" xr:uid="{00000000-0005-0000-0000-00009D020000}"/>
    <cellStyle name="20% - Accent5 2 2 4 2 2" xfId="7510" xr:uid="{00000000-0005-0000-0000-00009E020000}"/>
    <cellStyle name="20% - Accent5 2 2 4 2 2 2" xfId="25283" xr:uid="{672872E1-B942-40DF-BF3A-4F7E461E986A}"/>
    <cellStyle name="20% - Accent5 2 2 4 2 2 2 2" xfId="42177" xr:uid="{465A8364-65D7-4115-AA40-F04B2DB79486}"/>
    <cellStyle name="20% - Accent5 2 2 4 2 2 3" xfId="16836" xr:uid="{EE906334-C40E-40FA-A35E-2D360BF09FE5}"/>
    <cellStyle name="20% - Accent5 2 2 4 2 2 4" xfId="33730" xr:uid="{FFAB919A-0B16-4837-AB00-00E7D7F39599}"/>
    <cellStyle name="20% - Accent5 2 2 4 2 3" xfId="21066" xr:uid="{48A6C849-6515-4585-9A21-C09CED725C49}"/>
    <cellStyle name="20% - Accent5 2 2 4 2 3 2" xfId="37960" xr:uid="{654A556A-E741-45AF-9E2A-9361B8641C31}"/>
    <cellStyle name="20% - Accent5 2 2 4 2 4" xfId="12619" xr:uid="{BA2AB788-D164-4AB1-9633-098063BD50CD}"/>
    <cellStyle name="20% - Accent5 2 2 4 2 5" xfId="29513" xr:uid="{98947738-E919-42E5-A6E6-2327DD558867}"/>
    <cellStyle name="20% - Accent5 2 2 4 3" xfId="5365" xr:uid="{00000000-0005-0000-0000-00009F020000}"/>
    <cellStyle name="20% - Accent5 2 2 4 3 2" xfId="23138" xr:uid="{F3683497-2737-44EA-90E9-DC7376D7884B}"/>
    <cellStyle name="20% - Accent5 2 2 4 3 2 2" xfId="40032" xr:uid="{CF73DD8A-2C96-4E8D-B9DF-464BB374CB3D}"/>
    <cellStyle name="20% - Accent5 2 2 4 3 3" xfId="14691" xr:uid="{3759EF37-C056-4413-943E-58DB4B46C1CB}"/>
    <cellStyle name="20% - Accent5 2 2 4 3 4" xfId="31585" xr:uid="{E62809DD-0E1B-46B6-91E4-4E6A14941578}"/>
    <cellStyle name="20% - Accent5 2 2 4 4" xfId="18921" xr:uid="{CBC2EE95-B2B8-4B23-ACE1-D65070CE8221}"/>
    <cellStyle name="20% - Accent5 2 2 4 4 2" xfId="35815" xr:uid="{B0EEC9C0-1DB6-47B6-8404-ADE2C41ACD72}"/>
    <cellStyle name="20% - Accent5 2 2 4 5" xfId="10474" xr:uid="{894FC624-5BEA-4D0E-BC6F-F7E627DDF81B}"/>
    <cellStyle name="20% - Accent5 2 2 4 6" xfId="27368" xr:uid="{FD707D92-E7FB-417B-A110-D8E11E16D3C1}"/>
    <cellStyle name="20% - Accent5 2 2 5" xfId="1471" xr:uid="{00000000-0005-0000-0000-0000A0020000}"/>
    <cellStyle name="20% - Accent5 2 2 5 2" xfId="3701" xr:uid="{00000000-0005-0000-0000-0000A1020000}"/>
    <cellStyle name="20% - Accent5 2 2 5 2 2" xfId="7923" xr:uid="{00000000-0005-0000-0000-0000A2020000}"/>
    <cellStyle name="20% - Accent5 2 2 5 2 2 2" xfId="25696" xr:uid="{4A76733B-7935-437F-957B-1D803506B3FA}"/>
    <cellStyle name="20% - Accent5 2 2 5 2 2 2 2" xfId="42590" xr:uid="{6E759B97-C17D-4EAA-B9F8-978644037FFF}"/>
    <cellStyle name="20% - Accent5 2 2 5 2 2 3" xfId="17249" xr:uid="{41B77CA9-7467-4B20-B545-B27ABE20703E}"/>
    <cellStyle name="20% - Accent5 2 2 5 2 2 4" xfId="34143" xr:uid="{E16A130D-9EEE-41DF-AD6C-E9B9924A80DF}"/>
    <cellStyle name="20% - Accent5 2 2 5 2 3" xfId="21479" xr:uid="{D6A6B0EF-49CB-40CC-B431-7189DD1434C8}"/>
    <cellStyle name="20% - Accent5 2 2 5 2 3 2" xfId="38373" xr:uid="{948EAD20-34DE-4F4F-816F-54898703EC06}"/>
    <cellStyle name="20% - Accent5 2 2 5 2 4" xfId="13032" xr:uid="{E4BB5D2A-345C-46AD-93E8-AF0D82AC90C7}"/>
    <cellStyle name="20% - Accent5 2 2 5 2 5" xfId="29926" xr:uid="{1289575E-747A-4D9A-B8C6-DCA4480C43AE}"/>
    <cellStyle name="20% - Accent5 2 2 5 3" xfId="5778" xr:uid="{00000000-0005-0000-0000-0000A3020000}"/>
    <cellStyle name="20% - Accent5 2 2 5 3 2" xfId="23551" xr:uid="{76B9EC06-ABF7-4230-9F0E-01C4D6159AAD}"/>
    <cellStyle name="20% - Accent5 2 2 5 3 2 2" xfId="40445" xr:uid="{D31E9FC6-BB68-4459-880F-E4801DD878DD}"/>
    <cellStyle name="20% - Accent5 2 2 5 3 3" xfId="15104" xr:uid="{B7C15C47-4064-4469-94EA-D9B1334044FB}"/>
    <cellStyle name="20% - Accent5 2 2 5 3 4" xfId="31998" xr:uid="{7F489904-B793-4291-8A48-1CE6894496D5}"/>
    <cellStyle name="20% - Accent5 2 2 5 4" xfId="19334" xr:uid="{FDC1E254-5E74-4114-AE63-41662B085289}"/>
    <cellStyle name="20% - Accent5 2 2 5 4 2" xfId="36228" xr:uid="{D361DCC9-5C82-4982-85AC-1DF3F60FA82F}"/>
    <cellStyle name="20% - Accent5 2 2 5 5" xfId="10887" xr:uid="{FBA1FD09-6007-47EC-8720-EC3773A40D12}"/>
    <cellStyle name="20% - Accent5 2 2 5 6" xfId="27781" xr:uid="{2698A557-3D64-4E4D-9FB6-E42AEAF2E10F}"/>
    <cellStyle name="20% - Accent5 2 2 6" xfId="1885" xr:uid="{00000000-0005-0000-0000-0000A4020000}"/>
    <cellStyle name="20% - Accent5 2 2 6 2" xfId="4114" xr:uid="{00000000-0005-0000-0000-0000A5020000}"/>
    <cellStyle name="20% - Accent5 2 2 6 2 2" xfId="8336" xr:uid="{00000000-0005-0000-0000-0000A6020000}"/>
    <cellStyle name="20% - Accent5 2 2 6 2 2 2" xfId="26109" xr:uid="{B71E51B9-2AD2-4813-BEA0-AA6BBBA4BB99}"/>
    <cellStyle name="20% - Accent5 2 2 6 2 2 2 2" xfId="43003" xr:uid="{348FFCCF-3AA6-4EAE-848F-0F804D07A87D}"/>
    <cellStyle name="20% - Accent5 2 2 6 2 2 3" xfId="17662" xr:uid="{348ECC22-9484-4D4C-8065-A35722FDC561}"/>
    <cellStyle name="20% - Accent5 2 2 6 2 2 4" xfId="34556" xr:uid="{D3F34A57-E4ED-41A5-9E08-774087AA4A8A}"/>
    <cellStyle name="20% - Accent5 2 2 6 2 3" xfId="21892" xr:uid="{41AEDF9A-F6FC-479B-ABB8-0264479027F9}"/>
    <cellStyle name="20% - Accent5 2 2 6 2 3 2" xfId="38786" xr:uid="{3D7ED169-AFC7-49F7-B28D-CFB6494427A8}"/>
    <cellStyle name="20% - Accent5 2 2 6 2 4" xfId="13445" xr:uid="{98E47A27-DC17-45B5-B63D-131013F1B92B}"/>
    <cellStyle name="20% - Accent5 2 2 6 2 5" xfId="30339" xr:uid="{9FA34062-F94E-41BB-BAA1-EDFC224F3D61}"/>
    <cellStyle name="20% - Accent5 2 2 6 3" xfId="6191" xr:uid="{00000000-0005-0000-0000-0000A7020000}"/>
    <cellStyle name="20% - Accent5 2 2 6 3 2" xfId="23964" xr:uid="{43313758-5E45-443C-A6BA-A86FF5AFE6CB}"/>
    <cellStyle name="20% - Accent5 2 2 6 3 2 2" xfId="40858" xr:uid="{7B4BC42A-3899-4656-804C-C7AF53C24EDC}"/>
    <cellStyle name="20% - Accent5 2 2 6 3 3" xfId="15517" xr:uid="{D8C03094-6D75-4C77-A6F0-D15EA0F2C92F}"/>
    <cellStyle name="20% - Accent5 2 2 6 3 4" xfId="32411" xr:uid="{1952C40B-FEA4-41F4-ACDD-0D1BADE8F9E2}"/>
    <cellStyle name="20% - Accent5 2 2 6 4" xfId="19747" xr:uid="{8E2378DE-C246-4C8D-916B-AB9CE62F74BE}"/>
    <cellStyle name="20% - Accent5 2 2 6 4 2" xfId="36641" xr:uid="{B770B854-3F0E-48D4-B2E3-397B88816C8C}"/>
    <cellStyle name="20% - Accent5 2 2 6 5" xfId="11300" xr:uid="{74F1EB14-761F-4CF2-AEBC-0F817E8E5235}"/>
    <cellStyle name="20% - Accent5 2 2 6 6" xfId="28194" xr:uid="{A8F8D722-0727-4AEC-8288-3859FD2F4C7B}"/>
    <cellStyle name="20% - Accent5 2 2 7" xfId="2298" xr:uid="{00000000-0005-0000-0000-0000A8020000}"/>
    <cellStyle name="20% - Accent5 2 2 7 2" xfId="6604" xr:uid="{00000000-0005-0000-0000-0000A9020000}"/>
    <cellStyle name="20% - Accent5 2 2 7 2 2" xfId="24377" xr:uid="{C8E32CEA-BCBB-4A0A-8CFA-19468509889E}"/>
    <cellStyle name="20% - Accent5 2 2 7 2 2 2" xfId="41271" xr:uid="{89469907-08D0-4262-8B41-80BEFFA6D513}"/>
    <cellStyle name="20% - Accent5 2 2 7 2 3" xfId="15930" xr:uid="{694B830F-60AD-404F-97EA-89DBFBE7ADF5}"/>
    <cellStyle name="20% - Accent5 2 2 7 2 4" xfId="32824" xr:uid="{73289DB9-C05F-43A8-A4D4-71260D45CC06}"/>
    <cellStyle name="20% - Accent5 2 2 7 3" xfId="20160" xr:uid="{9853A1DC-C7D0-4947-A6AE-9AE653589F9C}"/>
    <cellStyle name="20% - Accent5 2 2 7 3 2" xfId="37054" xr:uid="{3CA95B5D-5A50-482B-AB78-D82CCBB03814}"/>
    <cellStyle name="20% - Accent5 2 2 7 4" xfId="11713" xr:uid="{3E01FF5A-E587-4907-B244-19C115D6A221}"/>
    <cellStyle name="20% - Accent5 2 2 7 5" xfId="28607" xr:uid="{6DA80826-5DC9-4DD0-B3F4-524CD4344385}"/>
    <cellStyle name="20% - Accent5 2 2 8" xfId="4538" xr:uid="{00000000-0005-0000-0000-0000AA020000}"/>
    <cellStyle name="20% - Accent5 2 2 8 2" xfId="22311" xr:uid="{44326EE3-46B0-4B86-823A-1615AEFB9C02}"/>
    <cellStyle name="20% - Accent5 2 2 8 2 2" xfId="39205" xr:uid="{D0B84A9B-52A4-44E4-BF39-646915E8F885}"/>
    <cellStyle name="20% - Accent5 2 2 8 3" xfId="13864" xr:uid="{AB1C4761-1A8A-4878-BD3A-5DAF85C2944C}"/>
    <cellStyle name="20% - Accent5 2 2 8 4" xfId="30758" xr:uid="{1ECF42A6-338D-4E93-9D9F-ABFF41D3FBC4}"/>
    <cellStyle name="20% - Accent5 2 2 9" xfId="8899" xr:uid="{0E8F9EC8-D565-41C9-B716-FF597FFF35B9}"/>
    <cellStyle name="20% - Accent5 2 2 9 2" xfId="18094" xr:uid="{78C1FA47-9E4E-41FB-9EBF-1422D0D02E54}"/>
    <cellStyle name="20% - Accent5 2 2 9 3" xfId="34988" xr:uid="{7569FA95-B24A-4429-B9E5-BD6CB34DFB64}"/>
    <cellStyle name="20% - Accent5 2 3" xfId="37" xr:uid="{00000000-0005-0000-0000-0000AB020000}"/>
    <cellStyle name="20% - Accent5 2 3 10" xfId="26543" xr:uid="{C4B92972-4442-4170-B17A-A8150E33A916}"/>
    <cellStyle name="20% - Accent5 2 3 2" xfId="606" xr:uid="{00000000-0005-0000-0000-0000AC020000}"/>
    <cellStyle name="20% - Accent5 2 3 2 2" xfId="2877" xr:uid="{00000000-0005-0000-0000-0000AD020000}"/>
    <cellStyle name="20% - Accent5 2 3 2 2 2" xfId="7099" xr:uid="{00000000-0005-0000-0000-0000AE020000}"/>
    <cellStyle name="20% - Accent5 2 3 2 2 2 2" xfId="24872" xr:uid="{EBA6148F-3A10-471E-8B83-A403153C6A3D}"/>
    <cellStyle name="20% - Accent5 2 3 2 2 2 2 2" xfId="41766" xr:uid="{B073100D-9DE0-4A9F-B37B-CB47F5797EBF}"/>
    <cellStyle name="20% - Accent5 2 3 2 2 2 3" xfId="16425" xr:uid="{64CC921B-AEA9-4A76-BE2E-3DB77DFCF7A6}"/>
    <cellStyle name="20% - Accent5 2 3 2 2 2 4" xfId="33319" xr:uid="{61AFEEA5-DC4D-400D-BFA4-8C7BCDF2360B}"/>
    <cellStyle name="20% - Accent5 2 3 2 2 3" xfId="20655" xr:uid="{8912718D-6E60-4540-9B8F-E93D5B620AE6}"/>
    <cellStyle name="20% - Accent5 2 3 2 2 3 2" xfId="37549" xr:uid="{8F6D6959-9AB5-4307-9041-2F98B6A61CF3}"/>
    <cellStyle name="20% - Accent5 2 3 2 2 4" xfId="12208" xr:uid="{06CC71FC-34B3-4558-8602-E7454A7A9029}"/>
    <cellStyle name="20% - Accent5 2 3 2 2 5" xfId="29102" xr:uid="{771ABE7D-3215-42D5-A889-040CB5D75940}"/>
    <cellStyle name="20% - Accent5 2 3 2 3" xfId="4954" xr:uid="{00000000-0005-0000-0000-0000AF020000}"/>
    <cellStyle name="20% - Accent5 2 3 2 3 2" xfId="22727" xr:uid="{212739E0-B978-46DC-9BB9-686320A36AF9}"/>
    <cellStyle name="20% - Accent5 2 3 2 3 2 2" xfId="39621" xr:uid="{80118316-D32D-4439-8835-EBB9606BF084}"/>
    <cellStyle name="20% - Accent5 2 3 2 3 3" xfId="14280" xr:uid="{7EA80853-DD4E-41D0-A5F6-9E449EE689A3}"/>
    <cellStyle name="20% - Accent5 2 3 2 3 4" xfId="31174" xr:uid="{DED0D212-AC4D-4B6D-B828-A90F91339E08}"/>
    <cellStyle name="20% - Accent5 2 3 2 4" xfId="9428" xr:uid="{B7820ACF-E1F3-4653-B5DD-FD829B169E84}"/>
    <cellStyle name="20% - Accent5 2 3 2 4 2" xfId="18510" xr:uid="{EB9BB3E4-C417-4D98-81F2-8A5E0037ECDC}"/>
    <cellStyle name="20% - Accent5 2 3 2 4 3" xfId="35404" xr:uid="{1DEDE793-9AF2-41DF-906D-9039B199D2A7}"/>
    <cellStyle name="20% - Accent5 2 3 2 5" xfId="10063" xr:uid="{A929FB23-2D28-4687-842E-6ED9C036B258}"/>
    <cellStyle name="20% - Accent5 2 3 2 6" xfId="26957" xr:uid="{0097BA6B-6712-4381-ABBC-66BFC006574F}"/>
    <cellStyle name="20% - Accent5 2 3 3" xfId="1059" xr:uid="{00000000-0005-0000-0000-0000B0020000}"/>
    <cellStyle name="20% - Accent5 2 3 3 2" xfId="3290" xr:uid="{00000000-0005-0000-0000-0000B1020000}"/>
    <cellStyle name="20% - Accent5 2 3 3 2 2" xfId="7512" xr:uid="{00000000-0005-0000-0000-0000B2020000}"/>
    <cellStyle name="20% - Accent5 2 3 3 2 2 2" xfId="25285" xr:uid="{BC89C157-8A26-4C14-9D9C-205BCF0A4CED}"/>
    <cellStyle name="20% - Accent5 2 3 3 2 2 2 2" xfId="42179" xr:uid="{6499A33E-58E4-47DB-9CB1-3079573E9FF3}"/>
    <cellStyle name="20% - Accent5 2 3 3 2 2 3" xfId="16838" xr:uid="{F1998A5D-46FD-48C9-A8C1-3AFE3679FB3D}"/>
    <cellStyle name="20% - Accent5 2 3 3 2 2 4" xfId="33732" xr:uid="{D4946552-7FB1-49C1-81F4-4CAF369F8F37}"/>
    <cellStyle name="20% - Accent5 2 3 3 2 3" xfId="21068" xr:uid="{0C97D725-0073-43D5-AA64-AB735287A44A}"/>
    <cellStyle name="20% - Accent5 2 3 3 2 3 2" xfId="37962" xr:uid="{5044E84A-C7A2-49B3-A41D-31E3E0E835F4}"/>
    <cellStyle name="20% - Accent5 2 3 3 2 4" xfId="12621" xr:uid="{3A8AEE4F-B65D-446E-9876-7739FFC01BE2}"/>
    <cellStyle name="20% - Accent5 2 3 3 2 5" xfId="29515" xr:uid="{243E7CEC-BA06-4D35-B852-3BF15EF207A1}"/>
    <cellStyle name="20% - Accent5 2 3 3 3" xfId="5367" xr:uid="{00000000-0005-0000-0000-0000B3020000}"/>
    <cellStyle name="20% - Accent5 2 3 3 3 2" xfId="23140" xr:uid="{34D6A16E-B020-44AF-8898-24321FDD7EE6}"/>
    <cellStyle name="20% - Accent5 2 3 3 3 2 2" xfId="40034" xr:uid="{C2E25312-B2D4-4626-A8CB-43AC891FE08A}"/>
    <cellStyle name="20% - Accent5 2 3 3 3 3" xfId="14693" xr:uid="{40B62469-DB90-46F0-BDD1-E5976D1EC9DD}"/>
    <cellStyle name="20% - Accent5 2 3 3 3 4" xfId="31587" xr:uid="{24C2C033-CD70-4137-8A11-2E62E278C92F}"/>
    <cellStyle name="20% - Accent5 2 3 3 4" xfId="18923" xr:uid="{D4A45DF0-12C7-4842-8F4D-3D04B0DCB1EF}"/>
    <cellStyle name="20% - Accent5 2 3 3 4 2" xfId="35817" xr:uid="{D90D7995-DAC6-47F0-8243-6DE9BE2593DE}"/>
    <cellStyle name="20% - Accent5 2 3 3 5" xfId="10476" xr:uid="{89B67A2B-39CA-480C-A7CB-DDAEBA0D92E0}"/>
    <cellStyle name="20% - Accent5 2 3 3 6" xfId="27370" xr:uid="{6AE68D2B-A159-400A-A03A-9B612704B48F}"/>
    <cellStyle name="20% - Accent5 2 3 4" xfId="1473" xr:uid="{00000000-0005-0000-0000-0000B4020000}"/>
    <cellStyle name="20% - Accent5 2 3 4 2" xfId="3703" xr:uid="{00000000-0005-0000-0000-0000B5020000}"/>
    <cellStyle name="20% - Accent5 2 3 4 2 2" xfId="7925" xr:uid="{00000000-0005-0000-0000-0000B6020000}"/>
    <cellStyle name="20% - Accent5 2 3 4 2 2 2" xfId="25698" xr:uid="{705E6C7A-791F-44F5-9792-84C9918FD6A9}"/>
    <cellStyle name="20% - Accent5 2 3 4 2 2 2 2" xfId="42592" xr:uid="{A0D85093-CB60-4B52-909F-3EFE8634549E}"/>
    <cellStyle name="20% - Accent5 2 3 4 2 2 3" xfId="17251" xr:uid="{07A77C5C-03BA-45FD-A603-FD04E1C6F9D0}"/>
    <cellStyle name="20% - Accent5 2 3 4 2 2 4" xfId="34145" xr:uid="{E0DB40F7-7A82-4FCD-921E-4C2F82BAE882}"/>
    <cellStyle name="20% - Accent5 2 3 4 2 3" xfId="21481" xr:uid="{C2BCBFAD-2EA1-4141-BFD7-6AB3097BAE96}"/>
    <cellStyle name="20% - Accent5 2 3 4 2 3 2" xfId="38375" xr:uid="{2DE4F6EF-8B1C-4B9D-9D43-14C5D17F3756}"/>
    <cellStyle name="20% - Accent5 2 3 4 2 4" xfId="13034" xr:uid="{B24FF928-BC5E-4228-BC1F-C34038C57D9A}"/>
    <cellStyle name="20% - Accent5 2 3 4 2 5" xfId="29928" xr:uid="{987E516E-BDD4-4C85-B6CA-7A4D74F44511}"/>
    <cellStyle name="20% - Accent5 2 3 4 3" xfId="5780" xr:uid="{00000000-0005-0000-0000-0000B7020000}"/>
    <cellStyle name="20% - Accent5 2 3 4 3 2" xfId="23553" xr:uid="{3DAD3109-F773-4DA1-B45C-8597C03FEC1C}"/>
    <cellStyle name="20% - Accent5 2 3 4 3 2 2" xfId="40447" xr:uid="{805DBD45-572F-4C25-AB95-E719CEFC381B}"/>
    <cellStyle name="20% - Accent5 2 3 4 3 3" xfId="15106" xr:uid="{05FD41E8-40C2-4E52-A0E3-8F2A4C1DC272}"/>
    <cellStyle name="20% - Accent5 2 3 4 3 4" xfId="32000" xr:uid="{D73BEFFC-3872-4F21-83A1-5EF9507C5DDD}"/>
    <cellStyle name="20% - Accent5 2 3 4 4" xfId="19336" xr:uid="{5023690A-2DDD-4362-A00A-D066DB23C9E3}"/>
    <cellStyle name="20% - Accent5 2 3 4 4 2" xfId="36230" xr:uid="{2CB89E94-AAEC-47A2-8701-2F2761423686}"/>
    <cellStyle name="20% - Accent5 2 3 4 5" xfId="10889" xr:uid="{D8D8FA0E-AEF7-4A11-9960-B159B3E7E95D}"/>
    <cellStyle name="20% - Accent5 2 3 4 6" xfId="27783" xr:uid="{03A00ED1-BDB5-47C9-9495-F16F18F229F1}"/>
    <cellStyle name="20% - Accent5 2 3 5" xfId="1887" xr:uid="{00000000-0005-0000-0000-0000B8020000}"/>
    <cellStyle name="20% - Accent5 2 3 5 2" xfId="4116" xr:uid="{00000000-0005-0000-0000-0000B9020000}"/>
    <cellStyle name="20% - Accent5 2 3 5 2 2" xfId="8338" xr:uid="{00000000-0005-0000-0000-0000BA020000}"/>
    <cellStyle name="20% - Accent5 2 3 5 2 2 2" xfId="26111" xr:uid="{9B9C5DB9-092F-44EF-9616-055996EABEB1}"/>
    <cellStyle name="20% - Accent5 2 3 5 2 2 2 2" xfId="43005" xr:uid="{29DB5291-0222-4CD7-BD62-E76EBD62F8B8}"/>
    <cellStyle name="20% - Accent5 2 3 5 2 2 3" xfId="17664" xr:uid="{D4456B59-BBB9-4928-93C9-B998B5007C2E}"/>
    <cellStyle name="20% - Accent5 2 3 5 2 2 4" xfId="34558" xr:uid="{A7BD631F-5ABF-4AE0-A3DF-89301CC9C90C}"/>
    <cellStyle name="20% - Accent5 2 3 5 2 3" xfId="21894" xr:uid="{F9DEC257-4294-43DF-86B0-E5798B8557FF}"/>
    <cellStyle name="20% - Accent5 2 3 5 2 3 2" xfId="38788" xr:uid="{D5870B21-CC1C-4659-BCDB-12330463446A}"/>
    <cellStyle name="20% - Accent5 2 3 5 2 4" xfId="13447" xr:uid="{EA3E988C-0C84-40FF-9A18-1C4DF4845BD6}"/>
    <cellStyle name="20% - Accent5 2 3 5 2 5" xfId="30341" xr:uid="{DFD5DA6C-84C1-4F49-A064-C81A037D9C0C}"/>
    <cellStyle name="20% - Accent5 2 3 5 3" xfId="6193" xr:uid="{00000000-0005-0000-0000-0000BB020000}"/>
    <cellStyle name="20% - Accent5 2 3 5 3 2" xfId="23966" xr:uid="{0E5AAB86-D0B3-4D63-A9BD-6D693649B645}"/>
    <cellStyle name="20% - Accent5 2 3 5 3 2 2" xfId="40860" xr:uid="{144AF6ED-4980-4C4E-A698-9BD1C37E8173}"/>
    <cellStyle name="20% - Accent5 2 3 5 3 3" xfId="15519" xr:uid="{DCA63D89-11BD-47DB-B53C-4F2E4819C561}"/>
    <cellStyle name="20% - Accent5 2 3 5 3 4" xfId="32413" xr:uid="{A908D9BA-EB75-4D23-B827-F69CEB99BF28}"/>
    <cellStyle name="20% - Accent5 2 3 5 4" xfId="19749" xr:uid="{60A7807E-AFCF-492D-842D-4154372C987F}"/>
    <cellStyle name="20% - Accent5 2 3 5 4 2" xfId="36643" xr:uid="{AA642AD0-421C-41E9-B120-85FD003039F8}"/>
    <cellStyle name="20% - Accent5 2 3 5 5" xfId="11302" xr:uid="{ECE218A2-3C99-49A8-99FC-4912EE4ACFD7}"/>
    <cellStyle name="20% - Accent5 2 3 5 6" xfId="28196" xr:uid="{B76EFC37-AD5D-488C-95ED-B66C671DA06E}"/>
    <cellStyle name="20% - Accent5 2 3 6" xfId="2300" xr:uid="{00000000-0005-0000-0000-0000BC020000}"/>
    <cellStyle name="20% - Accent5 2 3 6 2" xfId="6606" xr:uid="{00000000-0005-0000-0000-0000BD020000}"/>
    <cellStyle name="20% - Accent5 2 3 6 2 2" xfId="24379" xr:uid="{6E67BDB2-E76B-4126-9918-4310D8DDEF98}"/>
    <cellStyle name="20% - Accent5 2 3 6 2 2 2" xfId="41273" xr:uid="{7C913493-DDD2-42F5-899E-36BBEC3AB846}"/>
    <cellStyle name="20% - Accent5 2 3 6 2 3" xfId="15932" xr:uid="{5AF3082F-AFD3-4D21-90C2-1FAEF1C8C7B4}"/>
    <cellStyle name="20% - Accent5 2 3 6 2 4" xfId="32826" xr:uid="{1B14AD40-68A7-4D8E-90A0-8F40480A38D7}"/>
    <cellStyle name="20% - Accent5 2 3 6 3" xfId="20162" xr:uid="{E46183EE-BCA8-4BCF-9332-57E248EFE9EE}"/>
    <cellStyle name="20% - Accent5 2 3 6 3 2" xfId="37056" xr:uid="{91302DA8-A3A2-4DCA-97BA-8B9404D21ACA}"/>
    <cellStyle name="20% - Accent5 2 3 6 4" xfId="11715" xr:uid="{EAA94A23-4D45-4BAB-AD98-FFD6002A8040}"/>
    <cellStyle name="20% - Accent5 2 3 6 5" xfId="28609" xr:uid="{46CDA0E7-8784-41B3-B0AD-A5F84486D25F}"/>
    <cellStyle name="20% - Accent5 2 3 7" xfId="4540" xr:uid="{00000000-0005-0000-0000-0000BE020000}"/>
    <cellStyle name="20% - Accent5 2 3 7 2" xfId="22313" xr:uid="{F6A517E6-6C5F-4FFD-AE7F-2D46215B632A}"/>
    <cellStyle name="20% - Accent5 2 3 7 2 2" xfId="39207" xr:uid="{977B013C-410B-40AE-B5FC-AE83D93FB18D}"/>
    <cellStyle name="20% - Accent5 2 3 7 3" xfId="13866" xr:uid="{544E69B2-6158-46E2-8AAA-D43531D8F02D}"/>
    <cellStyle name="20% - Accent5 2 3 7 4" xfId="30760" xr:uid="{5DE61820-DC49-4120-92B6-68E7E3FCFC05}"/>
    <cellStyle name="20% - Accent5 2 3 8" xfId="9003" xr:uid="{9830E7D1-E361-4BA3-A986-3DCE647EEF8E}"/>
    <cellStyle name="20% - Accent5 2 3 8 2" xfId="18096" xr:uid="{116A7C60-B728-40E9-9523-5EFE761E02AA}"/>
    <cellStyle name="20% - Accent5 2 3 8 3" xfId="34990" xr:uid="{AC3C8056-D9BB-4624-BB16-D24281EB831F}"/>
    <cellStyle name="20% - Accent5 2 3 9" xfId="9649" xr:uid="{C6721437-8ABD-4BF5-B3D8-A0B91A10FBB6}"/>
    <cellStyle name="20% - Accent5 2 4" xfId="603" xr:uid="{00000000-0005-0000-0000-0000BF020000}"/>
    <cellStyle name="20% - Accent5 2 4 2" xfId="2874" xr:uid="{00000000-0005-0000-0000-0000C0020000}"/>
    <cellStyle name="20% - Accent5 2 4 2 2" xfId="7096" xr:uid="{00000000-0005-0000-0000-0000C1020000}"/>
    <cellStyle name="20% - Accent5 2 4 2 2 2" xfId="24869" xr:uid="{EF62E7CA-4B59-4538-B58F-5682F796E5F6}"/>
    <cellStyle name="20% - Accent5 2 4 2 2 2 2" xfId="41763" xr:uid="{5BA168EA-EE3C-4DC8-B198-C6DDB6884800}"/>
    <cellStyle name="20% - Accent5 2 4 2 2 3" xfId="16422" xr:uid="{66E09F11-2295-4130-900C-AE819195804B}"/>
    <cellStyle name="20% - Accent5 2 4 2 2 4" xfId="33316" xr:uid="{F243190E-6988-441F-836D-50216D1E5605}"/>
    <cellStyle name="20% - Accent5 2 4 2 3" xfId="20652" xr:uid="{7362C993-4655-4E5A-91F1-7249587E1255}"/>
    <cellStyle name="20% - Accent5 2 4 2 3 2" xfId="37546" xr:uid="{AE1652D4-63D3-4051-8615-63E761BFEF36}"/>
    <cellStyle name="20% - Accent5 2 4 2 4" xfId="12205" xr:uid="{9F677F71-DAFC-476A-900D-B5C8ADE7244A}"/>
    <cellStyle name="20% - Accent5 2 4 2 5" xfId="29099" xr:uid="{DD254E42-76BB-4CCD-B7F6-A1835031444E}"/>
    <cellStyle name="20% - Accent5 2 4 3" xfId="4951" xr:uid="{00000000-0005-0000-0000-0000C2020000}"/>
    <cellStyle name="20% - Accent5 2 4 3 2" xfId="22724" xr:uid="{744F9001-397C-45CE-B6ED-D27B49C62CA5}"/>
    <cellStyle name="20% - Accent5 2 4 3 2 2" xfId="39618" xr:uid="{DDD49AAB-B02D-4F8D-B06C-D4BF37F1139B}"/>
    <cellStyle name="20% - Accent5 2 4 3 3" xfId="14277" xr:uid="{0C295269-F7C8-41A2-B4FE-9045A3404A48}"/>
    <cellStyle name="20% - Accent5 2 4 3 4" xfId="31171" xr:uid="{AF198DF3-AEF2-4F65-96E0-9A44705FFA06}"/>
    <cellStyle name="20% - Accent5 2 4 4" xfId="9220" xr:uid="{A7B88928-FE72-4C1B-B74E-3CA76DBA84CC}"/>
    <cellStyle name="20% - Accent5 2 4 4 2" xfId="18507" xr:uid="{BDC79117-54FC-463D-8DE8-4D96837ABA1C}"/>
    <cellStyle name="20% - Accent5 2 4 4 3" xfId="35401" xr:uid="{F6144FC2-8017-4ED0-AFFC-50984954B8FC}"/>
    <cellStyle name="20% - Accent5 2 4 5" xfId="10060" xr:uid="{C5C39048-F843-4D0E-BAC1-8D6266B3F0E7}"/>
    <cellStyle name="20% - Accent5 2 4 6" xfId="26954" xr:uid="{C4ACE79B-E0C1-43A7-8917-EE8E96DE908A}"/>
    <cellStyle name="20% - Accent5 2 5" xfId="1056" xr:uid="{00000000-0005-0000-0000-0000C3020000}"/>
    <cellStyle name="20% - Accent5 2 5 2" xfId="3287" xr:uid="{00000000-0005-0000-0000-0000C4020000}"/>
    <cellStyle name="20% - Accent5 2 5 2 2" xfId="7509" xr:uid="{00000000-0005-0000-0000-0000C5020000}"/>
    <cellStyle name="20% - Accent5 2 5 2 2 2" xfId="25282" xr:uid="{C7FB0B8F-30DB-4814-8C09-EB3AC6FB8D59}"/>
    <cellStyle name="20% - Accent5 2 5 2 2 2 2" xfId="42176" xr:uid="{B212A6EA-048D-4D46-8F7D-937C629C6322}"/>
    <cellStyle name="20% - Accent5 2 5 2 2 3" xfId="16835" xr:uid="{2B4B058C-FC7C-4ED2-9487-B02391EE0CC3}"/>
    <cellStyle name="20% - Accent5 2 5 2 2 4" xfId="33729" xr:uid="{D1A47D49-6E1D-4640-8851-B60C6AFDFF75}"/>
    <cellStyle name="20% - Accent5 2 5 2 3" xfId="21065" xr:uid="{55E6BFEE-BC4F-4CB4-B429-FFC7AE8D0443}"/>
    <cellStyle name="20% - Accent5 2 5 2 3 2" xfId="37959" xr:uid="{A1277EAA-CE58-4FB3-80EB-4052B5E05C72}"/>
    <cellStyle name="20% - Accent5 2 5 2 4" xfId="12618" xr:uid="{16A0A617-0676-401D-872B-E2EE1C6BCFDB}"/>
    <cellStyle name="20% - Accent5 2 5 2 5" xfId="29512" xr:uid="{3695DCDD-CDC9-4D2A-B373-FBBE395B8F14}"/>
    <cellStyle name="20% - Accent5 2 5 3" xfId="5364" xr:uid="{00000000-0005-0000-0000-0000C6020000}"/>
    <cellStyle name="20% - Accent5 2 5 3 2" xfId="23137" xr:uid="{79D2EF4A-1BE1-4744-924A-AD53B0DFFCC4}"/>
    <cellStyle name="20% - Accent5 2 5 3 2 2" xfId="40031" xr:uid="{5FBD7934-8725-4BD5-BCBD-CAAD0A93B8B2}"/>
    <cellStyle name="20% - Accent5 2 5 3 3" xfId="14690" xr:uid="{6DA68B9B-9E52-4D89-AC07-89C1CB8E60F7}"/>
    <cellStyle name="20% - Accent5 2 5 3 4" xfId="31584" xr:uid="{B1F3A258-FBFE-452F-9C5E-9E6E8C761285}"/>
    <cellStyle name="20% - Accent5 2 5 4" xfId="18920" xr:uid="{C3ABA94A-2DAC-4018-9B5E-5674CC14ADD8}"/>
    <cellStyle name="20% - Accent5 2 5 4 2" xfId="35814" xr:uid="{309AE982-86F3-43F3-B44D-93AAD4F1D2BA}"/>
    <cellStyle name="20% - Accent5 2 5 5" xfId="10473" xr:uid="{73813D5D-856F-40AE-9DCF-9DC10AF2D702}"/>
    <cellStyle name="20% - Accent5 2 5 6" xfId="27367" xr:uid="{4B90BDEA-E310-4B3C-83C4-1CBF21737D07}"/>
    <cellStyle name="20% - Accent5 2 6" xfId="1470" xr:uid="{00000000-0005-0000-0000-0000C7020000}"/>
    <cellStyle name="20% - Accent5 2 6 2" xfId="3700" xr:uid="{00000000-0005-0000-0000-0000C8020000}"/>
    <cellStyle name="20% - Accent5 2 6 2 2" xfId="7922" xr:uid="{00000000-0005-0000-0000-0000C9020000}"/>
    <cellStyle name="20% - Accent5 2 6 2 2 2" xfId="25695" xr:uid="{D1DEA5DE-D589-4007-B764-3A8C0F65C549}"/>
    <cellStyle name="20% - Accent5 2 6 2 2 2 2" xfId="42589" xr:uid="{503EBF4D-7E19-469E-991F-659D34E2B5A4}"/>
    <cellStyle name="20% - Accent5 2 6 2 2 3" xfId="17248" xr:uid="{37F0844E-CD9A-44FE-8A35-36DC717B6C07}"/>
    <cellStyle name="20% - Accent5 2 6 2 2 4" xfId="34142" xr:uid="{ED4D8B80-4205-4AD4-981F-B5DB093432F9}"/>
    <cellStyle name="20% - Accent5 2 6 2 3" xfId="21478" xr:uid="{BCB6EA2A-1A9E-4D1C-9FB3-5D9AA2CBA4B6}"/>
    <cellStyle name="20% - Accent5 2 6 2 3 2" xfId="38372" xr:uid="{6E8E344E-A0CE-4621-B537-9866E7CF4D1F}"/>
    <cellStyle name="20% - Accent5 2 6 2 4" xfId="13031" xr:uid="{DEA0126D-AC83-4C59-BE28-96580E245704}"/>
    <cellStyle name="20% - Accent5 2 6 2 5" xfId="29925" xr:uid="{E653704A-48C6-4721-A6BC-88AF9C1C20E1}"/>
    <cellStyle name="20% - Accent5 2 6 3" xfId="5777" xr:uid="{00000000-0005-0000-0000-0000CA020000}"/>
    <cellStyle name="20% - Accent5 2 6 3 2" xfId="23550" xr:uid="{012BB28F-E763-4D69-B760-055A8E9ABBD8}"/>
    <cellStyle name="20% - Accent5 2 6 3 2 2" xfId="40444" xr:uid="{A73C1F33-5E9B-4EF8-907D-4B6A182C3DA2}"/>
    <cellStyle name="20% - Accent5 2 6 3 3" xfId="15103" xr:uid="{45DA53A9-796F-444E-8A98-3283972117D1}"/>
    <cellStyle name="20% - Accent5 2 6 3 4" xfId="31997" xr:uid="{F3A5B30A-E9F9-4B16-A763-2EB2C9AF28AE}"/>
    <cellStyle name="20% - Accent5 2 6 4" xfId="19333" xr:uid="{462063B8-8B40-4165-813A-DDC3C465BD1E}"/>
    <cellStyle name="20% - Accent5 2 6 4 2" xfId="36227" xr:uid="{70272D9B-797D-4785-A265-51260627CB35}"/>
    <cellStyle name="20% - Accent5 2 6 5" xfId="10886" xr:uid="{5F5F9814-0A19-45CA-A1CA-8915B17B6B1F}"/>
    <cellStyle name="20% - Accent5 2 6 6" xfId="27780" xr:uid="{1E21FCF7-A4F6-4506-A601-E7E0D790C87A}"/>
    <cellStyle name="20% - Accent5 2 7" xfId="1884" xr:uid="{00000000-0005-0000-0000-0000CB020000}"/>
    <cellStyle name="20% - Accent5 2 7 2" xfId="4113" xr:uid="{00000000-0005-0000-0000-0000CC020000}"/>
    <cellStyle name="20% - Accent5 2 7 2 2" xfId="8335" xr:uid="{00000000-0005-0000-0000-0000CD020000}"/>
    <cellStyle name="20% - Accent5 2 7 2 2 2" xfId="26108" xr:uid="{94291E0B-1403-4F06-B965-1C8832FC42EE}"/>
    <cellStyle name="20% - Accent5 2 7 2 2 2 2" xfId="43002" xr:uid="{8FBBA522-E719-4152-BA10-2286C29D5EA8}"/>
    <cellStyle name="20% - Accent5 2 7 2 2 3" xfId="17661" xr:uid="{A1D43442-2D6A-4DFC-ACAD-09FEE053FA7F}"/>
    <cellStyle name="20% - Accent5 2 7 2 2 4" xfId="34555" xr:uid="{F31F79D0-6E43-47EA-ADEA-CF08FF188B5A}"/>
    <cellStyle name="20% - Accent5 2 7 2 3" xfId="21891" xr:uid="{2171FA12-D233-4781-BAB0-93BEB400B446}"/>
    <cellStyle name="20% - Accent5 2 7 2 3 2" xfId="38785" xr:uid="{3656088A-4C58-49BE-B61F-C9E742572F09}"/>
    <cellStyle name="20% - Accent5 2 7 2 4" xfId="13444" xr:uid="{B66186AB-DE20-4F63-8692-42270EBBD904}"/>
    <cellStyle name="20% - Accent5 2 7 2 5" xfId="30338" xr:uid="{38498575-68D1-4191-9CD0-B27909B3C69C}"/>
    <cellStyle name="20% - Accent5 2 7 3" xfId="6190" xr:uid="{00000000-0005-0000-0000-0000CE020000}"/>
    <cellStyle name="20% - Accent5 2 7 3 2" xfId="23963" xr:uid="{D87E6BB1-55F7-417F-A2C8-E1BA7CFAFB09}"/>
    <cellStyle name="20% - Accent5 2 7 3 2 2" xfId="40857" xr:uid="{E999131C-AA51-41CA-B561-E5FDAF69FFBB}"/>
    <cellStyle name="20% - Accent5 2 7 3 3" xfId="15516" xr:uid="{CD946ED8-0006-4895-A3CD-4F9ECBDB629F}"/>
    <cellStyle name="20% - Accent5 2 7 3 4" xfId="32410" xr:uid="{699AEB5D-E61C-41BF-987B-B86FB21FF133}"/>
    <cellStyle name="20% - Accent5 2 7 4" xfId="19746" xr:uid="{EAD467F6-F979-471B-BE79-3FD14C1AAF29}"/>
    <cellStyle name="20% - Accent5 2 7 4 2" xfId="36640" xr:uid="{85A1EAEA-A8F3-4371-9F71-F651BE950C4F}"/>
    <cellStyle name="20% - Accent5 2 7 5" xfId="11299" xr:uid="{BCF4628E-1927-4E5D-ACEE-C7D96F00DDFA}"/>
    <cellStyle name="20% - Accent5 2 7 6" xfId="28193" xr:uid="{4723808A-B2F7-4186-ABC8-C4D0DBE91845}"/>
    <cellStyle name="20% - Accent5 2 8" xfId="2297" xr:uid="{00000000-0005-0000-0000-0000CF020000}"/>
    <cellStyle name="20% - Accent5 2 8 2" xfId="6603" xr:uid="{00000000-0005-0000-0000-0000D0020000}"/>
    <cellStyle name="20% - Accent5 2 8 2 2" xfId="24376" xr:uid="{15AADB8D-2CBC-40A2-B9F4-82D4516F38B8}"/>
    <cellStyle name="20% - Accent5 2 8 2 2 2" xfId="41270" xr:uid="{B8BF2F79-133F-4A65-B18A-2B0408764D01}"/>
    <cellStyle name="20% - Accent5 2 8 2 3" xfId="15929" xr:uid="{8ACDD1A1-EC86-45BA-8F1D-0CE03DDED197}"/>
    <cellStyle name="20% - Accent5 2 8 2 4" xfId="32823" xr:uid="{99FAE4C8-C17D-420F-85CB-4693558080D9}"/>
    <cellStyle name="20% - Accent5 2 8 3" xfId="20159" xr:uid="{0C26A697-B29C-4C32-A793-7DE74D4AD296}"/>
    <cellStyle name="20% - Accent5 2 8 3 2" xfId="37053" xr:uid="{073A80A6-3905-4E39-85EC-D545D5FA290F}"/>
    <cellStyle name="20% - Accent5 2 8 4" xfId="11712" xr:uid="{98BF5052-DA1C-4D98-8EBB-FB060AB93FA7}"/>
    <cellStyle name="20% - Accent5 2 8 5" xfId="28606" xr:uid="{38595D77-504B-4127-B8AF-DF48FB21277B}"/>
    <cellStyle name="20% - Accent5 2 9" xfId="4537" xr:uid="{00000000-0005-0000-0000-0000D1020000}"/>
    <cellStyle name="20% - Accent5 2 9 2" xfId="22310" xr:uid="{0EA1A697-B6BB-4E8D-B73A-E0688CDD6A02}"/>
    <cellStyle name="20% - Accent5 2 9 2 2" xfId="39204" xr:uid="{CB098DD5-5826-4AF2-AFD8-6ECCF2DFD7AE}"/>
    <cellStyle name="20% - Accent5 2 9 3" xfId="13863" xr:uid="{643C2747-B50D-4BA0-87D4-8288F7D09B2F}"/>
    <cellStyle name="20% - Accent5 2 9 4" xfId="30757" xr:uid="{9B080568-9956-499A-B017-AF64B870BACF}"/>
    <cellStyle name="20% - Accent5 3" xfId="38" xr:uid="{00000000-0005-0000-0000-0000D2020000}"/>
    <cellStyle name="20% - Accent5 3 10" xfId="9650" xr:uid="{F6F77CC2-59A6-496E-ABA6-5CC9B55EFDB3}"/>
    <cellStyle name="20% - Accent5 3 11" xfId="26544" xr:uid="{B0691724-3857-4133-BC2A-5D3474503A6B}"/>
    <cellStyle name="20% - Accent5 3 2" xfId="39" xr:uid="{00000000-0005-0000-0000-0000D3020000}"/>
    <cellStyle name="20% - Accent5 3 2 10" xfId="26545" xr:uid="{493CFB77-DB9D-4B6C-A8EC-FC27DF93641A}"/>
    <cellStyle name="20% - Accent5 3 2 2" xfId="608" xr:uid="{00000000-0005-0000-0000-0000D4020000}"/>
    <cellStyle name="20% - Accent5 3 2 2 2" xfId="2879" xr:uid="{00000000-0005-0000-0000-0000D5020000}"/>
    <cellStyle name="20% - Accent5 3 2 2 2 2" xfId="7101" xr:uid="{00000000-0005-0000-0000-0000D6020000}"/>
    <cellStyle name="20% - Accent5 3 2 2 2 2 2" xfId="24874" xr:uid="{897FDD4D-70EB-41D5-9D01-D228AC1F3EFD}"/>
    <cellStyle name="20% - Accent5 3 2 2 2 2 2 2" xfId="41768" xr:uid="{19FDCD63-03CD-4226-A024-D6C8D29AF81D}"/>
    <cellStyle name="20% - Accent5 3 2 2 2 2 3" xfId="16427" xr:uid="{233C1FD9-CE5D-46E3-8CB5-EFE5F43C5549}"/>
    <cellStyle name="20% - Accent5 3 2 2 2 2 4" xfId="33321" xr:uid="{A65758C2-0C6C-40BD-99B7-E7A8E986C8E6}"/>
    <cellStyle name="20% - Accent5 3 2 2 2 3" xfId="20657" xr:uid="{8FBDE92E-B20C-49C7-9707-5341B3750D74}"/>
    <cellStyle name="20% - Accent5 3 2 2 2 3 2" xfId="37551" xr:uid="{53349114-6ED2-480A-A9E8-58B09F3EC79E}"/>
    <cellStyle name="20% - Accent5 3 2 2 2 4" xfId="12210" xr:uid="{DC600713-B226-4591-A53C-3AC98F0AEC44}"/>
    <cellStyle name="20% - Accent5 3 2 2 2 5" xfId="29104" xr:uid="{738CE40A-F045-48E2-ACB1-8D4F50CA43D3}"/>
    <cellStyle name="20% - Accent5 3 2 2 3" xfId="4956" xr:uid="{00000000-0005-0000-0000-0000D7020000}"/>
    <cellStyle name="20% - Accent5 3 2 2 3 2" xfId="22729" xr:uid="{9B3AC6EC-AA9A-4DC6-A0C6-C08B7FD3CA6B}"/>
    <cellStyle name="20% - Accent5 3 2 2 3 2 2" xfId="39623" xr:uid="{0C946059-CD33-4788-86CF-7625C73AC008}"/>
    <cellStyle name="20% - Accent5 3 2 2 3 3" xfId="14282" xr:uid="{51367AF8-4333-4FFB-96C9-AB2C1DF8F00E}"/>
    <cellStyle name="20% - Accent5 3 2 2 3 4" xfId="31176" xr:uid="{58E69B54-42DE-4A79-90E5-269CBDB24EA4}"/>
    <cellStyle name="20% - Accent5 3 2 2 4" xfId="9501" xr:uid="{82A590A5-96D4-476E-8E6F-D81EEE08C409}"/>
    <cellStyle name="20% - Accent5 3 2 2 4 2" xfId="18512" xr:uid="{1F6F43D2-81E3-4CE6-BAB8-1E07A4C972FC}"/>
    <cellStyle name="20% - Accent5 3 2 2 4 3" xfId="35406" xr:uid="{B2723660-8B95-4DA2-9621-0655611EDFB3}"/>
    <cellStyle name="20% - Accent5 3 2 2 5" xfId="10065" xr:uid="{BF4159D6-8E0A-401D-AFFD-48841C16BB71}"/>
    <cellStyle name="20% - Accent5 3 2 2 6" xfId="26959" xr:uid="{34996BF5-3E48-485A-959D-9F063455F3D1}"/>
    <cellStyle name="20% - Accent5 3 2 3" xfId="1061" xr:uid="{00000000-0005-0000-0000-0000D8020000}"/>
    <cellStyle name="20% - Accent5 3 2 3 2" xfId="3292" xr:uid="{00000000-0005-0000-0000-0000D9020000}"/>
    <cellStyle name="20% - Accent5 3 2 3 2 2" xfId="7514" xr:uid="{00000000-0005-0000-0000-0000DA020000}"/>
    <cellStyle name="20% - Accent5 3 2 3 2 2 2" xfId="25287" xr:uid="{72B585A9-8497-4AC0-9883-443D5680D7C3}"/>
    <cellStyle name="20% - Accent5 3 2 3 2 2 2 2" xfId="42181" xr:uid="{556F1B02-73F1-4BD6-8BB1-2C2EB8FE770E}"/>
    <cellStyle name="20% - Accent5 3 2 3 2 2 3" xfId="16840" xr:uid="{A6B13B4B-5041-4188-AC3F-9F8D0C7E6E51}"/>
    <cellStyle name="20% - Accent5 3 2 3 2 2 4" xfId="33734" xr:uid="{858EC0D6-49A5-48A5-8ED0-7E01E929F6FA}"/>
    <cellStyle name="20% - Accent5 3 2 3 2 3" xfId="21070" xr:uid="{DE2EFAFB-5B70-4F67-A40D-C14DE4F47FA5}"/>
    <cellStyle name="20% - Accent5 3 2 3 2 3 2" xfId="37964" xr:uid="{BA0F343A-5324-49B4-B241-30191A39E739}"/>
    <cellStyle name="20% - Accent5 3 2 3 2 4" xfId="12623" xr:uid="{E5805F28-7917-439D-A8CC-46AFA4BA712E}"/>
    <cellStyle name="20% - Accent5 3 2 3 2 5" xfId="29517" xr:uid="{52434AFA-E087-43CA-A20F-53B10D0BD534}"/>
    <cellStyle name="20% - Accent5 3 2 3 3" xfId="5369" xr:uid="{00000000-0005-0000-0000-0000DB020000}"/>
    <cellStyle name="20% - Accent5 3 2 3 3 2" xfId="23142" xr:uid="{07EF438E-73D6-469B-9CE8-EF56F131D4BB}"/>
    <cellStyle name="20% - Accent5 3 2 3 3 2 2" xfId="40036" xr:uid="{5B9AD6D6-78B2-4C05-8FF7-40A11FB0C0DE}"/>
    <cellStyle name="20% - Accent5 3 2 3 3 3" xfId="14695" xr:uid="{D89F017A-CF76-4481-B918-F1D402F499D5}"/>
    <cellStyle name="20% - Accent5 3 2 3 3 4" xfId="31589" xr:uid="{5E791636-D333-49F3-9875-C1FB22F67C5A}"/>
    <cellStyle name="20% - Accent5 3 2 3 4" xfId="18925" xr:uid="{69DA6D9E-6C38-4CEA-90B1-2A06FD404BE2}"/>
    <cellStyle name="20% - Accent5 3 2 3 4 2" xfId="35819" xr:uid="{BF68E5F0-F5F0-4C05-94B3-A9E138660F9A}"/>
    <cellStyle name="20% - Accent5 3 2 3 5" xfId="10478" xr:uid="{6CAB9053-A0A6-4F7A-8CD1-A536D6955C9E}"/>
    <cellStyle name="20% - Accent5 3 2 3 6" xfId="27372" xr:uid="{D497A27B-2582-4BC7-8BFA-906E143D4E43}"/>
    <cellStyle name="20% - Accent5 3 2 4" xfId="1475" xr:uid="{00000000-0005-0000-0000-0000DC020000}"/>
    <cellStyle name="20% - Accent5 3 2 4 2" xfId="3705" xr:uid="{00000000-0005-0000-0000-0000DD020000}"/>
    <cellStyle name="20% - Accent5 3 2 4 2 2" xfId="7927" xr:uid="{00000000-0005-0000-0000-0000DE020000}"/>
    <cellStyle name="20% - Accent5 3 2 4 2 2 2" xfId="25700" xr:uid="{292DDC37-F4F2-433F-83CF-1ED5AAA219EB}"/>
    <cellStyle name="20% - Accent5 3 2 4 2 2 2 2" xfId="42594" xr:uid="{150A2823-0D97-4535-A50F-C7CF0AFD2720}"/>
    <cellStyle name="20% - Accent5 3 2 4 2 2 3" xfId="17253" xr:uid="{4DBE88F3-EC48-4FA0-A870-5C13C50631DA}"/>
    <cellStyle name="20% - Accent5 3 2 4 2 2 4" xfId="34147" xr:uid="{D5A67748-E04A-4A46-B697-236863AEA8C4}"/>
    <cellStyle name="20% - Accent5 3 2 4 2 3" xfId="21483" xr:uid="{8D9CC784-22AB-4D6C-AF72-5F386EEB6013}"/>
    <cellStyle name="20% - Accent5 3 2 4 2 3 2" xfId="38377" xr:uid="{F10CF0DF-9A78-4ED3-8F27-AEF6AAD6FFCE}"/>
    <cellStyle name="20% - Accent5 3 2 4 2 4" xfId="13036" xr:uid="{71E496C8-CD99-43A1-9A20-5FC21A0C74CE}"/>
    <cellStyle name="20% - Accent5 3 2 4 2 5" xfId="29930" xr:uid="{89B6ED0F-A276-4373-AF63-B46D3B0DC272}"/>
    <cellStyle name="20% - Accent5 3 2 4 3" xfId="5782" xr:uid="{00000000-0005-0000-0000-0000DF020000}"/>
    <cellStyle name="20% - Accent5 3 2 4 3 2" xfId="23555" xr:uid="{8178BCC7-CC6D-436E-A7CC-627943ACB4E5}"/>
    <cellStyle name="20% - Accent5 3 2 4 3 2 2" xfId="40449" xr:uid="{3AFEC502-E39D-4389-83C9-8BBB4B09AA16}"/>
    <cellStyle name="20% - Accent5 3 2 4 3 3" xfId="15108" xr:uid="{5E1E34D0-9409-413D-9815-58D3363E3121}"/>
    <cellStyle name="20% - Accent5 3 2 4 3 4" xfId="32002" xr:uid="{B8167777-C4A9-4E53-9B9C-1CA8F7D40102}"/>
    <cellStyle name="20% - Accent5 3 2 4 4" xfId="19338" xr:uid="{78BE13E3-1B85-4521-A8E5-C475DEACBF7F}"/>
    <cellStyle name="20% - Accent5 3 2 4 4 2" xfId="36232" xr:uid="{F8E690C4-9FB0-4030-A69D-680B84A1D9E5}"/>
    <cellStyle name="20% - Accent5 3 2 4 5" xfId="10891" xr:uid="{E4510B47-4A1A-432B-A8DC-E6A97B3A8C8F}"/>
    <cellStyle name="20% - Accent5 3 2 4 6" xfId="27785" xr:uid="{83621524-52D7-4371-86C7-616B63DFD731}"/>
    <cellStyle name="20% - Accent5 3 2 5" xfId="1889" xr:uid="{00000000-0005-0000-0000-0000E0020000}"/>
    <cellStyle name="20% - Accent5 3 2 5 2" xfId="4118" xr:uid="{00000000-0005-0000-0000-0000E1020000}"/>
    <cellStyle name="20% - Accent5 3 2 5 2 2" xfId="8340" xr:uid="{00000000-0005-0000-0000-0000E2020000}"/>
    <cellStyle name="20% - Accent5 3 2 5 2 2 2" xfId="26113" xr:uid="{32CD84E5-DD72-457D-B53E-37B375394383}"/>
    <cellStyle name="20% - Accent5 3 2 5 2 2 2 2" xfId="43007" xr:uid="{AF8D682B-A92A-4516-BE0F-313ED8495A10}"/>
    <cellStyle name="20% - Accent5 3 2 5 2 2 3" xfId="17666" xr:uid="{19976A75-56B2-403E-93A1-7AEA9437FCDA}"/>
    <cellStyle name="20% - Accent5 3 2 5 2 2 4" xfId="34560" xr:uid="{C120CDA4-8A22-4F15-98F5-FCBA35324954}"/>
    <cellStyle name="20% - Accent5 3 2 5 2 3" xfId="21896" xr:uid="{BF068EE0-8798-4E82-A1C0-2FFEA201E7F8}"/>
    <cellStyle name="20% - Accent5 3 2 5 2 3 2" xfId="38790" xr:uid="{09A0F02D-CDEC-48FD-8988-B03B34CC2C56}"/>
    <cellStyle name="20% - Accent5 3 2 5 2 4" xfId="13449" xr:uid="{B8F584F8-F8D8-4505-9957-A33EDF7590E4}"/>
    <cellStyle name="20% - Accent5 3 2 5 2 5" xfId="30343" xr:uid="{2EFCF123-31D3-4AF6-A73A-9AD6D1AECEC8}"/>
    <cellStyle name="20% - Accent5 3 2 5 3" xfId="6195" xr:uid="{00000000-0005-0000-0000-0000E3020000}"/>
    <cellStyle name="20% - Accent5 3 2 5 3 2" xfId="23968" xr:uid="{5FF8FCBC-4342-4C0C-A697-84DE047C0DA5}"/>
    <cellStyle name="20% - Accent5 3 2 5 3 2 2" xfId="40862" xr:uid="{2D1901E8-C5F2-4015-8BEA-440D44AB1C4F}"/>
    <cellStyle name="20% - Accent5 3 2 5 3 3" xfId="15521" xr:uid="{24EB0145-5668-4A3F-8600-B1DDA3487FDE}"/>
    <cellStyle name="20% - Accent5 3 2 5 3 4" xfId="32415" xr:uid="{27D5CC7D-5544-4CEC-99AD-18DAA3CB8D56}"/>
    <cellStyle name="20% - Accent5 3 2 5 4" xfId="19751" xr:uid="{DB63CF43-4764-41A2-B576-7ECADEC628AE}"/>
    <cellStyle name="20% - Accent5 3 2 5 4 2" xfId="36645" xr:uid="{24A02873-5C6D-4246-B58E-EE568509CBCA}"/>
    <cellStyle name="20% - Accent5 3 2 5 5" xfId="11304" xr:uid="{18377B9D-CA2A-4A3F-A3FC-99947AC139EF}"/>
    <cellStyle name="20% - Accent5 3 2 5 6" xfId="28198" xr:uid="{33F5E55B-89B5-4CDF-9E2C-9585AF7B7F05}"/>
    <cellStyle name="20% - Accent5 3 2 6" xfId="2302" xr:uid="{00000000-0005-0000-0000-0000E4020000}"/>
    <cellStyle name="20% - Accent5 3 2 6 2" xfId="6608" xr:uid="{00000000-0005-0000-0000-0000E5020000}"/>
    <cellStyle name="20% - Accent5 3 2 6 2 2" xfId="24381" xr:uid="{59BD0A52-3906-4692-8B67-1A23DE824596}"/>
    <cellStyle name="20% - Accent5 3 2 6 2 2 2" xfId="41275" xr:uid="{D3BCB6AE-7432-4D27-A36C-62A603BA4789}"/>
    <cellStyle name="20% - Accent5 3 2 6 2 3" xfId="15934" xr:uid="{8170261D-F7AC-4FFA-8DC5-63981B571C19}"/>
    <cellStyle name="20% - Accent5 3 2 6 2 4" xfId="32828" xr:uid="{28F52DAB-B03D-43B6-8E5C-5595789FE4F7}"/>
    <cellStyle name="20% - Accent5 3 2 6 3" xfId="20164" xr:uid="{950A8112-1D88-4B91-9FDC-AD0C591F8B62}"/>
    <cellStyle name="20% - Accent5 3 2 6 3 2" xfId="37058" xr:uid="{5F051BBF-EC34-4007-A1B5-2ACA13B319F6}"/>
    <cellStyle name="20% - Accent5 3 2 6 4" xfId="11717" xr:uid="{D7996178-46CC-43AA-93F5-9AE1C4B0A96D}"/>
    <cellStyle name="20% - Accent5 3 2 6 5" xfId="28611" xr:uid="{C11EE835-F239-4F4B-9F93-DFAA4864A0E5}"/>
    <cellStyle name="20% - Accent5 3 2 7" xfId="4542" xr:uid="{00000000-0005-0000-0000-0000E6020000}"/>
    <cellStyle name="20% - Accent5 3 2 7 2" xfId="22315" xr:uid="{BEAD716E-01BC-485C-87BF-EE92C1B8725E}"/>
    <cellStyle name="20% - Accent5 3 2 7 2 2" xfId="39209" xr:uid="{6797EA9B-839F-4CA3-AC54-9981C3328A3C}"/>
    <cellStyle name="20% - Accent5 3 2 7 3" xfId="13868" xr:uid="{603E7F6A-0E4A-4FED-B25F-0F2553A7B7A9}"/>
    <cellStyle name="20% - Accent5 3 2 7 4" xfId="30762" xr:uid="{4F5D4AC6-B2B3-4810-9A0C-044BE5E80A2B}"/>
    <cellStyle name="20% - Accent5 3 2 8" xfId="9076" xr:uid="{BEDF1D01-35A3-4513-9363-9C1AFC748168}"/>
    <cellStyle name="20% - Accent5 3 2 8 2" xfId="18098" xr:uid="{9FFD85F4-C97A-41DA-8640-01BFF9ED34D3}"/>
    <cellStyle name="20% - Accent5 3 2 8 3" xfId="34992" xr:uid="{BC370C94-E24A-4DA2-A174-877EEBD74AA4}"/>
    <cellStyle name="20% - Accent5 3 2 9" xfId="9651" xr:uid="{ECD1EF94-1935-48C4-A4F5-3F200114EA90}"/>
    <cellStyle name="20% - Accent5 3 3" xfId="607" xr:uid="{00000000-0005-0000-0000-0000E7020000}"/>
    <cellStyle name="20% - Accent5 3 3 2" xfId="2878" xr:uid="{00000000-0005-0000-0000-0000E8020000}"/>
    <cellStyle name="20% - Accent5 3 3 2 2" xfId="7100" xr:uid="{00000000-0005-0000-0000-0000E9020000}"/>
    <cellStyle name="20% - Accent5 3 3 2 2 2" xfId="24873" xr:uid="{D25872D2-F4DE-4882-8452-304C4FCBEDF6}"/>
    <cellStyle name="20% - Accent5 3 3 2 2 2 2" xfId="41767" xr:uid="{E1CFA8B9-564F-41CC-B4B6-464DBDEC5F69}"/>
    <cellStyle name="20% - Accent5 3 3 2 2 3" xfId="16426" xr:uid="{F85663D4-82F6-451E-96E5-AA0C7CC4F794}"/>
    <cellStyle name="20% - Accent5 3 3 2 2 4" xfId="33320" xr:uid="{220C38F3-A1B6-4609-9160-C04A1D42A729}"/>
    <cellStyle name="20% - Accent5 3 3 2 3" xfId="20656" xr:uid="{BF35B169-404D-4EBF-900E-69458317B7A4}"/>
    <cellStyle name="20% - Accent5 3 3 2 3 2" xfId="37550" xr:uid="{DB95B978-C274-4D89-B14C-1A014D2F7D8F}"/>
    <cellStyle name="20% - Accent5 3 3 2 4" xfId="12209" xr:uid="{75947C0C-3144-418A-A44F-ED2100019503}"/>
    <cellStyle name="20% - Accent5 3 3 2 5" xfId="29103" xr:uid="{F57B4F74-CE0B-41B8-8576-A8618840BA93}"/>
    <cellStyle name="20% - Accent5 3 3 3" xfId="4955" xr:uid="{00000000-0005-0000-0000-0000EA020000}"/>
    <cellStyle name="20% - Accent5 3 3 3 2" xfId="22728" xr:uid="{565A0D81-7213-478A-9DCA-9DC9A6489A1A}"/>
    <cellStyle name="20% - Accent5 3 3 3 2 2" xfId="39622" xr:uid="{D8A61AC6-2A6F-4CE5-9D31-5FBA6E54F422}"/>
    <cellStyle name="20% - Accent5 3 3 3 3" xfId="14281" xr:uid="{09D69BCC-5AC3-40F3-B3FE-7B0064AF59CE}"/>
    <cellStyle name="20% - Accent5 3 3 3 4" xfId="31175" xr:uid="{C7EA4327-0627-4080-8529-4864B6FC2F27}"/>
    <cellStyle name="20% - Accent5 3 3 4" xfId="9294" xr:uid="{124960EA-C7A4-4686-BF67-47D6C57F7EEB}"/>
    <cellStyle name="20% - Accent5 3 3 4 2" xfId="18511" xr:uid="{2F0C4148-113C-4558-90C4-6D5F9D4D0E08}"/>
    <cellStyle name="20% - Accent5 3 3 4 3" xfId="35405" xr:uid="{B4C8ED70-2D3D-4D8F-BE58-332E55729E8A}"/>
    <cellStyle name="20% - Accent5 3 3 5" xfId="10064" xr:uid="{7F3F4383-CF87-4B4D-99E9-1DEA91EA5B7D}"/>
    <cellStyle name="20% - Accent5 3 3 6" xfId="26958" xr:uid="{8B10630D-502E-4B98-B714-6D020888B4A8}"/>
    <cellStyle name="20% - Accent5 3 4" xfId="1060" xr:uid="{00000000-0005-0000-0000-0000EB020000}"/>
    <cellStyle name="20% - Accent5 3 4 2" xfId="3291" xr:uid="{00000000-0005-0000-0000-0000EC020000}"/>
    <cellStyle name="20% - Accent5 3 4 2 2" xfId="7513" xr:uid="{00000000-0005-0000-0000-0000ED020000}"/>
    <cellStyle name="20% - Accent5 3 4 2 2 2" xfId="25286" xr:uid="{11AC754D-DB96-4DF9-AEA1-2000A89563FA}"/>
    <cellStyle name="20% - Accent5 3 4 2 2 2 2" xfId="42180" xr:uid="{DCB09FAC-9BFA-4971-9271-6994B28470EE}"/>
    <cellStyle name="20% - Accent5 3 4 2 2 3" xfId="16839" xr:uid="{D18FA81A-CEBD-4525-BBD4-83588412FE38}"/>
    <cellStyle name="20% - Accent5 3 4 2 2 4" xfId="33733" xr:uid="{87B3F4F0-9B06-4CDC-B8DE-D2C30B94BFB3}"/>
    <cellStyle name="20% - Accent5 3 4 2 3" xfId="21069" xr:uid="{32EEE730-87AD-4542-A3D7-3E6CBC5386A5}"/>
    <cellStyle name="20% - Accent5 3 4 2 3 2" xfId="37963" xr:uid="{4373A798-8758-40CC-9396-35CCDFAE1A90}"/>
    <cellStyle name="20% - Accent5 3 4 2 4" xfId="12622" xr:uid="{B0928E74-5C29-4FE7-902A-919B1760921D}"/>
    <cellStyle name="20% - Accent5 3 4 2 5" xfId="29516" xr:uid="{42DB4EC9-785C-4073-8BD8-C45B47544F4E}"/>
    <cellStyle name="20% - Accent5 3 4 3" xfId="5368" xr:uid="{00000000-0005-0000-0000-0000EE020000}"/>
    <cellStyle name="20% - Accent5 3 4 3 2" xfId="23141" xr:uid="{D91E190F-B72D-448A-BC53-B97D26EF6A09}"/>
    <cellStyle name="20% - Accent5 3 4 3 2 2" xfId="40035" xr:uid="{5AA4E276-A1F5-4977-9EA0-C61DB1161455}"/>
    <cellStyle name="20% - Accent5 3 4 3 3" xfId="14694" xr:uid="{DD12C173-8FC3-42AA-9E88-FA5CFCA0E397}"/>
    <cellStyle name="20% - Accent5 3 4 3 4" xfId="31588" xr:uid="{DFD84A38-4D47-42A3-928C-A52122BE5BF0}"/>
    <cellStyle name="20% - Accent5 3 4 4" xfId="18924" xr:uid="{9E12AE55-2DCD-4575-B642-16F0B0EA3664}"/>
    <cellStyle name="20% - Accent5 3 4 4 2" xfId="35818" xr:uid="{42253043-C164-4B03-9D14-4F9E705C87D7}"/>
    <cellStyle name="20% - Accent5 3 4 5" xfId="10477" xr:uid="{C342A02D-B21C-438E-A73F-1D25D7458409}"/>
    <cellStyle name="20% - Accent5 3 4 6" xfId="27371" xr:uid="{E39C5C8F-9BB1-4C55-B16E-C57440360366}"/>
    <cellStyle name="20% - Accent5 3 5" xfId="1474" xr:uid="{00000000-0005-0000-0000-0000EF020000}"/>
    <cellStyle name="20% - Accent5 3 5 2" xfId="3704" xr:uid="{00000000-0005-0000-0000-0000F0020000}"/>
    <cellStyle name="20% - Accent5 3 5 2 2" xfId="7926" xr:uid="{00000000-0005-0000-0000-0000F1020000}"/>
    <cellStyle name="20% - Accent5 3 5 2 2 2" xfId="25699" xr:uid="{D6E5DB40-965E-4045-B0B3-3432B8B6A583}"/>
    <cellStyle name="20% - Accent5 3 5 2 2 2 2" xfId="42593" xr:uid="{8884480E-2DB1-49C1-BE1B-3C1011376F0A}"/>
    <cellStyle name="20% - Accent5 3 5 2 2 3" xfId="17252" xr:uid="{0FD0F052-A21C-496B-8716-C8AF123F3DBE}"/>
    <cellStyle name="20% - Accent5 3 5 2 2 4" xfId="34146" xr:uid="{B6F3EA90-9E66-4F5E-B5AE-7BF214DEF05B}"/>
    <cellStyle name="20% - Accent5 3 5 2 3" xfId="21482" xr:uid="{21F29FFD-1E5B-4F89-B746-F36580A64307}"/>
    <cellStyle name="20% - Accent5 3 5 2 3 2" xfId="38376" xr:uid="{3462D0BC-A525-480E-8A09-6659FFC6B6DE}"/>
    <cellStyle name="20% - Accent5 3 5 2 4" xfId="13035" xr:uid="{6D833D86-9EA2-4907-8D53-C365BD256603}"/>
    <cellStyle name="20% - Accent5 3 5 2 5" xfId="29929" xr:uid="{D4930F72-666F-4054-9999-9BAB576F27AF}"/>
    <cellStyle name="20% - Accent5 3 5 3" xfId="5781" xr:uid="{00000000-0005-0000-0000-0000F2020000}"/>
    <cellStyle name="20% - Accent5 3 5 3 2" xfId="23554" xr:uid="{3B4ED201-705E-46EC-BB46-BF42DD5AC15A}"/>
    <cellStyle name="20% - Accent5 3 5 3 2 2" xfId="40448" xr:uid="{D10011AB-CB2A-4B70-9BF9-C2302300F48F}"/>
    <cellStyle name="20% - Accent5 3 5 3 3" xfId="15107" xr:uid="{AE692EB2-F550-4914-AD79-8F5690D4038E}"/>
    <cellStyle name="20% - Accent5 3 5 3 4" xfId="32001" xr:uid="{6A328357-78FD-4D99-B693-F8A5F63DC510}"/>
    <cellStyle name="20% - Accent5 3 5 4" xfId="19337" xr:uid="{2FF06F26-F94D-408E-834D-6EFE10D552B1}"/>
    <cellStyle name="20% - Accent5 3 5 4 2" xfId="36231" xr:uid="{FC367E4C-78A2-469B-AAE8-E2BA520D55A5}"/>
    <cellStyle name="20% - Accent5 3 5 5" xfId="10890" xr:uid="{B42D7CBA-7447-42EE-A913-C5EA4E2ADF82}"/>
    <cellStyle name="20% - Accent5 3 5 6" xfId="27784" xr:uid="{EC7D2EF1-C80C-442E-B2CE-2E37EDE1AF6C}"/>
    <cellStyle name="20% - Accent5 3 6" xfId="1888" xr:uid="{00000000-0005-0000-0000-0000F3020000}"/>
    <cellStyle name="20% - Accent5 3 6 2" xfId="4117" xr:uid="{00000000-0005-0000-0000-0000F4020000}"/>
    <cellStyle name="20% - Accent5 3 6 2 2" xfId="8339" xr:uid="{00000000-0005-0000-0000-0000F5020000}"/>
    <cellStyle name="20% - Accent5 3 6 2 2 2" xfId="26112" xr:uid="{EC2C83C5-BBFD-4DCF-A3E6-6F781F42AF3F}"/>
    <cellStyle name="20% - Accent5 3 6 2 2 2 2" xfId="43006" xr:uid="{32BC331A-6905-4F1D-9555-3DB10D7B7292}"/>
    <cellStyle name="20% - Accent5 3 6 2 2 3" xfId="17665" xr:uid="{5A191E8A-9B74-4C73-98C8-EF41D7C3A43D}"/>
    <cellStyle name="20% - Accent5 3 6 2 2 4" xfId="34559" xr:uid="{6F083DD1-06AE-4EEA-884B-DA079DF15D60}"/>
    <cellStyle name="20% - Accent5 3 6 2 3" xfId="21895" xr:uid="{67FF544C-7FA7-4EDE-9FFA-90BACAE267F8}"/>
    <cellStyle name="20% - Accent5 3 6 2 3 2" xfId="38789" xr:uid="{3B5E91FD-262C-47DB-8095-A3EE1F236351}"/>
    <cellStyle name="20% - Accent5 3 6 2 4" xfId="13448" xr:uid="{48BD6757-079D-42A9-9BA1-B6FA1ECDC60F}"/>
    <cellStyle name="20% - Accent5 3 6 2 5" xfId="30342" xr:uid="{AC3C96CF-4216-4EF6-B168-4A2D513566E8}"/>
    <cellStyle name="20% - Accent5 3 6 3" xfId="6194" xr:uid="{00000000-0005-0000-0000-0000F6020000}"/>
    <cellStyle name="20% - Accent5 3 6 3 2" xfId="23967" xr:uid="{6C18E64F-FD51-4216-85E8-EBAF99169632}"/>
    <cellStyle name="20% - Accent5 3 6 3 2 2" xfId="40861" xr:uid="{835F0FC7-3F5C-433F-8CEE-7A25FB8C034F}"/>
    <cellStyle name="20% - Accent5 3 6 3 3" xfId="15520" xr:uid="{448CA9A0-2EB4-463D-B4AB-2041ABC82979}"/>
    <cellStyle name="20% - Accent5 3 6 3 4" xfId="32414" xr:uid="{375B61A0-C02E-4976-BDA4-05F41D973384}"/>
    <cellStyle name="20% - Accent5 3 6 4" xfId="19750" xr:uid="{46D8B1D1-A992-480D-894A-612ED9AB5C06}"/>
    <cellStyle name="20% - Accent5 3 6 4 2" xfId="36644" xr:uid="{D6113584-4CB1-4F36-9B78-C4C1BA3BC9E4}"/>
    <cellStyle name="20% - Accent5 3 6 5" xfId="11303" xr:uid="{1295DC76-7EAD-47CF-AFE1-3BCCDB78037E}"/>
    <cellStyle name="20% - Accent5 3 6 6" xfId="28197" xr:uid="{AE82157F-C791-4995-A59A-8ADCADEFDC82}"/>
    <cellStyle name="20% - Accent5 3 7" xfId="2301" xr:uid="{00000000-0005-0000-0000-0000F7020000}"/>
    <cellStyle name="20% - Accent5 3 7 2" xfId="6607" xr:uid="{00000000-0005-0000-0000-0000F8020000}"/>
    <cellStyle name="20% - Accent5 3 7 2 2" xfId="24380" xr:uid="{F4A8BC8F-07DC-47CC-8FD7-E0653F8FB356}"/>
    <cellStyle name="20% - Accent5 3 7 2 2 2" xfId="41274" xr:uid="{1247FCB8-F935-469A-B6DF-8BDF70C9AD85}"/>
    <cellStyle name="20% - Accent5 3 7 2 3" xfId="15933" xr:uid="{C98D7757-A6AC-490E-8074-644666DBA47C}"/>
    <cellStyle name="20% - Accent5 3 7 2 4" xfId="32827" xr:uid="{18DCB5F2-6508-41DC-96A5-5A239DCE12EC}"/>
    <cellStyle name="20% - Accent5 3 7 3" xfId="20163" xr:uid="{58924D1A-97FF-495F-BC6C-2617BF1F4854}"/>
    <cellStyle name="20% - Accent5 3 7 3 2" xfId="37057" xr:uid="{B1BF129C-B666-4A17-80CD-53165BF1F643}"/>
    <cellStyle name="20% - Accent5 3 7 4" xfId="11716" xr:uid="{D589B74D-A5B7-4B2D-A807-9534737DB3E7}"/>
    <cellStyle name="20% - Accent5 3 7 5" xfId="28610" xr:uid="{E72F6982-5CF5-460A-AE0E-8737D2180F18}"/>
    <cellStyle name="20% - Accent5 3 8" xfId="4541" xr:uid="{00000000-0005-0000-0000-0000F9020000}"/>
    <cellStyle name="20% - Accent5 3 8 2" xfId="22314" xr:uid="{55FAD021-1593-4674-B048-3953C752F24C}"/>
    <cellStyle name="20% - Accent5 3 8 2 2" xfId="39208" xr:uid="{96661B21-C90F-46F7-BC2F-E789A6868A71}"/>
    <cellStyle name="20% - Accent5 3 8 3" xfId="13867" xr:uid="{35FD65F1-9EB1-45A3-BCB2-7D97508E276C}"/>
    <cellStyle name="20% - Accent5 3 8 4" xfId="30761" xr:uid="{716C5D3A-FA47-4D86-815A-91C5F57CE384}"/>
    <cellStyle name="20% - Accent5 3 9" xfId="8869" xr:uid="{43CC8A87-AEEB-4E51-98E7-F8AE8D86AD2B}"/>
    <cellStyle name="20% - Accent5 3 9 2" xfId="18097" xr:uid="{F3FFFE4C-1406-4B15-859B-F14B920102A9}"/>
    <cellStyle name="20% - Accent5 3 9 3" xfId="34991" xr:uid="{67523443-4EEA-449E-91C4-1E5088CF7566}"/>
    <cellStyle name="20% - Accent5 4" xfId="40" xr:uid="{00000000-0005-0000-0000-0000FA020000}"/>
    <cellStyle name="20% - Accent5 4 10" xfId="26546" xr:uid="{A1CAF825-060B-4233-95E6-03B7988AE69E}"/>
    <cellStyle name="20% - Accent5 4 2" xfId="609" xr:uid="{00000000-0005-0000-0000-0000FB020000}"/>
    <cellStyle name="20% - Accent5 4 2 2" xfId="2880" xr:uid="{00000000-0005-0000-0000-0000FC020000}"/>
    <cellStyle name="20% - Accent5 4 2 2 2" xfId="7102" xr:uid="{00000000-0005-0000-0000-0000FD020000}"/>
    <cellStyle name="20% - Accent5 4 2 2 2 2" xfId="24875" xr:uid="{F7E1F01C-1AF1-4882-93B9-012484E35A39}"/>
    <cellStyle name="20% - Accent5 4 2 2 2 2 2" xfId="41769" xr:uid="{843AADE5-AB54-4E0E-A1B5-1AB430FA3071}"/>
    <cellStyle name="20% - Accent5 4 2 2 2 3" xfId="16428" xr:uid="{78DEF4CC-6D82-4FF3-94DE-806A42959BAB}"/>
    <cellStyle name="20% - Accent5 4 2 2 2 4" xfId="33322" xr:uid="{6818EAF2-7EC3-4B46-85BB-4957C1E641AB}"/>
    <cellStyle name="20% - Accent5 4 2 2 3" xfId="20658" xr:uid="{D2E327C5-11E9-47E3-B573-1C276180C1DE}"/>
    <cellStyle name="20% - Accent5 4 2 2 3 2" xfId="37552" xr:uid="{8354D1BA-CF25-40D7-804E-5D1D989C7064}"/>
    <cellStyle name="20% - Accent5 4 2 2 4" xfId="12211" xr:uid="{2DCE7873-EE4A-4227-BAED-78DF207A754C}"/>
    <cellStyle name="20% - Accent5 4 2 2 5" xfId="29105" xr:uid="{D2E76DB4-30C1-4DDD-B605-59B9DCE7393B}"/>
    <cellStyle name="20% - Accent5 4 2 3" xfId="4957" xr:uid="{00000000-0005-0000-0000-0000FE020000}"/>
    <cellStyle name="20% - Accent5 4 2 3 2" xfId="22730" xr:uid="{193735D5-8263-44AA-9189-50FCFC2E6B4A}"/>
    <cellStyle name="20% - Accent5 4 2 3 2 2" xfId="39624" xr:uid="{6FD8FA1B-6116-4F73-BC67-C90878866FC5}"/>
    <cellStyle name="20% - Accent5 4 2 3 3" xfId="14283" xr:uid="{118A36C7-FB08-4EA3-8D25-0A3030BA16D4}"/>
    <cellStyle name="20% - Accent5 4 2 3 4" xfId="31177" xr:uid="{ACD4684F-124B-49E7-9571-011760E9E1AF}"/>
    <cellStyle name="20% - Accent5 4 2 4" xfId="9380" xr:uid="{1C764D65-D71C-4646-AD86-15F83BDBF498}"/>
    <cellStyle name="20% - Accent5 4 2 4 2" xfId="18513" xr:uid="{642A0C4C-73A6-409C-8CF2-4AF23977DBDA}"/>
    <cellStyle name="20% - Accent5 4 2 4 3" xfId="35407" xr:uid="{2B0EB1C9-4E32-494B-90A9-3FEDDF702A22}"/>
    <cellStyle name="20% - Accent5 4 2 5" xfId="10066" xr:uid="{485C164C-5ADC-455C-B903-383F9E6B77F7}"/>
    <cellStyle name="20% - Accent5 4 2 6" xfId="26960" xr:uid="{7AC0D120-3AF6-4C80-BC74-B7BDDD134FAA}"/>
    <cellStyle name="20% - Accent5 4 3" xfId="1062" xr:uid="{00000000-0005-0000-0000-0000FF020000}"/>
    <cellStyle name="20% - Accent5 4 3 2" xfId="3293" xr:uid="{00000000-0005-0000-0000-000000030000}"/>
    <cellStyle name="20% - Accent5 4 3 2 2" xfId="7515" xr:uid="{00000000-0005-0000-0000-000001030000}"/>
    <cellStyle name="20% - Accent5 4 3 2 2 2" xfId="25288" xr:uid="{D9BD1009-26FA-4939-902B-17A653D0EE7E}"/>
    <cellStyle name="20% - Accent5 4 3 2 2 2 2" xfId="42182" xr:uid="{0BB0598B-76AB-443B-B349-4606679B4CD7}"/>
    <cellStyle name="20% - Accent5 4 3 2 2 3" xfId="16841" xr:uid="{CB5F2C35-5BB0-4AA6-8B7B-E1C0279706C8}"/>
    <cellStyle name="20% - Accent5 4 3 2 2 4" xfId="33735" xr:uid="{903E0ADB-537D-43F7-8C71-17FC9FB782E9}"/>
    <cellStyle name="20% - Accent5 4 3 2 3" xfId="21071" xr:uid="{F1F76531-6402-4064-8865-A548F7BF0715}"/>
    <cellStyle name="20% - Accent5 4 3 2 3 2" xfId="37965" xr:uid="{BBB6708E-78E6-452F-9550-29830D2B1F7D}"/>
    <cellStyle name="20% - Accent5 4 3 2 4" xfId="12624" xr:uid="{F489A0E0-9685-4E6A-A25D-B1380FB6D539}"/>
    <cellStyle name="20% - Accent5 4 3 2 5" xfId="29518" xr:uid="{5503D25A-621E-4EB4-BAA2-D36D3B2171BA}"/>
    <cellStyle name="20% - Accent5 4 3 3" xfId="5370" xr:uid="{00000000-0005-0000-0000-000002030000}"/>
    <cellStyle name="20% - Accent5 4 3 3 2" xfId="23143" xr:uid="{61ED1C60-9915-46E7-B13E-0F41FC231E7C}"/>
    <cellStyle name="20% - Accent5 4 3 3 2 2" xfId="40037" xr:uid="{F03E4F42-0E78-4E31-A1F9-B4B209F35A08}"/>
    <cellStyle name="20% - Accent5 4 3 3 3" xfId="14696" xr:uid="{A9B37F09-5C3B-44CD-8C1E-6902DF072564}"/>
    <cellStyle name="20% - Accent5 4 3 3 4" xfId="31590" xr:uid="{5912076C-7C38-40AE-89E6-15D236118526}"/>
    <cellStyle name="20% - Accent5 4 3 4" xfId="18926" xr:uid="{C5A160AA-2DF1-4106-980E-D0D296DF1478}"/>
    <cellStyle name="20% - Accent5 4 3 4 2" xfId="35820" xr:uid="{9EC2B48C-B49A-440E-975A-48118FEF8F50}"/>
    <cellStyle name="20% - Accent5 4 3 5" xfId="10479" xr:uid="{9D78EDB6-E202-4DCD-87EF-0B5D5263175E}"/>
    <cellStyle name="20% - Accent5 4 3 6" xfId="27373" xr:uid="{71991827-661E-4484-8816-EF6834B46357}"/>
    <cellStyle name="20% - Accent5 4 4" xfId="1476" xr:uid="{00000000-0005-0000-0000-000003030000}"/>
    <cellStyle name="20% - Accent5 4 4 2" xfId="3706" xr:uid="{00000000-0005-0000-0000-000004030000}"/>
    <cellStyle name="20% - Accent5 4 4 2 2" xfId="7928" xr:uid="{00000000-0005-0000-0000-000005030000}"/>
    <cellStyle name="20% - Accent5 4 4 2 2 2" xfId="25701" xr:uid="{945548E6-EE0F-4560-858B-67DBBF569D73}"/>
    <cellStyle name="20% - Accent5 4 4 2 2 2 2" xfId="42595" xr:uid="{981C4B3E-C595-48E7-8D73-FB7A4F214638}"/>
    <cellStyle name="20% - Accent5 4 4 2 2 3" xfId="17254" xr:uid="{25313B8C-383A-4ED7-A7EB-A25E1A5904D2}"/>
    <cellStyle name="20% - Accent5 4 4 2 2 4" xfId="34148" xr:uid="{28108BF3-D54E-4141-87AC-F949944FD216}"/>
    <cellStyle name="20% - Accent5 4 4 2 3" xfId="21484" xr:uid="{AD9D0744-892F-46B5-9DB2-C57E926A2FE0}"/>
    <cellStyle name="20% - Accent5 4 4 2 3 2" xfId="38378" xr:uid="{20B1789E-B6BE-4947-B9DF-EFC3714F9C33}"/>
    <cellStyle name="20% - Accent5 4 4 2 4" xfId="13037" xr:uid="{B4F1E393-901F-40E3-88AF-19D45F5D4CF5}"/>
    <cellStyle name="20% - Accent5 4 4 2 5" xfId="29931" xr:uid="{2EF4A0E8-9B9F-423E-A38C-07222FC52739}"/>
    <cellStyle name="20% - Accent5 4 4 3" xfId="5783" xr:uid="{00000000-0005-0000-0000-000006030000}"/>
    <cellStyle name="20% - Accent5 4 4 3 2" xfId="23556" xr:uid="{45EB59C0-07C9-471E-AE89-A3ABCEA55BE4}"/>
    <cellStyle name="20% - Accent5 4 4 3 2 2" xfId="40450" xr:uid="{B03C723B-3C5B-4632-8C81-46490982D7FC}"/>
    <cellStyle name="20% - Accent5 4 4 3 3" xfId="15109" xr:uid="{31B6E0C2-53EC-45AB-B158-93DEDAAB1000}"/>
    <cellStyle name="20% - Accent5 4 4 3 4" xfId="32003" xr:uid="{D2B0F1A7-43F3-425F-BB2B-6600BBBB98C5}"/>
    <cellStyle name="20% - Accent5 4 4 4" xfId="19339" xr:uid="{8EB1AEBD-DDD7-42B9-84BD-C4553B6D1ABB}"/>
    <cellStyle name="20% - Accent5 4 4 4 2" xfId="36233" xr:uid="{B8CA430E-32DB-4C1C-9256-B1BF7A0AA102}"/>
    <cellStyle name="20% - Accent5 4 4 5" xfId="10892" xr:uid="{B540F4F1-727D-459C-B1C5-6325C794CC2F}"/>
    <cellStyle name="20% - Accent5 4 4 6" xfId="27786" xr:uid="{8F54E412-6859-4964-B102-39F68C707D18}"/>
    <cellStyle name="20% - Accent5 4 5" xfId="1890" xr:uid="{00000000-0005-0000-0000-000007030000}"/>
    <cellStyle name="20% - Accent5 4 5 2" xfId="4119" xr:uid="{00000000-0005-0000-0000-000008030000}"/>
    <cellStyle name="20% - Accent5 4 5 2 2" xfId="8341" xr:uid="{00000000-0005-0000-0000-000009030000}"/>
    <cellStyle name="20% - Accent5 4 5 2 2 2" xfId="26114" xr:uid="{F7F6FAAC-C27C-498A-A5C1-4D814DBF4C88}"/>
    <cellStyle name="20% - Accent5 4 5 2 2 2 2" xfId="43008" xr:uid="{395826A1-AA0B-41B1-99A4-946C3C5F58B9}"/>
    <cellStyle name="20% - Accent5 4 5 2 2 3" xfId="17667" xr:uid="{9961E1D0-F844-4458-A7D0-FF80489F3DB9}"/>
    <cellStyle name="20% - Accent5 4 5 2 2 4" xfId="34561" xr:uid="{B539CF60-B698-47CB-9E48-8532B08938EE}"/>
    <cellStyle name="20% - Accent5 4 5 2 3" xfId="21897" xr:uid="{5D46A3BF-3C20-4D6E-B195-C3A985C88494}"/>
    <cellStyle name="20% - Accent5 4 5 2 3 2" xfId="38791" xr:uid="{920DBB35-FE75-4DBD-AD3D-9A0C3B015797}"/>
    <cellStyle name="20% - Accent5 4 5 2 4" xfId="13450" xr:uid="{95C8D7DF-5EAF-4942-88DC-61463FE07D37}"/>
    <cellStyle name="20% - Accent5 4 5 2 5" xfId="30344" xr:uid="{4CE6C569-879C-484D-8E74-7E5116AB596B}"/>
    <cellStyle name="20% - Accent5 4 5 3" xfId="6196" xr:uid="{00000000-0005-0000-0000-00000A030000}"/>
    <cellStyle name="20% - Accent5 4 5 3 2" xfId="23969" xr:uid="{0395627B-DCC6-40FD-8068-A74C3A076CD6}"/>
    <cellStyle name="20% - Accent5 4 5 3 2 2" xfId="40863" xr:uid="{5164D654-E006-4420-973B-D7D1D54D666D}"/>
    <cellStyle name="20% - Accent5 4 5 3 3" xfId="15522" xr:uid="{C578FF15-4ED7-452D-8C31-B735F6F78EFB}"/>
    <cellStyle name="20% - Accent5 4 5 3 4" xfId="32416" xr:uid="{47D39FA1-6F9F-4EEB-BC55-3B24478A5A96}"/>
    <cellStyle name="20% - Accent5 4 5 4" xfId="19752" xr:uid="{B2454FD2-07F8-4EEB-B81B-29E26EF78BFD}"/>
    <cellStyle name="20% - Accent5 4 5 4 2" xfId="36646" xr:uid="{CF75B687-D201-41FE-91EE-6A813A88E0AE}"/>
    <cellStyle name="20% - Accent5 4 5 5" xfId="11305" xr:uid="{9AE31A0B-8B5E-4DA3-9C21-8488AE7163CB}"/>
    <cellStyle name="20% - Accent5 4 5 6" xfId="28199" xr:uid="{2568558E-7AFC-4CEA-8874-1F361924B550}"/>
    <cellStyle name="20% - Accent5 4 6" xfId="2303" xr:uid="{00000000-0005-0000-0000-00000B030000}"/>
    <cellStyle name="20% - Accent5 4 6 2" xfId="6609" xr:uid="{00000000-0005-0000-0000-00000C030000}"/>
    <cellStyle name="20% - Accent5 4 6 2 2" xfId="24382" xr:uid="{45CF4CBC-0280-4C1C-AE67-D51821B2CD9B}"/>
    <cellStyle name="20% - Accent5 4 6 2 2 2" xfId="41276" xr:uid="{2D7D05E5-E4D5-4D89-B9F7-A8D62C46B93E}"/>
    <cellStyle name="20% - Accent5 4 6 2 3" xfId="15935" xr:uid="{31A12BE2-F37E-4CD3-B2B3-C4FA01C22EB7}"/>
    <cellStyle name="20% - Accent5 4 6 2 4" xfId="32829" xr:uid="{96FC5235-5472-4F81-9262-677510A75D04}"/>
    <cellStyle name="20% - Accent5 4 6 3" xfId="20165" xr:uid="{5E8B5085-BDB1-43F1-9347-8AC474E434CA}"/>
    <cellStyle name="20% - Accent5 4 6 3 2" xfId="37059" xr:uid="{E38FE23F-EEFB-49D8-A65E-D64EC4626F5A}"/>
    <cellStyle name="20% - Accent5 4 6 4" xfId="11718" xr:uid="{5400E9A6-7344-463C-B27B-AC01767BB632}"/>
    <cellStyle name="20% - Accent5 4 6 5" xfId="28612" xr:uid="{DB307E9C-6E9A-4872-894E-8A91659AE340}"/>
    <cellStyle name="20% - Accent5 4 7" xfId="4543" xr:uid="{00000000-0005-0000-0000-00000D030000}"/>
    <cellStyle name="20% - Accent5 4 7 2" xfId="22316" xr:uid="{F0DD6379-E85E-4719-97C8-794D7752CA02}"/>
    <cellStyle name="20% - Accent5 4 7 2 2" xfId="39210" xr:uid="{948FC44A-8A52-43BB-8FB5-766680FDE5D4}"/>
    <cellStyle name="20% - Accent5 4 7 3" xfId="13869" xr:uid="{C220896E-3B79-41A8-8D5F-E25EB4BDF0D2}"/>
    <cellStyle name="20% - Accent5 4 7 4" xfId="30763" xr:uid="{4D0A9145-1363-4F21-9C0D-B13CC1D4F6B2}"/>
    <cellStyle name="20% - Accent5 4 8" xfId="8955" xr:uid="{8AD43D76-8747-44EC-8D3B-2720ADF9D1B1}"/>
    <cellStyle name="20% - Accent5 4 8 2" xfId="18099" xr:uid="{9FE6CD7B-1F52-48F0-936E-541F18489888}"/>
    <cellStyle name="20% - Accent5 4 8 3" xfId="34993" xr:uid="{634E4D37-7BD8-4A04-AB7A-B5E897E78FE6}"/>
    <cellStyle name="20% - Accent5 4 9" xfId="9652" xr:uid="{21379413-5E36-4D80-A85F-9AE8975583E7}"/>
    <cellStyle name="20% - Accent5 5" xfId="602" xr:uid="{00000000-0005-0000-0000-00000E030000}"/>
    <cellStyle name="20% - Accent5 5 2" xfId="2873" xr:uid="{00000000-0005-0000-0000-00000F030000}"/>
    <cellStyle name="20% - Accent5 5 2 2" xfId="7095" xr:uid="{00000000-0005-0000-0000-000010030000}"/>
    <cellStyle name="20% - Accent5 5 2 2 2" xfId="24868" xr:uid="{2375F8F9-EDD0-41F1-BB29-06E699293E34}"/>
    <cellStyle name="20% - Accent5 5 2 2 2 2" xfId="41762" xr:uid="{9C76D326-9212-4457-8252-9154C8504F1D}"/>
    <cellStyle name="20% - Accent5 5 2 2 3" xfId="16421" xr:uid="{485E3333-331C-4EDF-B260-27CD755A9C54}"/>
    <cellStyle name="20% - Accent5 5 2 2 4" xfId="33315" xr:uid="{8B132FD7-DCF5-4095-BEE8-792EDBF1C98A}"/>
    <cellStyle name="20% - Accent5 5 2 3" xfId="20651" xr:uid="{A2CEAFF3-A31A-4881-946F-03B2ADEB2AC0}"/>
    <cellStyle name="20% - Accent5 5 2 3 2" xfId="37545" xr:uid="{3C6E0B96-5E12-40D3-AB1F-2D033ECEF2AF}"/>
    <cellStyle name="20% - Accent5 5 2 4" xfId="12204" xr:uid="{4F3C62AE-8891-4FA5-BB9A-ED92388C5004}"/>
    <cellStyle name="20% - Accent5 5 2 5" xfId="29098" xr:uid="{6458493F-780E-46F3-A6E3-78392BE7AF61}"/>
    <cellStyle name="20% - Accent5 5 3" xfId="4950" xr:uid="{00000000-0005-0000-0000-000011030000}"/>
    <cellStyle name="20% - Accent5 5 3 2" xfId="22723" xr:uid="{C7F2926B-3E0A-4F83-9D12-45725B321810}"/>
    <cellStyle name="20% - Accent5 5 3 2 2" xfId="39617" xr:uid="{AE6E23B0-D271-485B-970E-609C5D1F9746}"/>
    <cellStyle name="20% - Accent5 5 3 3" xfId="14276" xr:uid="{9565E54F-0304-46A4-9F70-6F97B6B9E986}"/>
    <cellStyle name="20% - Accent5 5 3 4" xfId="31170" xr:uid="{BB069A14-CB27-4C0B-B8E5-963299526F6B}"/>
    <cellStyle name="20% - Accent5 5 4" xfId="9188" xr:uid="{164CF7CE-7706-426C-90AA-4867A06E28BD}"/>
    <cellStyle name="20% - Accent5 5 4 2" xfId="18506" xr:uid="{9FC78E28-164D-44B9-8681-473D5E1CAC35}"/>
    <cellStyle name="20% - Accent5 5 4 3" xfId="35400" xr:uid="{CE75C553-659B-47D1-8A30-0F5F9EFE9CAD}"/>
    <cellStyle name="20% - Accent5 5 5" xfId="10059" xr:uid="{2E13ACDE-7DA2-48DC-899D-E04390FFD23C}"/>
    <cellStyle name="20% - Accent5 5 6" xfId="26953" xr:uid="{088918B1-C330-49FC-A5BD-705B63B70663}"/>
    <cellStyle name="20% - Accent5 6" xfId="1055" xr:uid="{00000000-0005-0000-0000-000012030000}"/>
    <cellStyle name="20% - Accent5 6 2" xfId="3286" xr:uid="{00000000-0005-0000-0000-000013030000}"/>
    <cellStyle name="20% - Accent5 6 2 2" xfId="7508" xr:uid="{00000000-0005-0000-0000-000014030000}"/>
    <cellStyle name="20% - Accent5 6 2 2 2" xfId="25281" xr:uid="{3F6B0A80-CB48-42B1-BFF3-457DC53A15A1}"/>
    <cellStyle name="20% - Accent5 6 2 2 2 2" xfId="42175" xr:uid="{386BD501-E6DD-4D38-807F-B45F1FB67380}"/>
    <cellStyle name="20% - Accent5 6 2 2 3" xfId="16834" xr:uid="{086B76AB-BCCA-4F93-B257-4F4853B808A1}"/>
    <cellStyle name="20% - Accent5 6 2 2 4" xfId="33728" xr:uid="{5FEB70D3-2446-4079-94E5-F63530D362BE}"/>
    <cellStyle name="20% - Accent5 6 2 3" xfId="21064" xr:uid="{EE13E253-4984-477C-B520-4B9894BB707A}"/>
    <cellStyle name="20% - Accent5 6 2 3 2" xfId="37958" xr:uid="{0AD5BF09-E6EA-4877-874D-F827ACE2A462}"/>
    <cellStyle name="20% - Accent5 6 2 4" xfId="12617" xr:uid="{7165A64A-DDDD-4791-B4AD-C282A65FDD00}"/>
    <cellStyle name="20% - Accent5 6 2 5" xfId="29511" xr:uid="{8254ED96-48ED-42F5-A99A-837ED14392F8}"/>
    <cellStyle name="20% - Accent5 6 3" xfId="5363" xr:uid="{00000000-0005-0000-0000-000015030000}"/>
    <cellStyle name="20% - Accent5 6 3 2" xfId="23136" xr:uid="{19D95800-8056-441F-9CC7-BD922A89CC46}"/>
    <cellStyle name="20% - Accent5 6 3 2 2" xfId="40030" xr:uid="{9C138469-7655-4F22-BB1B-B428EBED476A}"/>
    <cellStyle name="20% - Accent5 6 3 3" xfId="14689" xr:uid="{6C08170E-8E79-40AF-85B8-B7D99F2B79CF}"/>
    <cellStyle name="20% - Accent5 6 3 4" xfId="31583" xr:uid="{8F13CC6B-43CD-4A97-B5FA-281DB24F5670}"/>
    <cellStyle name="20% - Accent5 6 4" xfId="18919" xr:uid="{853049F2-6BA6-46E7-8319-230AD4CD6CF1}"/>
    <cellStyle name="20% - Accent5 6 4 2" xfId="35813" xr:uid="{30D1E4B5-453D-4BAF-9BD7-337502977F31}"/>
    <cellStyle name="20% - Accent5 6 5" xfId="10472" xr:uid="{BC535718-1D73-43B4-B350-F7FF1A84F44E}"/>
    <cellStyle name="20% - Accent5 6 6" xfId="27366" xr:uid="{D083C91E-3355-411D-A114-364D3E81FD33}"/>
    <cellStyle name="20% - Accent5 7" xfId="1469" xr:uid="{00000000-0005-0000-0000-000016030000}"/>
    <cellStyle name="20% - Accent5 7 2" xfId="3699" xr:uid="{00000000-0005-0000-0000-000017030000}"/>
    <cellStyle name="20% - Accent5 7 2 2" xfId="7921" xr:uid="{00000000-0005-0000-0000-000018030000}"/>
    <cellStyle name="20% - Accent5 7 2 2 2" xfId="25694" xr:uid="{65D4A4B1-F5E3-45CE-8132-93258AE988D4}"/>
    <cellStyle name="20% - Accent5 7 2 2 2 2" xfId="42588" xr:uid="{549506B7-810A-4975-88C0-579C3F6E3736}"/>
    <cellStyle name="20% - Accent5 7 2 2 3" xfId="17247" xr:uid="{7265C709-972F-4D3F-8370-91EB10C9B5C3}"/>
    <cellStyle name="20% - Accent5 7 2 2 4" xfId="34141" xr:uid="{4635D99B-6201-4E9B-B19F-8AFCBB8DC45E}"/>
    <cellStyle name="20% - Accent5 7 2 3" xfId="21477" xr:uid="{8AB9F692-DD2F-4D32-AC6C-65A47AD32894}"/>
    <cellStyle name="20% - Accent5 7 2 3 2" xfId="38371" xr:uid="{8BC66EFD-4151-4328-A6FE-C5E36F5DECE5}"/>
    <cellStyle name="20% - Accent5 7 2 4" xfId="13030" xr:uid="{1A9A1AF8-C126-4680-B5D9-2FD133B24936}"/>
    <cellStyle name="20% - Accent5 7 2 5" xfId="29924" xr:uid="{0507DE1A-DB4E-46B6-BBDB-A6C4700C6D10}"/>
    <cellStyle name="20% - Accent5 7 3" xfId="5776" xr:uid="{00000000-0005-0000-0000-000019030000}"/>
    <cellStyle name="20% - Accent5 7 3 2" xfId="23549" xr:uid="{D523E686-C486-4702-A338-DE90C49C883F}"/>
    <cellStyle name="20% - Accent5 7 3 2 2" xfId="40443" xr:uid="{FC445E06-928A-4047-AF9C-E575EA8AD98C}"/>
    <cellStyle name="20% - Accent5 7 3 3" xfId="15102" xr:uid="{D09474F8-40D4-4A1E-BA46-3F58D4A31287}"/>
    <cellStyle name="20% - Accent5 7 3 4" xfId="31996" xr:uid="{7D93109E-8595-42F6-8A6D-982EDE8308A5}"/>
    <cellStyle name="20% - Accent5 7 4" xfId="19332" xr:uid="{4192AD93-3405-407C-B167-84E67B47428E}"/>
    <cellStyle name="20% - Accent5 7 4 2" xfId="36226" xr:uid="{3CA48108-674E-483B-A755-C00561FD27A4}"/>
    <cellStyle name="20% - Accent5 7 5" xfId="10885" xr:uid="{29321DA7-6E9A-4A0B-987D-182CFBDF571C}"/>
    <cellStyle name="20% - Accent5 7 6" xfId="27779" xr:uid="{46968BA2-900A-4B7D-866B-9CEB7B084929}"/>
    <cellStyle name="20% - Accent5 8" xfId="1883" xr:uid="{00000000-0005-0000-0000-00001A030000}"/>
    <cellStyle name="20% - Accent5 8 2" xfId="4112" xr:uid="{00000000-0005-0000-0000-00001B030000}"/>
    <cellStyle name="20% - Accent5 8 2 2" xfId="8334" xr:uid="{00000000-0005-0000-0000-00001C030000}"/>
    <cellStyle name="20% - Accent5 8 2 2 2" xfId="26107" xr:uid="{73E86561-C6B8-472C-9B7F-6B205C97045A}"/>
    <cellStyle name="20% - Accent5 8 2 2 2 2" xfId="43001" xr:uid="{0E73FC3E-8140-4D33-9F05-FFE245F522DB}"/>
    <cellStyle name="20% - Accent5 8 2 2 3" xfId="17660" xr:uid="{E2D660C7-1DAF-4EC8-A255-1685F30EA1EC}"/>
    <cellStyle name="20% - Accent5 8 2 2 4" xfId="34554" xr:uid="{378B47C4-6DA5-46BF-8578-704DB480CDCD}"/>
    <cellStyle name="20% - Accent5 8 2 3" xfId="21890" xr:uid="{C0418276-9413-4007-9256-7A7D0E2C7641}"/>
    <cellStyle name="20% - Accent5 8 2 3 2" xfId="38784" xr:uid="{0E1E29F7-E613-425F-AFE5-A05ED6BE7308}"/>
    <cellStyle name="20% - Accent5 8 2 4" xfId="13443" xr:uid="{AB5EF1BA-0D08-4C78-9C1D-DFF1E2435A69}"/>
    <cellStyle name="20% - Accent5 8 2 5" xfId="30337" xr:uid="{CEED4169-D8BE-421B-8401-764D2B8BDE15}"/>
    <cellStyle name="20% - Accent5 8 3" xfId="6189" xr:uid="{00000000-0005-0000-0000-00001D030000}"/>
    <cellStyle name="20% - Accent5 8 3 2" xfId="23962" xr:uid="{A11CC170-2E46-4B0A-B20B-CAF50DF83567}"/>
    <cellStyle name="20% - Accent5 8 3 2 2" xfId="40856" xr:uid="{4CB00746-8A42-478B-B784-465F024CF31E}"/>
    <cellStyle name="20% - Accent5 8 3 3" xfId="15515" xr:uid="{A6ED50E8-9A16-449D-A005-AA3DBFAE9CBC}"/>
    <cellStyle name="20% - Accent5 8 3 4" xfId="32409" xr:uid="{5C12356C-CFC2-4DC1-A83B-63917276BC43}"/>
    <cellStyle name="20% - Accent5 8 4" xfId="19745" xr:uid="{B818D561-9DDD-4AC4-8374-76E552F5EEE8}"/>
    <cellStyle name="20% - Accent5 8 4 2" xfId="36639" xr:uid="{A80479D2-94FB-472F-9EBD-6324DE1723CA}"/>
    <cellStyle name="20% - Accent5 8 5" xfId="11298" xr:uid="{AB9EAF24-F92F-4200-AB48-62BF7915C57B}"/>
    <cellStyle name="20% - Accent5 8 6" xfId="28192" xr:uid="{A47CB51E-4E04-4516-9A36-33D6BA5B07C0}"/>
    <cellStyle name="20% - Accent5 9" xfId="2296" xr:uid="{00000000-0005-0000-0000-00001E030000}"/>
    <cellStyle name="20% - Accent5 9 2" xfId="6602" xr:uid="{00000000-0005-0000-0000-00001F030000}"/>
    <cellStyle name="20% - Accent5 9 2 2" xfId="24375" xr:uid="{E8D866D6-C399-43F3-B8EB-2E013BC4C010}"/>
    <cellStyle name="20% - Accent5 9 2 2 2" xfId="41269" xr:uid="{5FBC01BC-3D04-467F-B931-3AD8B938588A}"/>
    <cellStyle name="20% - Accent5 9 2 3" xfId="15928" xr:uid="{1A1BB690-80E5-44D4-ADA6-2D7AFE8BDF84}"/>
    <cellStyle name="20% - Accent5 9 2 4" xfId="32822" xr:uid="{C7B5FF71-7EC5-4EDD-ABBB-029AD1B62D68}"/>
    <cellStyle name="20% - Accent5 9 3" xfId="20158" xr:uid="{ED8F2B49-C3FB-40FF-950B-3C8D2D7CF93A}"/>
    <cellStyle name="20% - Accent5 9 3 2" xfId="37052" xr:uid="{79305B1F-979F-4C6B-BC13-93A5F850DB7A}"/>
    <cellStyle name="20% - Accent5 9 4" xfId="11711" xr:uid="{413E24C8-7839-4739-8D68-C496558E70DC}"/>
    <cellStyle name="20% - Accent5 9 5" xfId="28605" xr:uid="{351C26CB-119D-48A2-9328-9AD37B66A106}"/>
    <cellStyle name="20% - Accent6" xfId="41" builtinId="50" customBuiltin="1"/>
    <cellStyle name="20% - Accent6 10" xfId="4544" xr:uid="{00000000-0005-0000-0000-000021030000}"/>
    <cellStyle name="20% - Accent6 10 2" xfId="22317" xr:uid="{8D24F5E7-5A6D-4F54-809F-F21DF191A354}"/>
    <cellStyle name="20% - Accent6 10 2 2" xfId="39211" xr:uid="{4BC7879E-E4A1-4F01-A83E-C7F17C90AE79}"/>
    <cellStyle name="20% - Accent6 10 3" xfId="13870" xr:uid="{AC60BE03-D333-42C3-936B-30461A8472CC}"/>
    <cellStyle name="20% - Accent6 10 4" xfId="30764" xr:uid="{E2613EB9-C091-4873-B007-8C3495E1AD6B}"/>
    <cellStyle name="20% - Accent6 11" xfId="8768" xr:uid="{5A1F1293-A19F-445F-908A-D9DBB6265CA0}"/>
    <cellStyle name="20% - Accent6 11 2" xfId="18100" xr:uid="{AF71BF5E-1264-463C-9515-6964A3B21B22}"/>
    <cellStyle name="20% - Accent6 11 3" xfId="34994" xr:uid="{A2B6EBFC-7765-4D38-BAB1-F9F895A69587}"/>
    <cellStyle name="20% - Accent6 12" xfId="9653" xr:uid="{DB8117A7-9A1B-4702-BD8F-3284EB83FA3E}"/>
    <cellStyle name="20% - Accent6 13" xfId="26547" xr:uid="{BDDF9060-EB24-4520-82D6-0750517FCCEC}"/>
    <cellStyle name="20% - Accent6 2" xfId="42" xr:uid="{00000000-0005-0000-0000-000022030000}"/>
    <cellStyle name="20% - Accent6 2 10" xfId="8795" xr:uid="{9A35B19E-8802-437A-ABDC-7B06A4E07F58}"/>
    <cellStyle name="20% - Accent6 2 10 2" xfId="18101" xr:uid="{29E50E62-BFEB-4FDD-8A27-1FAECFFB8BB3}"/>
    <cellStyle name="20% - Accent6 2 10 3" xfId="34995" xr:uid="{2192A104-5B35-4718-9B79-85718929DC48}"/>
    <cellStyle name="20% - Accent6 2 11" xfId="9654" xr:uid="{87AF7DA2-0ADB-4331-892A-1F0E023F50FD}"/>
    <cellStyle name="20% - Accent6 2 12" xfId="26548" xr:uid="{91D22EA5-8F30-464A-9B0C-C8389892E03C}"/>
    <cellStyle name="20% - Accent6 2 2" xfId="43" xr:uid="{00000000-0005-0000-0000-000023030000}"/>
    <cellStyle name="20% - Accent6 2 2 10" xfId="9655" xr:uid="{CC0E079C-D2BC-4088-8538-E26ADC0496A7}"/>
    <cellStyle name="20% - Accent6 2 2 11" xfId="26549" xr:uid="{8A7404A5-6598-41F2-83DF-55E6695BB93A}"/>
    <cellStyle name="20% - Accent6 2 2 2" xfId="44" xr:uid="{00000000-0005-0000-0000-000024030000}"/>
    <cellStyle name="20% - Accent6 2 2 2 10" xfId="26550" xr:uid="{2A84B48A-1425-49B0-A817-8DF46192CD4D}"/>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2 2 2" xfId="24879" xr:uid="{8285AAA8-6388-4201-A80C-8A73047A4ABF}"/>
    <cellStyle name="20% - Accent6 2 2 2 2 2 2 2 2" xfId="41773" xr:uid="{5B2BE3E0-FFE3-46F6-A6AA-A93DDDB4582E}"/>
    <cellStyle name="20% - Accent6 2 2 2 2 2 2 3" xfId="16432" xr:uid="{F1781B78-33BB-4405-BC62-4B7D690B41DC}"/>
    <cellStyle name="20% - Accent6 2 2 2 2 2 2 4" xfId="33326" xr:uid="{2823A083-A3C7-4DF0-8F9F-AB82F18CD957}"/>
    <cellStyle name="20% - Accent6 2 2 2 2 2 3" xfId="20662" xr:uid="{71D99067-CFA1-4EDA-8350-0E593AC27FA4}"/>
    <cellStyle name="20% - Accent6 2 2 2 2 2 3 2" xfId="37556" xr:uid="{26FE441D-C393-46AE-9C8A-2058CEF3120B}"/>
    <cellStyle name="20% - Accent6 2 2 2 2 2 4" xfId="12215" xr:uid="{3336CFB3-CB6E-412B-9F6B-1C0059BCB0DB}"/>
    <cellStyle name="20% - Accent6 2 2 2 2 2 5" xfId="29109" xr:uid="{1FF11913-054D-4C27-8A9C-41CAE79D8D09}"/>
    <cellStyle name="20% - Accent6 2 2 2 2 3" xfId="4961" xr:uid="{00000000-0005-0000-0000-000028030000}"/>
    <cellStyle name="20% - Accent6 2 2 2 2 3 2" xfId="22734" xr:uid="{5C2E68D3-3710-4DA7-BC74-8B76E4627F90}"/>
    <cellStyle name="20% - Accent6 2 2 2 2 3 2 2" xfId="39628" xr:uid="{A2E01E46-430D-4467-820D-75C259CDB9ED}"/>
    <cellStyle name="20% - Accent6 2 2 2 2 3 3" xfId="14287" xr:uid="{103BD526-DAD1-4A3B-AFA1-C9CAEB7DD028}"/>
    <cellStyle name="20% - Accent6 2 2 2 2 3 4" xfId="31181" xr:uid="{3D9D3E64-8F1C-489C-824B-8C5553F7995F}"/>
    <cellStyle name="20% - Accent6 2 2 2 2 4" xfId="9530" xr:uid="{AFD3EE0E-70EF-4C1B-B994-7B8E7E8187BC}"/>
    <cellStyle name="20% - Accent6 2 2 2 2 4 2" xfId="18517" xr:uid="{E6833DC2-47CC-461C-9C13-A4BC8625602B}"/>
    <cellStyle name="20% - Accent6 2 2 2 2 4 3" xfId="35411" xr:uid="{48411486-DED7-4B27-BB15-A5B71101D688}"/>
    <cellStyle name="20% - Accent6 2 2 2 2 5" xfId="10070" xr:uid="{5E9D4F62-8546-403D-B56A-3A509C811A7A}"/>
    <cellStyle name="20% - Accent6 2 2 2 2 6" xfId="26964" xr:uid="{A9EC9390-929B-4759-8F51-CACCE7F682E5}"/>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2 2 2" xfId="25292" xr:uid="{732058AB-4A31-4157-B757-01F83627FD73}"/>
    <cellStyle name="20% - Accent6 2 2 2 3 2 2 2 2" xfId="42186" xr:uid="{47615CCB-D205-4CA2-8256-7E69F444A826}"/>
    <cellStyle name="20% - Accent6 2 2 2 3 2 2 3" xfId="16845" xr:uid="{8E456AD6-9955-4CCA-8232-ACC287D54F7A}"/>
    <cellStyle name="20% - Accent6 2 2 2 3 2 2 4" xfId="33739" xr:uid="{272F73BF-E197-450C-8023-B8F8D24F3F22}"/>
    <cellStyle name="20% - Accent6 2 2 2 3 2 3" xfId="21075" xr:uid="{F782EA92-76BC-4348-9054-6B573A2EC325}"/>
    <cellStyle name="20% - Accent6 2 2 2 3 2 3 2" xfId="37969" xr:uid="{23D57B7E-08C1-40BD-A898-E9CAB317A008}"/>
    <cellStyle name="20% - Accent6 2 2 2 3 2 4" xfId="12628" xr:uid="{AC5918A8-4D0E-4804-87E2-3A09BA27D441}"/>
    <cellStyle name="20% - Accent6 2 2 2 3 2 5" xfId="29522" xr:uid="{CC0BB924-EB15-4CC3-8C7B-B356A2E7D4BD}"/>
    <cellStyle name="20% - Accent6 2 2 2 3 3" xfId="5374" xr:uid="{00000000-0005-0000-0000-00002C030000}"/>
    <cellStyle name="20% - Accent6 2 2 2 3 3 2" xfId="23147" xr:uid="{CC532618-26EB-4769-A9F3-886E55FE7B15}"/>
    <cellStyle name="20% - Accent6 2 2 2 3 3 2 2" xfId="40041" xr:uid="{4AD0A354-53D6-4C88-BAD9-A3B6993C2CFD}"/>
    <cellStyle name="20% - Accent6 2 2 2 3 3 3" xfId="14700" xr:uid="{940592D5-4B57-4A66-AEF2-4D755960A882}"/>
    <cellStyle name="20% - Accent6 2 2 2 3 3 4" xfId="31594" xr:uid="{E9678A8A-1658-4B8C-8061-8B18E0A60D4E}"/>
    <cellStyle name="20% - Accent6 2 2 2 3 4" xfId="18930" xr:uid="{1E1FE58B-4508-408F-A174-07251F12214A}"/>
    <cellStyle name="20% - Accent6 2 2 2 3 4 2" xfId="35824" xr:uid="{FEEDB77A-C2FC-442F-8C5B-AEB2378A98C3}"/>
    <cellStyle name="20% - Accent6 2 2 2 3 5" xfId="10483" xr:uid="{23880FBA-5878-448A-9AEB-62A58B2B28C0}"/>
    <cellStyle name="20% - Accent6 2 2 2 3 6" xfId="27377" xr:uid="{DFB417C5-C8AA-4B2A-8A6A-3E4334822CBA}"/>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2 2 2" xfId="25705" xr:uid="{151086F1-3367-45A2-8FBE-B34AA9F2DD39}"/>
    <cellStyle name="20% - Accent6 2 2 2 4 2 2 2 2" xfId="42599" xr:uid="{8EC15ACB-6662-486B-A34D-85481B101CEA}"/>
    <cellStyle name="20% - Accent6 2 2 2 4 2 2 3" xfId="17258" xr:uid="{06DFECEC-8C82-4477-A568-CF1D346EF9E3}"/>
    <cellStyle name="20% - Accent6 2 2 2 4 2 2 4" xfId="34152" xr:uid="{9EAD670B-36CB-4F26-8B9B-61D0A90692C4}"/>
    <cellStyle name="20% - Accent6 2 2 2 4 2 3" xfId="21488" xr:uid="{CD6105C5-9A09-4061-BBF5-FFF896D7A8C3}"/>
    <cellStyle name="20% - Accent6 2 2 2 4 2 3 2" xfId="38382" xr:uid="{A8DD1072-5854-411F-9F78-A61256E5A430}"/>
    <cellStyle name="20% - Accent6 2 2 2 4 2 4" xfId="13041" xr:uid="{86AE8DB2-86D6-4120-9D19-B179058D5950}"/>
    <cellStyle name="20% - Accent6 2 2 2 4 2 5" xfId="29935" xr:uid="{F4203486-06AD-4FA8-BADD-6FE512D3F1FA}"/>
    <cellStyle name="20% - Accent6 2 2 2 4 3" xfId="5787" xr:uid="{00000000-0005-0000-0000-000030030000}"/>
    <cellStyle name="20% - Accent6 2 2 2 4 3 2" xfId="23560" xr:uid="{891E8BDA-765C-428D-AA96-C5EEDAC199BA}"/>
    <cellStyle name="20% - Accent6 2 2 2 4 3 2 2" xfId="40454" xr:uid="{D3F4054C-3F82-4889-9F91-CA1DB284029A}"/>
    <cellStyle name="20% - Accent6 2 2 2 4 3 3" xfId="15113" xr:uid="{3C5DB41B-DC8F-4596-A007-0CEC2FD7E1D3}"/>
    <cellStyle name="20% - Accent6 2 2 2 4 3 4" xfId="32007" xr:uid="{F0FF19D1-2330-4801-AFD4-36EA81609F7B}"/>
    <cellStyle name="20% - Accent6 2 2 2 4 4" xfId="19343" xr:uid="{242EF7D0-253D-48EE-ACC2-DA21FF958D7E}"/>
    <cellStyle name="20% - Accent6 2 2 2 4 4 2" xfId="36237" xr:uid="{9E3A64FD-262B-4187-887C-3842F9C85976}"/>
    <cellStyle name="20% - Accent6 2 2 2 4 5" xfId="10896" xr:uid="{C494A177-0456-4134-B089-83CD895D98FD}"/>
    <cellStyle name="20% - Accent6 2 2 2 4 6" xfId="27790" xr:uid="{361461AA-9B7F-42DB-8727-172B5EAA4A29}"/>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2 2 2" xfId="26118" xr:uid="{D5BB07F2-BBB6-4B35-BB5B-175DF735D333}"/>
    <cellStyle name="20% - Accent6 2 2 2 5 2 2 2 2" xfId="43012" xr:uid="{1FE5B0B7-3097-467F-AD34-B736BC7956D4}"/>
    <cellStyle name="20% - Accent6 2 2 2 5 2 2 3" xfId="17671" xr:uid="{0A0AC22F-7244-4DF8-8E90-D630EDF4AF6C}"/>
    <cellStyle name="20% - Accent6 2 2 2 5 2 2 4" xfId="34565" xr:uid="{E1E17BF5-C956-47CB-A4EF-1D3AE96859BD}"/>
    <cellStyle name="20% - Accent6 2 2 2 5 2 3" xfId="21901" xr:uid="{B896BE76-4F10-44BF-9337-FC9EE05F2F55}"/>
    <cellStyle name="20% - Accent6 2 2 2 5 2 3 2" xfId="38795" xr:uid="{0AA64118-6C65-4B0D-80FF-8BE0033DFC72}"/>
    <cellStyle name="20% - Accent6 2 2 2 5 2 4" xfId="13454" xr:uid="{614EE8A5-F28C-4A7E-965C-4171C9DA1284}"/>
    <cellStyle name="20% - Accent6 2 2 2 5 2 5" xfId="30348" xr:uid="{E64A672C-2CFD-4BF3-BC83-4E32910AE63A}"/>
    <cellStyle name="20% - Accent6 2 2 2 5 3" xfId="6200" xr:uid="{00000000-0005-0000-0000-000034030000}"/>
    <cellStyle name="20% - Accent6 2 2 2 5 3 2" xfId="23973" xr:uid="{B27F7ECA-7B1B-4D6F-B8E0-8569E9EC972A}"/>
    <cellStyle name="20% - Accent6 2 2 2 5 3 2 2" xfId="40867" xr:uid="{21B5D10D-9463-4DA3-BEBD-4BD0692FD20D}"/>
    <cellStyle name="20% - Accent6 2 2 2 5 3 3" xfId="15526" xr:uid="{1C2B6F69-6846-4683-AACB-01FE83D467BF}"/>
    <cellStyle name="20% - Accent6 2 2 2 5 3 4" xfId="32420" xr:uid="{90C76386-1EED-4158-84E8-80CF0BCCC0A6}"/>
    <cellStyle name="20% - Accent6 2 2 2 5 4" xfId="19756" xr:uid="{ED4A6677-2D3E-4D01-9817-1E89327C4348}"/>
    <cellStyle name="20% - Accent6 2 2 2 5 4 2" xfId="36650" xr:uid="{26B112C7-DEC7-432F-9A21-02E8A9C4CBC1}"/>
    <cellStyle name="20% - Accent6 2 2 2 5 5" xfId="11309" xr:uid="{B35FB068-B0FF-4A17-B83C-3DE831842DE5}"/>
    <cellStyle name="20% - Accent6 2 2 2 5 6" xfId="28203" xr:uid="{5D8275D5-384D-4817-AFAE-2EE0050DE4CE}"/>
    <cellStyle name="20% - Accent6 2 2 2 6" xfId="2307" xr:uid="{00000000-0005-0000-0000-000035030000}"/>
    <cellStyle name="20% - Accent6 2 2 2 6 2" xfId="6613" xr:uid="{00000000-0005-0000-0000-000036030000}"/>
    <cellStyle name="20% - Accent6 2 2 2 6 2 2" xfId="24386" xr:uid="{0EEBA8B8-185C-49E8-930A-171040692F69}"/>
    <cellStyle name="20% - Accent6 2 2 2 6 2 2 2" xfId="41280" xr:uid="{232193B1-063B-400B-9F06-49819E9A2F33}"/>
    <cellStyle name="20% - Accent6 2 2 2 6 2 3" xfId="15939" xr:uid="{A5DABB45-D9DC-48DA-B6CD-9E4585016E64}"/>
    <cellStyle name="20% - Accent6 2 2 2 6 2 4" xfId="32833" xr:uid="{55C1D42B-2C6E-442B-806D-CCFA1701AFBD}"/>
    <cellStyle name="20% - Accent6 2 2 2 6 3" xfId="20169" xr:uid="{CE9675EC-80AA-44E0-80A5-818B42228F5E}"/>
    <cellStyle name="20% - Accent6 2 2 2 6 3 2" xfId="37063" xr:uid="{113ECB3B-EAC2-4F75-972B-72DA4B2A3BC8}"/>
    <cellStyle name="20% - Accent6 2 2 2 6 4" xfId="11722" xr:uid="{3F8BCEE3-30DA-4D37-B183-607EB520FF89}"/>
    <cellStyle name="20% - Accent6 2 2 2 6 5" xfId="28616" xr:uid="{6590EC69-E815-424A-8E20-2BECD5D590B5}"/>
    <cellStyle name="20% - Accent6 2 2 2 7" xfId="4547" xr:uid="{00000000-0005-0000-0000-000037030000}"/>
    <cellStyle name="20% - Accent6 2 2 2 7 2" xfId="22320" xr:uid="{CC5C6AC5-14AF-4DB9-8C46-74E430A50B94}"/>
    <cellStyle name="20% - Accent6 2 2 2 7 2 2" xfId="39214" xr:uid="{AF0BAA33-C283-4E60-A6FB-FE6406E171AE}"/>
    <cellStyle name="20% - Accent6 2 2 2 7 3" xfId="13873" xr:uid="{93AEDEB3-CA4A-494F-988C-CDF17F73BDE1}"/>
    <cellStyle name="20% - Accent6 2 2 2 7 4" xfId="30767" xr:uid="{DA702398-CDD5-4971-8C5C-B3FFBE6A25EF}"/>
    <cellStyle name="20% - Accent6 2 2 2 8" xfId="9105" xr:uid="{2D3B6B01-F2FB-4D08-A7F9-9902961EFB46}"/>
    <cellStyle name="20% - Accent6 2 2 2 8 2" xfId="18103" xr:uid="{054A5251-0B63-40E3-86B7-A562F0BD261F}"/>
    <cellStyle name="20% - Accent6 2 2 2 8 3" xfId="34997" xr:uid="{8B0AF8A2-A73B-4B6D-A2B0-1281EFCCD115}"/>
    <cellStyle name="20% - Accent6 2 2 2 9" xfId="9656" xr:uid="{9EF5740C-3132-456D-BE69-BAC52C77CCCF}"/>
    <cellStyle name="20% - Accent6 2 2 3" xfId="612" xr:uid="{00000000-0005-0000-0000-000038030000}"/>
    <cellStyle name="20% - Accent6 2 2 3 2" xfId="2883" xr:uid="{00000000-0005-0000-0000-000039030000}"/>
    <cellStyle name="20% - Accent6 2 2 3 2 2" xfId="7105" xr:uid="{00000000-0005-0000-0000-00003A030000}"/>
    <cellStyle name="20% - Accent6 2 2 3 2 2 2" xfId="24878" xr:uid="{02FD95AA-A2B0-4983-8B5E-0311A4473EBE}"/>
    <cellStyle name="20% - Accent6 2 2 3 2 2 2 2" xfId="41772" xr:uid="{E9484E96-A29B-47B7-A3BF-1AAA1B3ECAFD}"/>
    <cellStyle name="20% - Accent6 2 2 3 2 2 3" xfId="16431" xr:uid="{FA98C596-F15E-45BB-A331-D7D301378EF6}"/>
    <cellStyle name="20% - Accent6 2 2 3 2 2 4" xfId="33325" xr:uid="{66E033FA-C3E7-4BD8-BE51-88DF4B08FCEE}"/>
    <cellStyle name="20% - Accent6 2 2 3 2 3" xfId="20661" xr:uid="{EEFACC21-45CE-40B3-B91F-9423CD1090E2}"/>
    <cellStyle name="20% - Accent6 2 2 3 2 3 2" xfId="37555" xr:uid="{F4621CD0-945A-4A78-9328-E8B6B3CB1548}"/>
    <cellStyle name="20% - Accent6 2 2 3 2 4" xfId="12214" xr:uid="{7E7A5DD5-0F83-462A-A533-B525DADCE79C}"/>
    <cellStyle name="20% - Accent6 2 2 3 2 5" xfId="29108" xr:uid="{C75A7491-F3DF-46B3-9B85-E2778F8922C0}"/>
    <cellStyle name="20% - Accent6 2 2 3 3" xfId="4960" xr:uid="{00000000-0005-0000-0000-00003B030000}"/>
    <cellStyle name="20% - Accent6 2 2 3 3 2" xfId="22733" xr:uid="{8381CB4D-6E59-4A4B-A3DD-FD641E40EBA3}"/>
    <cellStyle name="20% - Accent6 2 2 3 3 2 2" xfId="39627" xr:uid="{17339BAB-B061-4954-AA01-79AED6BFDA9F}"/>
    <cellStyle name="20% - Accent6 2 2 3 3 3" xfId="14286" xr:uid="{D1D7C90D-91BA-4AD6-BF64-F8B4813ECB37}"/>
    <cellStyle name="20% - Accent6 2 2 3 3 4" xfId="31180" xr:uid="{30D83BE8-74CA-4CEF-BCC4-AC1FBE281D4A}"/>
    <cellStyle name="20% - Accent6 2 2 3 4" xfId="9323" xr:uid="{93CC3C58-EC1C-4AC6-8D02-E00EFD80A494}"/>
    <cellStyle name="20% - Accent6 2 2 3 4 2" xfId="18516" xr:uid="{D584CCBF-2CD8-482F-A007-0C5B6E380E7C}"/>
    <cellStyle name="20% - Accent6 2 2 3 4 3" xfId="35410" xr:uid="{71174089-EDD7-4138-BD7A-2494AF2CD623}"/>
    <cellStyle name="20% - Accent6 2 2 3 5" xfId="10069" xr:uid="{435C61C8-2333-4495-B857-475912B2ECB3}"/>
    <cellStyle name="20% - Accent6 2 2 3 6" xfId="26963" xr:uid="{B67BACE4-0EB6-43BA-8713-B376F3C05696}"/>
    <cellStyle name="20% - Accent6 2 2 4" xfId="1065" xr:uid="{00000000-0005-0000-0000-00003C030000}"/>
    <cellStyle name="20% - Accent6 2 2 4 2" xfId="3296" xr:uid="{00000000-0005-0000-0000-00003D030000}"/>
    <cellStyle name="20% - Accent6 2 2 4 2 2" xfId="7518" xr:uid="{00000000-0005-0000-0000-00003E030000}"/>
    <cellStyle name="20% - Accent6 2 2 4 2 2 2" xfId="25291" xr:uid="{C622AE59-F909-426F-82EF-148EBF04D9EA}"/>
    <cellStyle name="20% - Accent6 2 2 4 2 2 2 2" xfId="42185" xr:uid="{5D011DC4-E346-4CB8-B784-627B6763C032}"/>
    <cellStyle name="20% - Accent6 2 2 4 2 2 3" xfId="16844" xr:uid="{7628DABF-D3BB-42A5-81BC-512C315B228C}"/>
    <cellStyle name="20% - Accent6 2 2 4 2 2 4" xfId="33738" xr:uid="{F019B40D-FB11-4770-8632-823DEE28D110}"/>
    <cellStyle name="20% - Accent6 2 2 4 2 3" xfId="21074" xr:uid="{D3650F62-3C0B-4F6E-9965-386B2F17BB06}"/>
    <cellStyle name="20% - Accent6 2 2 4 2 3 2" xfId="37968" xr:uid="{AD2292A3-74C6-4400-965C-D2746F1D21E7}"/>
    <cellStyle name="20% - Accent6 2 2 4 2 4" xfId="12627" xr:uid="{3623E2AA-BDE6-4AE6-963B-F0FF7DB965B5}"/>
    <cellStyle name="20% - Accent6 2 2 4 2 5" xfId="29521" xr:uid="{5A512CF1-F8F5-4D3D-BF14-C879B67DA118}"/>
    <cellStyle name="20% - Accent6 2 2 4 3" xfId="5373" xr:uid="{00000000-0005-0000-0000-00003F030000}"/>
    <cellStyle name="20% - Accent6 2 2 4 3 2" xfId="23146" xr:uid="{32156A17-3499-4DD9-B8D5-45D0DA5E1E6F}"/>
    <cellStyle name="20% - Accent6 2 2 4 3 2 2" xfId="40040" xr:uid="{3FC0D275-758B-489E-A5AD-0AF543FA50B1}"/>
    <cellStyle name="20% - Accent6 2 2 4 3 3" xfId="14699" xr:uid="{A8C0E1C9-59AA-40AD-94F6-CA3748F5A2AB}"/>
    <cellStyle name="20% - Accent6 2 2 4 3 4" xfId="31593" xr:uid="{05F667D5-25E2-41A8-9149-BC8987A77F8A}"/>
    <cellStyle name="20% - Accent6 2 2 4 4" xfId="18929" xr:uid="{8DDC66B0-85B7-4DDA-A031-258041716AC7}"/>
    <cellStyle name="20% - Accent6 2 2 4 4 2" xfId="35823" xr:uid="{FFA2F5D6-FE99-47ED-946A-3B3F3542AC2B}"/>
    <cellStyle name="20% - Accent6 2 2 4 5" xfId="10482" xr:uid="{D53A7EEF-31C4-4509-BABD-9A38DE43891D}"/>
    <cellStyle name="20% - Accent6 2 2 4 6" xfId="27376" xr:uid="{30B1816D-5630-4C2E-BE37-3B86EC348A0E}"/>
    <cellStyle name="20% - Accent6 2 2 5" xfId="1479" xr:uid="{00000000-0005-0000-0000-000040030000}"/>
    <cellStyle name="20% - Accent6 2 2 5 2" xfId="3709" xr:uid="{00000000-0005-0000-0000-000041030000}"/>
    <cellStyle name="20% - Accent6 2 2 5 2 2" xfId="7931" xr:uid="{00000000-0005-0000-0000-000042030000}"/>
    <cellStyle name="20% - Accent6 2 2 5 2 2 2" xfId="25704" xr:uid="{707C51E5-09F2-4C1B-88CA-4556EC394E64}"/>
    <cellStyle name="20% - Accent6 2 2 5 2 2 2 2" xfId="42598" xr:uid="{91D26E74-8019-4233-9913-E8EBB28BFBBD}"/>
    <cellStyle name="20% - Accent6 2 2 5 2 2 3" xfId="17257" xr:uid="{FD34EC85-F490-4669-B537-284D75BE6EF3}"/>
    <cellStyle name="20% - Accent6 2 2 5 2 2 4" xfId="34151" xr:uid="{43C03A0C-D990-40E0-A22C-22DDA0031706}"/>
    <cellStyle name="20% - Accent6 2 2 5 2 3" xfId="21487" xr:uid="{A8204A6A-3442-4C54-A5AB-56FDBC99AFCE}"/>
    <cellStyle name="20% - Accent6 2 2 5 2 3 2" xfId="38381" xr:uid="{46C7BB8A-FF5E-4780-9140-51F5B822BA60}"/>
    <cellStyle name="20% - Accent6 2 2 5 2 4" xfId="13040" xr:uid="{BE05E30B-7A1F-47BA-9A31-BEA0864628A3}"/>
    <cellStyle name="20% - Accent6 2 2 5 2 5" xfId="29934" xr:uid="{8561A61F-24E0-43C2-B239-E996D28F086F}"/>
    <cellStyle name="20% - Accent6 2 2 5 3" xfId="5786" xr:uid="{00000000-0005-0000-0000-000043030000}"/>
    <cellStyle name="20% - Accent6 2 2 5 3 2" xfId="23559" xr:uid="{9D52D16E-EF3D-4490-B459-88439B599CE8}"/>
    <cellStyle name="20% - Accent6 2 2 5 3 2 2" xfId="40453" xr:uid="{19EAC319-5892-447A-965E-2F400D33DAC4}"/>
    <cellStyle name="20% - Accent6 2 2 5 3 3" xfId="15112" xr:uid="{D60A4225-6595-41B7-82FC-B10426B42200}"/>
    <cellStyle name="20% - Accent6 2 2 5 3 4" xfId="32006" xr:uid="{9068A7BF-7D9F-41C9-8614-2E189E3F65A7}"/>
    <cellStyle name="20% - Accent6 2 2 5 4" xfId="19342" xr:uid="{42BED34C-9772-4444-BFB7-A268028587AA}"/>
    <cellStyle name="20% - Accent6 2 2 5 4 2" xfId="36236" xr:uid="{94B19BAB-AF32-412B-8031-E4694F786B6A}"/>
    <cellStyle name="20% - Accent6 2 2 5 5" xfId="10895" xr:uid="{AAB76E5C-D064-43C6-9E44-31C49721801E}"/>
    <cellStyle name="20% - Accent6 2 2 5 6" xfId="27789" xr:uid="{89E0E423-9746-445E-A613-62FFFCD3D409}"/>
    <cellStyle name="20% - Accent6 2 2 6" xfId="1893" xr:uid="{00000000-0005-0000-0000-000044030000}"/>
    <cellStyle name="20% - Accent6 2 2 6 2" xfId="4122" xr:uid="{00000000-0005-0000-0000-000045030000}"/>
    <cellStyle name="20% - Accent6 2 2 6 2 2" xfId="8344" xr:uid="{00000000-0005-0000-0000-000046030000}"/>
    <cellStyle name="20% - Accent6 2 2 6 2 2 2" xfId="26117" xr:uid="{30B096AF-6C43-41FF-BD23-A4E548AFC173}"/>
    <cellStyle name="20% - Accent6 2 2 6 2 2 2 2" xfId="43011" xr:uid="{C362D6FE-5C4E-43BD-B767-275F169E71C4}"/>
    <cellStyle name="20% - Accent6 2 2 6 2 2 3" xfId="17670" xr:uid="{1D103D4D-281E-41AF-A474-4C4EF5ABB2BD}"/>
    <cellStyle name="20% - Accent6 2 2 6 2 2 4" xfId="34564" xr:uid="{7B09B4E9-D23C-4060-8101-1F007F551B1B}"/>
    <cellStyle name="20% - Accent6 2 2 6 2 3" xfId="21900" xr:uid="{7F5EAE7E-71A1-4B0F-8B24-1D2532402491}"/>
    <cellStyle name="20% - Accent6 2 2 6 2 3 2" xfId="38794" xr:uid="{86CF452E-13DF-4B7A-BBD4-AF6CD10789C1}"/>
    <cellStyle name="20% - Accent6 2 2 6 2 4" xfId="13453" xr:uid="{D89DD611-619A-4034-8DA5-4D8E02086D2F}"/>
    <cellStyle name="20% - Accent6 2 2 6 2 5" xfId="30347" xr:uid="{F4BFA39E-02FC-44ED-88A1-72B37D6B1AA0}"/>
    <cellStyle name="20% - Accent6 2 2 6 3" xfId="6199" xr:uid="{00000000-0005-0000-0000-000047030000}"/>
    <cellStyle name="20% - Accent6 2 2 6 3 2" xfId="23972" xr:uid="{9EEF56CD-D79B-4E9A-8889-F37ACC776385}"/>
    <cellStyle name="20% - Accent6 2 2 6 3 2 2" xfId="40866" xr:uid="{95C7E34C-64F9-4234-A57A-6662DA0DE5C9}"/>
    <cellStyle name="20% - Accent6 2 2 6 3 3" xfId="15525" xr:uid="{825960AF-F83B-404A-9D7E-254BB224DB98}"/>
    <cellStyle name="20% - Accent6 2 2 6 3 4" xfId="32419" xr:uid="{06919687-84D7-4732-BCAB-A1156AEF0579}"/>
    <cellStyle name="20% - Accent6 2 2 6 4" xfId="19755" xr:uid="{7DAD1D9F-38C8-4C58-9ABE-056107EF69EA}"/>
    <cellStyle name="20% - Accent6 2 2 6 4 2" xfId="36649" xr:uid="{B6327C4D-ACA8-4FDA-8702-6A61E07CA322}"/>
    <cellStyle name="20% - Accent6 2 2 6 5" xfId="11308" xr:uid="{AFE02E8F-5DC7-4E16-BE5C-52D681AF6AB9}"/>
    <cellStyle name="20% - Accent6 2 2 6 6" xfId="28202" xr:uid="{C5A59660-3FAD-4BB2-A30C-37F134B7F9D7}"/>
    <cellStyle name="20% - Accent6 2 2 7" xfId="2306" xr:uid="{00000000-0005-0000-0000-000048030000}"/>
    <cellStyle name="20% - Accent6 2 2 7 2" xfId="6612" xr:uid="{00000000-0005-0000-0000-000049030000}"/>
    <cellStyle name="20% - Accent6 2 2 7 2 2" xfId="24385" xr:uid="{DCC90498-3B94-48B3-A73E-7AD9A71FA516}"/>
    <cellStyle name="20% - Accent6 2 2 7 2 2 2" xfId="41279" xr:uid="{BF7FC09E-98B0-4167-8881-C98449DAF2C3}"/>
    <cellStyle name="20% - Accent6 2 2 7 2 3" xfId="15938" xr:uid="{F4E2BC7B-F862-4C2E-B77A-A5D717B9814A}"/>
    <cellStyle name="20% - Accent6 2 2 7 2 4" xfId="32832" xr:uid="{4D2F5874-59B2-4078-B021-64C79DA68029}"/>
    <cellStyle name="20% - Accent6 2 2 7 3" xfId="20168" xr:uid="{BF72110F-1342-4D8F-869F-7896043BDE5C}"/>
    <cellStyle name="20% - Accent6 2 2 7 3 2" xfId="37062" xr:uid="{C581858E-9C97-429E-A970-D415FCA203EF}"/>
    <cellStyle name="20% - Accent6 2 2 7 4" xfId="11721" xr:uid="{44E61920-5DDF-406D-862C-285764AB1DE1}"/>
    <cellStyle name="20% - Accent6 2 2 7 5" xfId="28615" xr:uid="{EE47E493-F754-4C4D-8876-59A272C38921}"/>
    <cellStyle name="20% - Accent6 2 2 8" xfId="4546" xr:uid="{00000000-0005-0000-0000-00004A030000}"/>
    <cellStyle name="20% - Accent6 2 2 8 2" xfId="22319" xr:uid="{1F4A9EBD-9410-4E05-AE0A-CA6DE239BA25}"/>
    <cellStyle name="20% - Accent6 2 2 8 2 2" xfId="39213" xr:uid="{1A8D2791-6BFE-40C5-9718-B4D1AE2EFF09}"/>
    <cellStyle name="20% - Accent6 2 2 8 3" xfId="13872" xr:uid="{6119E263-E2F1-4DBF-8378-B2D4AB9389F2}"/>
    <cellStyle name="20% - Accent6 2 2 8 4" xfId="30766" xr:uid="{69A58CC8-E654-4029-B3DE-0FA89DEFC3F3}"/>
    <cellStyle name="20% - Accent6 2 2 9" xfId="8898" xr:uid="{88686F75-037F-4072-9BDC-942546C51E8F}"/>
    <cellStyle name="20% - Accent6 2 2 9 2" xfId="18102" xr:uid="{4DA63872-28E4-47B6-B4C6-D6CB4A0DA4E3}"/>
    <cellStyle name="20% - Accent6 2 2 9 3" xfId="34996" xr:uid="{91B990C1-2A43-4D89-B3C5-829751AC9569}"/>
    <cellStyle name="20% - Accent6 2 3" xfId="45" xr:uid="{00000000-0005-0000-0000-00004B030000}"/>
    <cellStyle name="20% - Accent6 2 3 10" xfId="26551" xr:uid="{1B5B0E75-C2CE-4615-8604-3E2B4B1B4A83}"/>
    <cellStyle name="20% - Accent6 2 3 2" xfId="614" xr:uid="{00000000-0005-0000-0000-00004C030000}"/>
    <cellStyle name="20% - Accent6 2 3 2 2" xfId="2885" xr:uid="{00000000-0005-0000-0000-00004D030000}"/>
    <cellStyle name="20% - Accent6 2 3 2 2 2" xfId="7107" xr:uid="{00000000-0005-0000-0000-00004E030000}"/>
    <cellStyle name="20% - Accent6 2 3 2 2 2 2" xfId="24880" xr:uid="{7A22A1F9-A349-41E2-9252-2DCA162DE08D}"/>
    <cellStyle name="20% - Accent6 2 3 2 2 2 2 2" xfId="41774" xr:uid="{D5BB9715-4A9B-42FC-BFE0-7017FD13CEDC}"/>
    <cellStyle name="20% - Accent6 2 3 2 2 2 3" xfId="16433" xr:uid="{AD90E09F-3E77-4511-9348-02EAFADCCA5D}"/>
    <cellStyle name="20% - Accent6 2 3 2 2 2 4" xfId="33327" xr:uid="{A2B29866-1B57-4E0E-B5F9-6A7E0A8AB1CC}"/>
    <cellStyle name="20% - Accent6 2 3 2 2 3" xfId="20663" xr:uid="{D8C335A7-C238-4B30-8ACD-43E9BBE741A6}"/>
    <cellStyle name="20% - Accent6 2 3 2 2 3 2" xfId="37557" xr:uid="{5FA70BE3-AD8B-4F9C-ABC8-C77C9A2F4E10}"/>
    <cellStyle name="20% - Accent6 2 3 2 2 4" xfId="12216" xr:uid="{5C97CD3B-5249-4168-9E50-177D3D54F39F}"/>
    <cellStyle name="20% - Accent6 2 3 2 2 5" xfId="29110" xr:uid="{E1A3EF09-F3ED-4E04-B480-5C95E26782D1}"/>
    <cellStyle name="20% - Accent6 2 3 2 3" xfId="4962" xr:uid="{00000000-0005-0000-0000-00004F030000}"/>
    <cellStyle name="20% - Accent6 2 3 2 3 2" xfId="22735" xr:uid="{EAC9037F-6D5E-4F72-A364-0C710080ECCB}"/>
    <cellStyle name="20% - Accent6 2 3 2 3 2 2" xfId="39629" xr:uid="{D045EC00-CA1D-48DA-82C9-0E5CC1EF0B9B}"/>
    <cellStyle name="20% - Accent6 2 3 2 3 3" xfId="14288" xr:uid="{20981BB9-D278-45DE-9532-D723CC2883A3}"/>
    <cellStyle name="20% - Accent6 2 3 2 3 4" xfId="31182" xr:uid="{663E3203-7464-4369-A16A-1CDDE535F4CB}"/>
    <cellStyle name="20% - Accent6 2 3 2 4" xfId="9427" xr:uid="{009378B6-C0A8-4C7C-A9A2-F91104842D93}"/>
    <cellStyle name="20% - Accent6 2 3 2 4 2" xfId="18518" xr:uid="{A4496AA4-F432-412E-958D-CD817877C06E}"/>
    <cellStyle name="20% - Accent6 2 3 2 4 3" xfId="35412" xr:uid="{0F305D03-72C9-4D0A-9471-E46E8C7BA57F}"/>
    <cellStyle name="20% - Accent6 2 3 2 5" xfId="10071" xr:uid="{021D7119-112D-4641-BBE3-13E52659642B}"/>
    <cellStyle name="20% - Accent6 2 3 2 6" xfId="26965" xr:uid="{F9A500FE-BEF6-4890-96B0-B1D888CAF3A4}"/>
    <cellStyle name="20% - Accent6 2 3 3" xfId="1067" xr:uid="{00000000-0005-0000-0000-000050030000}"/>
    <cellStyle name="20% - Accent6 2 3 3 2" xfId="3298" xr:uid="{00000000-0005-0000-0000-000051030000}"/>
    <cellStyle name="20% - Accent6 2 3 3 2 2" xfId="7520" xr:uid="{00000000-0005-0000-0000-000052030000}"/>
    <cellStyle name="20% - Accent6 2 3 3 2 2 2" xfId="25293" xr:uid="{549AAE26-6602-4571-BD31-5F27B38DAE14}"/>
    <cellStyle name="20% - Accent6 2 3 3 2 2 2 2" xfId="42187" xr:uid="{F271E34D-5413-4488-8742-1F73BA225A54}"/>
    <cellStyle name="20% - Accent6 2 3 3 2 2 3" xfId="16846" xr:uid="{6885D67A-A03B-4E2A-9B41-C3A39E09007A}"/>
    <cellStyle name="20% - Accent6 2 3 3 2 2 4" xfId="33740" xr:uid="{A02AC189-C121-4C3E-9F64-1A2AB9F094BF}"/>
    <cellStyle name="20% - Accent6 2 3 3 2 3" xfId="21076" xr:uid="{6B68A403-156B-46CE-9715-19A94BD17A4B}"/>
    <cellStyle name="20% - Accent6 2 3 3 2 3 2" xfId="37970" xr:uid="{0623F9F5-4D2C-41DB-8206-4AD0AF72E132}"/>
    <cellStyle name="20% - Accent6 2 3 3 2 4" xfId="12629" xr:uid="{4096B9BB-3217-40B6-AC70-519A5A5470B2}"/>
    <cellStyle name="20% - Accent6 2 3 3 2 5" xfId="29523" xr:uid="{8034F1D7-3BF5-4DAB-910F-C3A471F54F3F}"/>
    <cellStyle name="20% - Accent6 2 3 3 3" xfId="5375" xr:uid="{00000000-0005-0000-0000-000053030000}"/>
    <cellStyle name="20% - Accent6 2 3 3 3 2" xfId="23148" xr:uid="{279B4825-5EDB-4277-A38E-22C5CB36A1D1}"/>
    <cellStyle name="20% - Accent6 2 3 3 3 2 2" xfId="40042" xr:uid="{C39AE7A8-27DB-4373-BB23-88DB20A737CE}"/>
    <cellStyle name="20% - Accent6 2 3 3 3 3" xfId="14701" xr:uid="{803D9313-FE94-49D0-8012-FAA40D9F5036}"/>
    <cellStyle name="20% - Accent6 2 3 3 3 4" xfId="31595" xr:uid="{AB0DF606-B474-4D55-A7F2-5578D7256502}"/>
    <cellStyle name="20% - Accent6 2 3 3 4" xfId="18931" xr:uid="{A4687398-7005-4BC2-802D-B5AC52CCDC56}"/>
    <cellStyle name="20% - Accent6 2 3 3 4 2" xfId="35825" xr:uid="{C4D5036B-594B-48E0-AC39-156568036363}"/>
    <cellStyle name="20% - Accent6 2 3 3 5" xfId="10484" xr:uid="{D5CEDDEB-90CA-413B-8DCE-5CEB5CAC378C}"/>
    <cellStyle name="20% - Accent6 2 3 3 6" xfId="27378" xr:uid="{DA131FFD-2648-4BF5-BC69-B47223AEFDA6}"/>
    <cellStyle name="20% - Accent6 2 3 4" xfId="1481" xr:uid="{00000000-0005-0000-0000-000054030000}"/>
    <cellStyle name="20% - Accent6 2 3 4 2" xfId="3711" xr:uid="{00000000-0005-0000-0000-000055030000}"/>
    <cellStyle name="20% - Accent6 2 3 4 2 2" xfId="7933" xr:uid="{00000000-0005-0000-0000-000056030000}"/>
    <cellStyle name="20% - Accent6 2 3 4 2 2 2" xfId="25706" xr:uid="{CD2F28EB-52B2-4AE4-BA93-16091B623F3C}"/>
    <cellStyle name="20% - Accent6 2 3 4 2 2 2 2" xfId="42600" xr:uid="{B50CE9BB-67AD-4BED-9660-5BAA497FBDD9}"/>
    <cellStyle name="20% - Accent6 2 3 4 2 2 3" xfId="17259" xr:uid="{BA186BA5-E8B1-4188-BCF8-CF2474B4BDAA}"/>
    <cellStyle name="20% - Accent6 2 3 4 2 2 4" xfId="34153" xr:uid="{A44DE3FA-A2F0-4A41-8998-E1C5835306BF}"/>
    <cellStyle name="20% - Accent6 2 3 4 2 3" xfId="21489" xr:uid="{B3AA45B8-558A-4C8F-AAE1-8887F9D8FA87}"/>
    <cellStyle name="20% - Accent6 2 3 4 2 3 2" xfId="38383" xr:uid="{DBE21C5A-DA9C-4E6D-B650-31CF7A45F584}"/>
    <cellStyle name="20% - Accent6 2 3 4 2 4" xfId="13042" xr:uid="{E6610B74-5899-448E-9BBE-7D137F51FAA2}"/>
    <cellStyle name="20% - Accent6 2 3 4 2 5" xfId="29936" xr:uid="{E4908D2B-0024-444D-8A4A-533FED76FB8A}"/>
    <cellStyle name="20% - Accent6 2 3 4 3" xfId="5788" xr:uid="{00000000-0005-0000-0000-000057030000}"/>
    <cellStyle name="20% - Accent6 2 3 4 3 2" xfId="23561" xr:uid="{1BF63474-8ABB-4D14-854B-72083D0004F0}"/>
    <cellStyle name="20% - Accent6 2 3 4 3 2 2" xfId="40455" xr:uid="{7864C2C7-FA08-4706-BF1B-1048EFD70400}"/>
    <cellStyle name="20% - Accent6 2 3 4 3 3" xfId="15114" xr:uid="{2606804A-26BF-4327-84F4-48B831B4B834}"/>
    <cellStyle name="20% - Accent6 2 3 4 3 4" xfId="32008" xr:uid="{7FC3E902-79EC-4281-A6F9-055491C2F18A}"/>
    <cellStyle name="20% - Accent6 2 3 4 4" xfId="19344" xr:uid="{F2286638-C12E-4EB9-8211-608F9BB85837}"/>
    <cellStyle name="20% - Accent6 2 3 4 4 2" xfId="36238" xr:uid="{27A2E5C6-CB53-4075-9FD8-1B7D335B6BEC}"/>
    <cellStyle name="20% - Accent6 2 3 4 5" xfId="10897" xr:uid="{361389C5-E642-492A-86FD-40B6DA7A61DB}"/>
    <cellStyle name="20% - Accent6 2 3 4 6" xfId="27791" xr:uid="{F1C0DA45-A25D-49E8-A4A6-8D8E169166F5}"/>
    <cellStyle name="20% - Accent6 2 3 5" xfId="1895" xr:uid="{00000000-0005-0000-0000-000058030000}"/>
    <cellStyle name="20% - Accent6 2 3 5 2" xfId="4124" xr:uid="{00000000-0005-0000-0000-000059030000}"/>
    <cellStyle name="20% - Accent6 2 3 5 2 2" xfId="8346" xr:uid="{00000000-0005-0000-0000-00005A030000}"/>
    <cellStyle name="20% - Accent6 2 3 5 2 2 2" xfId="26119" xr:uid="{D5071199-BD10-4A10-8445-1FD0480C4B64}"/>
    <cellStyle name="20% - Accent6 2 3 5 2 2 2 2" xfId="43013" xr:uid="{FE5EBF24-F094-493D-9D15-0D7D5714853F}"/>
    <cellStyle name="20% - Accent6 2 3 5 2 2 3" xfId="17672" xr:uid="{1E6EB816-0300-402F-9CDC-2743B7CA976F}"/>
    <cellStyle name="20% - Accent6 2 3 5 2 2 4" xfId="34566" xr:uid="{2B6B9EDB-93D2-4232-9EA4-A705469250D5}"/>
    <cellStyle name="20% - Accent6 2 3 5 2 3" xfId="21902" xr:uid="{9122AABB-6663-4FB1-A1FB-87E82A890575}"/>
    <cellStyle name="20% - Accent6 2 3 5 2 3 2" xfId="38796" xr:uid="{547A70F1-3FD9-4090-9DC0-C7E2F4B2489E}"/>
    <cellStyle name="20% - Accent6 2 3 5 2 4" xfId="13455" xr:uid="{1F5D0561-93D6-42DD-93BE-1FC024B0FC9B}"/>
    <cellStyle name="20% - Accent6 2 3 5 2 5" xfId="30349" xr:uid="{EF16AD98-B416-4164-8D25-F833A8BD0C37}"/>
    <cellStyle name="20% - Accent6 2 3 5 3" xfId="6201" xr:uid="{00000000-0005-0000-0000-00005B030000}"/>
    <cellStyle name="20% - Accent6 2 3 5 3 2" xfId="23974" xr:uid="{A1927376-61BC-4600-A762-4BB5304B40E5}"/>
    <cellStyle name="20% - Accent6 2 3 5 3 2 2" xfId="40868" xr:uid="{CCB694E6-8FC9-4612-B19F-60CDBA3034A6}"/>
    <cellStyle name="20% - Accent6 2 3 5 3 3" xfId="15527" xr:uid="{BF7E72DF-9587-4384-B4D3-AAE8C4E89242}"/>
    <cellStyle name="20% - Accent6 2 3 5 3 4" xfId="32421" xr:uid="{4FC9A8EE-23BA-42CF-B36E-E0A8D39670BD}"/>
    <cellStyle name="20% - Accent6 2 3 5 4" xfId="19757" xr:uid="{CD9BD15B-F0CA-4DC6-A37D-DBB0AF6AEE22}"/>
    <cellStyle name="20% - Accent6 2 3 5 4 2" xfId="36651" xr:uid="{66025653-8146-45EA-8498-DE2AB10C208B}"/>
    <cellStyle name="20% - Accent6 2 3 5 5" xfId="11310" xr:uid="{B2CEF470-C835-4785-B5B1-4303C081345D}"/>
    <cellStyle name="20% - Accent6 2 3 5 6" xfId="28204" xr:uid="{9BA8D992-E877-46A4-9818-CDB7598A9CEF}"/>
    <cellStyle name="20% - Accent6 2 3 6" xfId="2308" xr:uid="{00000000-0005-0000-0000-00005C030000}"/>
    <cellStyle name="20% - Accent6 2 3 6 2" xfId="6614" xr:uid="{00000000-0005-0000-0000-00005D030000}"/>
    <cellStyle name="20% - Accent6 2 3 6 2 2" xfId="24387" xr:uid="{E667BD46-E08D-4F48-A746-AF1BBEBCDFB2}"/>
    <cellStyle name="20% - Accent6 2 3 6 2 2 2" xfId="41281" xr:uid="{D0F8BACB-CFC5-4A65-8518-36861BE59735}"/>
    <cellStyle name="20% - Accent6 2 3 6 2 3" xfId="15940" xr:uid="{857F7A1C-0B41-45AB-9F04-6A22924DA4C7}"/>
    <cellStyle name="20% - Accent6 2 3 6 2 4" xfId="32834" xr:uid="{860755D1-3DCD-47D3-A2C8-68BDF13C6B17}"/>
    <cellStyle name="20% - Accent6 2 3 6 3" xfId="20170" xr:uid="{C953FF6A-89B4-4CF2-8F2B-E52954EB070B}"/>
    <cellStyle name="20% - Accent6 2 3 6 3 2" xfId="37064" xr:uid="{3C2742E1-36FA-42DE-B45A-FC6662338509}"/>
    <cellStyle name="20% - Accent6 2 3 6 4" xfId="11723" xr:uid="{E1535A71-CA84-4C00-B502-28CE2A9C66D4}"/>
    <cellStyle name="20% - Accent6 2 3 6 5" xfId="28617" xr:uid="{5C6C9DAF-EF3A-44B6-981E-4AE5DCD7F65C}"/>
    <cellStyle name="20% - Accent6 2 3 7" xfId="4548" xr:uid="{00000000-0005-0000-0000-00005E030000}"/>
    <cellStyle name="20% - Accent6 2 3 7 2" xfId="22321" xr:uid="{0B289D4F-FB46-4C1E-98B7-1212A21D82CE}"/>
    <cellStyle name="20% - Accent6 2 3 7 2 2" xfId="39215" xr:uid="{A4DDB78E-A7D4-4609-B862-C8DAE4C91605}"/>
    <cellStyle name="20% - Accent6 2 3 7 3" xfId="13874" xr:uid="{D187D5F6-A763-4269-BF39-2A6F8B0B52B5}"/>
    <cellStyle name="20% - Accent6 2 3 7 4" xfId="30768" xr:uid="{8CB51B13-3E15-4791-B2D2-E83877C32DA0}"/>
    <cellStyle name="20% - Accent6 2 3 8" xfId="9002" xr:uid="{F69877AB-868C-474F-8F88-C5F2F1F2C041}"/>
    <cellStyle name="20% - Accent6 2 3 8 2" xfId="18104" xr:uid="{2ED9DFE3-D644-4E51-AFDE-0DF6B8C56E57}"/>
    <cellStyle name="20% - Accent6 2 3 8 3" xfId="34998" xr:uid="{D01B1642-A917-4249-83E2-0AD54E7F3B18}"/>
    <cellStyle name="20% - Accent6 2 3 9" xfId="9657" xr:uid="{372FC8F6-3E4F-4ABB-BAC3-0B36CB184B63}"/>
    <cellStyle name="20% - Accent6 2 4" xfId="611" xr:uid="{00000000-0005-0000-0000-00005F030000}"/>
    <cellStyle name="20% - Accent6 2 4 2" xfId="2882" xr:uid="{00000000-0005-0000-0000-000060030000}"/>
    <cellStyle name="20% - Accent6 2 4 2 2" xfId="7104" xr:uid="{00000000-0005-0000-0000-000061030000}"/>
    <cellStyle name="20% - Accent6 2 4 2 2 2" xfId="24877" xr:uid="{8FB0F9E8-2334-4B1F-93C5-FDFA8D94CA41}"/>
    <cellStyle name="20% - Accent6 2 4 2 2 2 2" xfId="41771" xr:uid="{0E076F96-B4B2-495C-A126-97F2CF607B36}"/>
    <cellStyle name="20% - Accent6 2 4 2 2 3" xfId="16430" xr:uid="{2F862E02-231E-4CE7-994C-8934B7CB5B27}"/>
    <cellStyle name="20% - Accent6 2 4 2 2 4" xfId="33324" xr:uid="{1BE16E5A-EF71-4C07-B6D3-E85FD2FC1185}"/>
    <cellStyle name="20% - Accent6 2 4 2 3" xfId="20660" xr:uid="{59B40AB3-CEB3-4D91-8D62-43166791DFC7}"/>
    <cellStyle name="20% - Accent6 2 4 2 3 2" xfId="37554" xr:uid="{ED055EEC-EB33-4C33-9265-696F099B4943}"/>
    <cellStyle name="20% - Accent6 2 4 2 4" xfId="12213" xr:uid="{68E9D978-402D-4A96-8D77-ED10C1B04345}"/>
    <cellStyle name="20% - Accent6 2 4 2 5" xfId="29107" xr:uid="{4E0E978F-562B-45B8-9EB7-854C6B6155DE}"/>
    <cellStyle name="20% - Accent6 2 4 3" xfId="4959" xr:uid="{00000000-0005-0000-0000-000062030000}"/>
    <cellStyle name="20% - Accent6 2 4 3 2" xfId="22732" xr:uid="{704B25B5-3711-4BEE-9054-4FC86E95D773}"/>
    <cellStyle name="20% - Accent6 2 4 3 2 2" xfId="39626" xr:uid="{27883AA5-B831-4DBD-A9D8-8E28E677FF55}"/>
    <cellStyle name="20% - Accent6 2 4 3 3" xfId="14285" xr:uid="{07F098E9-187B-41DD-9826-FE6CE3AA2D0F}"/>
    <cellStyle name="20% - Accent6 2 4 3 4" xfId="31179" xr:uid="{265B618D-50C3-41C2-8036-72F6139B20D0}"/>
    <cellStyle name="20% - Accent6 2 4 4" xfId="9219" xr:uid="{C8AD75F8-261B-45C4-93F0-0E0A49EEEF79}"/>
    <cellStyle name="20% - Accent6 2 4 4 2" xfId="18515" xr:uid="{1A5B2C96-04BE-430B-B805-2A8834159865}"/>
    <cellStyle name="20% - Accent6 2 4 4 3" xfId="35409" xr:uid="{934EDAD9-5716-4A0B-B06B-E36B99211886}"/>
    <cellStyle name="20% - Accent6 2 4 5" xfId="10068" xr:uid="{CD4C85A9-41D8-4FA6-8B0D-E510A2D5F021}"/>
    <cellStyle name="20% - Accent6 2 4 6" xfId="26962" xr:uid="{76C06970-EFB1-4BD6-A0D2-E7F3FA7F18E6}"/>
    <cellStyle name="20% - Accent6 2 5" xfId="1064" xr:uid="{00000000-0005-0000-0000-000063030000}"/>
    <cellStyle name="20% - Accent6 2 5 2" xfId="3295" xr:uid="{00000000-0005-0000-0000-000064030000}"/>
    <cellStyle name="20% - Accent6 2 5 2 2" xfId="7517" xr:uid="{00000000-0005-0000-0000-000065030000}"/>
    <cellStyle name="20% - Accent6 2 5 2 2 2" xfId="25290" xr:uid="{C98CC998-33B9-4BBE-82C6-58AAA4A9E4C0}"/>
    <cellStyle name="20% - Accent6 2 5 2 2 2 2" xfId="42184" xr:uid="{388B677E-6298-4ECB-BE42-859405BAC21D}"/>
    <cellStyle name="20% - Accent6 2 5 2 2 3" xfId="16843" xr:uid="{B9C9B8E6-665E-4AC4-8CB5-F7E66ABB9903}"/>
    <cellStyle name="20% - Accent6 2 5 2 2 4" xfId="33737" xr:uid="{92B35C55-B020-4F45-9724-E9FF0E34D00F}"/>
    <cellStyle name="20% - Accent6 2 5 2 3" xfId="21073" xr:uid="{C38C9B1E-69AC-4FAF-A9E7-9875FA5CEB7F}"/>
    <cellStyle name="20% - Accent6 2 5 2 3 2" xfId="37967" xr:uid="{6216DD95-AB61-45FF-ADC5-2B70F4C22BFD}"/>
    <cellStyle name="20% - Accent6 2 5 2 4" xfId="12626" xr:uid="{4E83B581-9D6F-4803-B388-2F0742C34EA5}"/>
    <cellStyle name="20% - Accent6 2 5 2 5" xfId="29520" xr:uid="{6232DEE2-CBC3-4156-A4B7-AFF20815FB4B}"/>
    <cellStyle name="20% - Accent6 2 5 3" xfId="5372" xr:uid="{00000000-0005-0000-0000-000066030000}"/>
    <cellStyle name="20% - Accent6 2 5 3 2" xfId="23145" xr:uid="{BF5BBE5A-8C6F-49B6-AA5F-64C9BDA97528}"/>
    <cellStyle name="20% - Accent6 2 5 3 2 2" xfId="40039" xr:uid="{6FBB042E-79BB-46D5-AE90-94B9505FEF0C}"/>
    <cellStyle name="20% - Accent6 2 5 3 3" xfId="14698" xr:uid="{3AE2CCC0-B740-4E07-8E7A-D144509448A7}"/>
    <cellStyle name="20% - Accent6 2 5 3 4" xfId="31592" xr:uid="{7F0E0574-C154-4A0C-A842-FE57E89A0F1D}"/>
    <cellStyle name="20% - Accent6 2 5 4" xfId="18928" xr:uid="{B630A5AC-0D86-4682-A8E0-27377CFB72B6}"/>
    <cellStyle name="20% - Accent6 2 5 4 2" xfId="35822" xr:uid="{BD811C69-8CFE-49F9-93A2-379BE6FDD605}"/>
    <cellStyle name="20% - Accent6 2 5 5" xfId="10481" xr:uid="{81766FCC-5C64-4DB4-8F70-095FEB484A3F}"/>
    <cellStyle name="20% - Accent6 2 5 6" xfId="27375" xr:uid="{23D545C9-090F-4B4B-9D19-C7057282F46D}"/>
    <cellStyle name="20% - Accent6 2 6" xfId="1478" xr:uid="{00000000-0005-0000-0000-000067030000}"/>
    <cellStyle name="20% - Accent6 2 6 2" xfId="3708" xr:uid="{00000000-0005-0000-0000-000068030000}"/>
    <cellStyle name="20% - Accent6 2 6 2 2" xfId="7930" xr:uid="{00000000-0005-0000-0000-000069030000}"/>
    <cellStyle name="20% - Accent6 2 6 2 2 2" xfId="25703" xr:uid="{798BF058-5470-49A2-8C7B-FECB5424FFFA}"/>
    <cellStyle name="20% - Accent6 2 6 2 2 2 2" xfId="42597" xr:uid="{3AEBE2F8-C1B3-45B9-A347-06CB7A822128}"/>
    <cellStyle name="20% - Accent6 2 6 2 2 3" xfId="17256" xr:uid="{0170390F-449C-4E03-82AC-B8B894DB8ACE}"/>
    <cellStyle name="20% - Accent6 2 6 2 2 4" xfId="34150" xr:uid="{79CDF91A-4F1F-478F-9565-19EEB72C9441}"/>
    <cellStyle name="20% - Accent6 2 6 2 3" xfId="21486" xr:uid="{75FA0906-4746-47E3-8A4B-D98749D42629}"/>
    <cellStyle name="20% - Accent6 2 6 2 3 2" xfId="38380" xr:uid="{251A0C43-BC3F-4D9A-AEAA-0FB81A02F081}"/>
    <cellStyle name="20% - Accent6 2 6 2 4" xfId="13039" xr:uid="{663A8E02-440B-4FE5-B864-9E5CF6892B6F}"/>
    <cellStyle name="20% - Accent6 2 6 2 5" xfId="29933" xr:uid="{67C8320B-8A32-418A-A821-9902D9A1F22D}"/>
    <cellStyle name="20% - Accent6 2 6 3" xfId="5785" xr:uid="{00000000-0005-0000-0000-00006A030000}"/>
    <cellStyle name="20% - Accent6 2 6 3 2" xfId="23558" xr:uid="{D1EE08A1-2F6C-418E-BCD9-3E1E495F9EF2}"/>
    <cellStyle name="20% - Accent6 2 6 3 2 2" xfId="40452" xr:uid="{76E5C700-F3F2-4FFC-B635-A48AD317C1DE}"/>
    <cellStyle name="20% - Accent6 2 6 3 3" xfId="15111" xr:uid="{E6B4B190-FEBB-47AD-A464-96DA9C277F6E}"/>
    <cellStyle name="20% - Accent6 2 6 3 4" xfId="32005" xr:uid="{2E97B35F-1FD4-4D7C-9514-D35129BF9B9F}"/>
    <cellStyle name="20% - Accent6 2 6 4" xfId="19341" xr:uid="{DD88E84A-9738-45DA-810F-1E06F0793816}"/>
    <cellStyle name="20% - Accent6 2 6 4 2" xfId="36235" xr:uid="{5B965510-96D2-43EE-A218-B287CFE29CD8}"/>
    <cellStyle name="20% - Accent6 2 6 5" xfId="10894" xr:uid="{F5E2DC1B-602F-447D-A0CC-357AB28099BE}"/>
    <cellStyle name="20% - Accent6 2 6 6" xfId="27788" xr:uid="{1FDA990E-6202-477D-B01F-FF97B63D3897}"/>
    <cellStyle name="20% - Accent6 2 7" xfId="1892" xr:uid="{00000000-0005-0000-0000-00006B030000}"/>
    <cellStyle name="20% - Accent6 2 7 2" xfId="4121" xr:uid="{00000000-0005-0000-0000-00006C030000}"/>
    <cellStyle name="20% - Accent6 2 7 2 2" xfId="8343" xr:uid="{00000000-0005-0000-0000-00006D030000}"/>
    <cellStyle name="20% - Accent6 2 7 2 2 2" xfId="26116" xr:uid="{76B6BF0D-131A-408A-B0AF-AB22559EC1FE}"/>
    <cellStyle name="20% - Accent6 2 7 2 2 2 2" xfId="43010" xr:uid="{CD66C094-F8D6-45E3-AB2D-6A681D51AC92}"/>
    <cellStyle name="20% - Accent6 2 7 2 2 3" xfId="17669" xr:uid="{F1C425EA-F773-4C2A-AE45-09E31088357A}"/>
    <cellStyle name="20% - Accent6 2 7 2 2 4" xfId="34563" xr:uid="{9F21CB2F-8654-4BA3-83EF-068DC957DD46}"/>
    <cellStyle name="20% - Accent6 2 7 2 3" xfId="21899" xr:uid="{9F699B44-CB48-4589-84F7-9DEA500EA6A1}"/>
    <cellStyle name="20% - Accent6 2 7 2 3 2" xfId="38793" xr:uid="{36D7CA40-9556-4D43-8082-72EEFE449451}"/>
    <cellStyle name="20% - Accent6 2 7 2 4" xfId="13452" xr:uid="{BA3E88CB-DCEE-47F1-A226-27B1F1193C19}"/>
    <cellStyle name="20% - Accent6 2 7 2 5" xfId="30346" xr:uid="{25523AE2-B007-4388-8232-3638481DE683}"/>
    <cellStyle name="20% - Accent6 2 7 3" xfId="6198" xr:uid="{00000000-0005-0000-0000-00006E030000}"/>
    <cellStyle name="20% - Accent6 2 7 3 2" xfId="23971" xr:uid="{72BF1AD5-9DD4-4D27-B4F8-4C564EC70529}"/>
    <cellStyle name="20% - Accent6 2 7 3 2 2" xfId="40865" xr:uid="{585F5968-AE72-476C-AAD1-086FDBD0EC18}"/>
    <cellStyle name="20% - Accent6 2 7 3 3" xfId="15524" xr:uid="{23387361-9C81-40E7-836E-6A62E2EB7C84}"/>
    <cellStyle name="20% - Accent6 2 7 3 4" xfId="32418" xr:uid="{C0DA67C8-F645-42D5-A4DB-D8ACAA7ADC1C}"/>
    <cellStyle name="20% - Accent6 2 7 4" xfId="19754" xr:uid="{11FF6C83-D8A1-4B64-A228-E2BFE7D3F9C7}"/>
    <cellStyle name="20% - Accent6 2 7 4 2" xfId="36648" xr:uid="{9440E3E6-B865-434B-ACC0-D007BFAB06AC}"/>
    <cellStyle name="20% - Accent6 2 7 5" xfId="11307" xr:uid="{F80CE47F-8B92-4760-9300-953617659DA7}"/>
    <cellStyle name="20% - Accent6 2 7 6" xfId="28201" xr:uid="{5FD31A6F-A9F6-4621-819F-C1265AF14F4D}"/>
    <cellStyle name="20% - Accent6 2 8" xfId="2305" xr:uid="{00000000-0005-0000-0000-00006F030000}"/>
    <cellStyle name="20% - Accent6 2 8 2" xfId="6611" xr:uid="{00000000-0005-0000-0000-000070030000}"/>
    <cellStyle name="20% - Accent6 2 8 2 2" xfId="24384" xr:uid="{5C7197D7-FA36-4CB8-BBA3-F573F5F07E5D}"/>
    <cellStyle name="20% - Accent6 2 8 2 2 2" xfId="41278" xr:uid="{55E758A7-A955-4E6B-A220-55792D671CF4}"/>
    <cellStyle name="20% - Accent6 2 8 2 3" xfId="15937" xr:uid="{536702A8-3723-4A1E-BE26-7ED301295DD5}"/>
    <cellStyle name="20% - Accent6 2 8 2 4" xfId="32831" xr:uid="{379D4A7C-8A22-4B80-BC69-F2FBDFB6BA00}"/>
    <cellStyle name="20% - Accent6 2 8 3" xfId="20167" xr:uid="{B73DBDF1-8A4F-4755-BFC5-701DB8E601AE}"/>
    <cellStyle name="20% - Accent6 2 8 3 2" xfId="37061" xr:uid="{0EE02B89-0F33-49B8-881E-13E08EDC391C}"/>
    <cellStyle name="20% - Accent6 2 8 4" xfId="11720" xr:uid="{E8B17B5C-E19E-45F7-9E35-DE4C1D1A4BA1}"/>
    <cellStyle name="20% - Accent6 2 8 5" xfId="28614" xr:uid="{969EF5D9-FAE5-4CAD-B43C-36F53A669D30}"/>
    <cellStyle name="20% - Accent6 2 9" xfId="4545" xr:uid="{00000000-0005-0000-0000-000071030000}"/>
    <cellStyle name="20% - Accent6 2 9 2" xfId="22318" xr:uid="{6225EFF2-E4C5-4A69-8E22-A690B1F169ED}"/>
    <cellStyle name="20% - Accent6 2 9 2 2" xfId="39212" xr:uid="{E4CD29FE-F1AC-4B7E-BD60-17D1A3A7AFC7}"/>
    <cellStyle name="20% - Accent6 2 9 3" xfId="13871" xr:uid="{D15F850A-2D4C-4D89-8F30-8D744BAAF3BE}"/>
    <cellStyle name="20% - Accent6 2 9 4" xfId="30765" xr:uid="{A9C62AB6-9909-45BA-ABBA-55ADAC74C6D7}"/>
    <cellStyle name="20% - Accent6 3" xfId="46" xr:uid="{00000000-0005-0000-0000-000072030000}"/>
    <cellStyle name="20% - Accent6 3 10" xfId="9658" xr:uid="{217E1588-A16D-4C78-9D0E-DDC0E043B2D6}"/>
    <cellStyle name="20% - Accent6 3 11" xfId="26552" xr:uid="{5CAA2619-8EC8-4338-9331-B1AF3CEAA2EC}"/>
    <cellStyle name="20% - Accent6 3 2" xfId="47" xr:uid="{00000000-0005-0000-0000-000073030000}"/>
    <cellStyle name="20% - Accent6 3 2 10" xfId="26553" xr:uid="{EAC1CF96-B3B6-42F3-A704-2EF5E7FADA4B}"/>
    <cellStyle name="20% - Accent6 3 2 2" xfId="616" xr:uid="{00000000-0005-0000-0000-000074030000}"/>
    <cellStyle name="20% - Accent6 3 2 2 2" xfId="2887" xr:uid="{00000000-0005-0000-0000-000075030000}"/>
    <cellStyle name="20% - Accent6 3 2 2 2 2" xfId="7109" xr:uid="{00000000-0005-0000-0000-000076030000}"/>
    <cellStyle name="20% - Accent6 3 2 2 2 2 2" xfId="24882" xr:uid="{5B5DFDD1-204B-42E9-BB61-6ACA961F8B58}"/>
    <cellStyle name="20% - Accent6 3 2 2 2 2 2 2" xfId="41776" xr:uid="{D5B8C8CA-87F5-4FF7-9812-036C878DF675}"/>
    <cellStyle name="20% - Accent6 3 2 2 2 2 3" xfId="16435" xr:uid="{F4FB823A-BE2B-4648-BD3A-FA778E94E9D1}"/>
    <cellStyle name="20% - Accent6 3 2 2 2 2 4" xfId="33329" xr:uid="{E6599983-1448-4F4A-9C07-C1C8582ECF9E}"/>
    <cellStyle name="20% - Accent6 3 2 2 2 3" xfId="20665" xr:uid="{88B8C766-317D-4189-AB18-CFAC9C1B7A68}"/>
    <cellStyle name="20% - Accent6 3 2 2 2 3 2" xfId="37559" xr:uid="{0052482D-3A83-4FAC-B934-1D122FBE0A6F}"/>
    <cellStyle name="20% - Accent6 3 2 2 2 4" xfId="12218" xr:uid="{63F30E84-076B-455B-B65D-7F3027D1BCFD}"/>
    <cellStyle name="20% - Accent6 3 2 2 2 5" xfId="29112" xr:uid="{CBAF8553-198C-41A7-87A3-88A4CD0576A6}"/>
    <cellStyle name="20% - Accent6 3 2 2 3" xfId="4964" xr:uid="{00000000-0005-0000-0000-000077030000}"/>
    <cellStyle name="20% - Accent6 3 2 2 3 2" xfId="22737" xr:uid="{733DCAE7-CC4D-4213-A658-A7597F9EE535}"/>
    <cellStyle name="20% - Accent6 3 2 2 3 2 2" xfId="39631" xr:uid="{5D079633-2B70-40D2-A1F2-DBADC3C85F4B}"/>
    <cellStyle name="20% - Accent6 3 2 2 3 3" xfId="14290" xr:uid="{7C42BE81-D925-4309-8512-05747B0FA188}"/>
    <cellStyle name="20% - Accent6 3 2 2 3 4" xfId="31184" xr:uid="{F875703F-269B-4E67-A83D-7C912E5D0FC0}"/>
    <cellStyle name="20% - Accent6 3 2 2 4" xfId="9503" xr:uid="{A5A3EDF8-16EA-4A86-8795-C3BA46FE244A}"/>
    <cellStyle name="20% - Accent6 3 2 2 4 2" xfId="18520" xr:uid="{667F4C28-0831-440D-A933-2F055642E71E}"/>
    <cellStyle name="20% - Accent6 3 2 2 4 3" xfId="35414" xr:uid="{7C2A82B1-0429-4CAC-991A-659A45FB95F7}"/>
    <cellStyle name="20% - Accent6 3 2 2 5" xfId="10073" xr:uid="{0A4C84A8-58CD-4A8E-B766-A3364E708E7D}"/>
    <cellStyle name="20% - Accent6 3 2 2 6" xfId="26967" xr:uid="{0F0904F4-77F9-424A-8205-B41103478EF7}"/>
    <cellStyle name="20% - Accent6 3 2 3" xfId="1069" xr:uid="{00000000-0005-0000-0000-000078030000}"/>
    <cellStyle name="20% - Accent6 3 2 3 2" xfId="3300" xr:uid="{00000000-0005-0000-0000-000079030000}"/>
    <cellStyle name="20% - Accent6 3 2 3 2 2" xfId="7522" xr:uid="{00000000-0005-0000-0000-00007A030000}"/>
    <cellStyle name="20% - Accent6 3 2 3 2 2 2" xfId="25295" xr:uid="{828FC872-845A-42AC-8047-F2FE04E4E13F}"/>
    <cellStyle name="20% - Accent6 3 2 3 2 2 2 2" xfId="42189" xr:uid="{D47A225F-52DA-48E2-B612-A75D744C6AB8}"/>
    <cellStyle name="20% - Accent6 3 2 3 2 2 3" xfId="16848" xr:uid="{F76C2F2F-E0A1-42C4-8EBA-1588F818C632}"/>
    <cellStyle name="20% - Accent6 3 2 3 2 2 4" xfId="33742" xr:uid="{B8DCA7F6-3933-408D-9C14-60D20E043B88}"/>
    <cellStyle name="20% - Accent6 3 2 3 2 3" xfId="21078" xr:uid="{1B7CB98F-B7AE-4145-AA22-AED243E7787F}"/>
    <cellStyle name="20% - Accent6 3 2 3 2 3 2" xfId="37972" xr:uid="{EE89E6EE-3134-4A29-9AF4-442FA8A9A619}"/>
    <cellStyle name="20% - Accent6 3 2 3 2 4" xfId="12631" xr:uid="{614A34F5-0483-4005-B42F-C98FE84931B4}"/>
    <cellStyle name="20% - Accent6 3 2 3 2 5" xfId="29525" xr:uid="{000AF114-2091-4521-B2E7-C95DD24EDE72}"/>
    <cellStyle name="20% - Accent6 3 2 3 3" xfId="5377" xr:uid="{00000000-0005-0000-0000-00007B030000}"/>
    <cellStyle name="20% - Accent6 3 2 3 3 2" xfId="23150" xr:uid="{08B2ECB6-F83B-4F3C-B118-2AB46B7C8BCB}"/>
    <cellStyle name="20% - Accent6 3 2 3 3 2 2" xfId="40044" xr:uid="{321076E9-B0C3-47AC-AC11-6230017CE2A8}"/>
    <cellStyle name="20% - Accent6 3 2 3 3 3" xfId="14703" xr:uid="{F2686723-D754-4EB3-B1B9-05F30D13F285}"/>
    <cellStyle name="20% - Accent6 3 2 3 3 4" xfId="31597" xr:uid="{89D84462-4327-4B4C-ABFF-52E4558D2ABA}"/>
    <cellStyle name="20% - Accent6 3 2 3 4" xfId="18933" xr:uid="{0F235B73-73DC-4BD8-B0EB-09A614332F76}"/>
    <cellStyle name="20% - Accent6 3 2 3 4 2" xfId="35827" xr:uid="{6387F114-7B29-4A83-B6DD-A278DB0CDAB7}"/>
    <cellStyle name="20% - Accent6 3 2 3 5" xfId="10486" xr:uid="{99274660-0F37-4A7E-A204-397B25A0B86A}"/>
    <cellStyle name="20% - Accent6 3 2 3 6" xfId="27380" xr:uid="{04B0BFAB-4043-44F9-9D48-9894E9826234}"/>
    <cellStyle name="20% - Accent6 3 2 4" xfId="1483" xr:uid="{00000000-0005-0000-0000-00007C030000}"/>
    <cellStyle name="20% - Accent6 3 2 4 2" xfId="3713" xr:uid="{00000000-0005-0000-0000-00007D030000}"/>
    <cellStyle name="20% - Accent6 3 2 4 2 2" xfId="7935" xr:uid="{00000000-0005-0000-0000-00007E030000}"/>
    <cellStyle name="20% - Accent6 3 2 4 2 2 2" xfId="25708" xr:uid="{592535B5-2953-4555-B63A-DF8D223547DE}"/>
    <cellStyle name="20% - Accent6 3 2 4 2 2 2 2" xfId="42602" xr:uid="{5D34ACF5-09B6-469B-B5C5-18C366C06581}"/>
    <cellStyle name="20% - Accent6 3 2 4 2 2 3" xfId="17261" xr:uid="{7C9C3923-4322-489C-9AC8-4A8F23A25C9F}"/>
    <cellStyle name="20% - Accent6 3 2 4 2 2 4" xfId="34155" xr:uid="{E99BE759-4F4E-4BF8-A85D-F6ABBFD56C48}"/>
    <cellStyle name="20% - Accent6 3 2 4 2 3" xfId="21491" xr:uid="{28F1B1E2-29AB-4688-8A85-F3F84861CC95}"/>
    <cellStyle name="20% - Accent6 3 2 4 2 3 2" xfId="38385" xr:uid="{71221B36-4970-493B-8BCD-D56748758C0C}"/>
    <cellStyle name="20% - Accent6 3 2 4 2 4" xfId="13044" xr:uid="{28EBCA1B-FBD6-4416-B01B-5BDE6E3FF2F1}"/>
    <cellStyle name="20% - Accent6 3 2 4 2 5" xfId="29938" xr:uid="{9CD8D585-D9AA-477D-A821-D8F23414FDB7}"/>
    <cellStyle name="20% - Accent6 3 2 4 3" xfId="5790" xr:uid="{00000000-0005-0000-0000-00007F030000}"/>
    <cellStyle name="20% - Accent6 3 2 4 3 2" xfId="23563" xr:uid="{5A24B97B-5A22-4D53-BD21-B41BEE4A1D44}"/>
    <cellStyle name="20% - Accent6 3 2 4 3 2 2" xfId="40457" xr:uid="{17EAE4E5-B07D-4C65-A328-2C7928285A8B}"/>
    <cellStyle name="20% - Accent6 3 2 4 3 3" xfId="15116" xr:uid="{388D30DA-0573-4C05-B63E-129C474E2D97}"/>
    <cellStyle name="20% - Accent6 3 2 4 3 4" xfId="32010" xr:uid="{7E7A4AAE-0C5C-401C-8CBB-2964BAE74F65}"/>
    <cellStyle name="20% - Accent6 3 2 4 4" xfId="19346" xr:uid="{6F2835B2-D630-4448-AEB0-82AE4A3603AD}"/>
    <cellStyle name="20% - Accent6 3 2 4 4 2" xfId="36240" xr:uid="{56B05CA0-6118-4F43-A5B3-C9C03F3FCF6E}"/>
    <cellStyle name="20% - Accent6 3 2 4 5" xfId="10899" xr:uid="{2A139B31-07ED-4779-83CC-57CF174D589A}"/>
    <cellStyle name="20% - Accent6 3 2 4 6" xfId="27793" xr:uid="{42B618C8-A6BE-4BB0-B033-6CF804917EAE}"/>
    <cellStyle name="20% - Accent6 3 2 5" xfId="1897" xr:uid="{00000000-0005-0000-0000-000080030000}"/>
    <cellStyle name="20% - Accent6 3 2 5 2" xfId="4126" xr:uid="{00000000-0005-0000-0000-000081030000}"/>
    <cellStyle name="20% - Accent6 3 2 5 2 2" xfId="8348" xr:uid="{00000000-0005-0000-0000-000082030000}"/>
    <cellStyle name="20% - Accent6 3 2 5 2 2 2" xfId="26121" xr:uid="{43512215-171C-4EEF-9B7D-0A70658F5433}"/>
    <cellStyle name="20% - Accent6 3 2 5 2 2 2 2" xfId="43015" xr:uid="{23098686-69DA-4451-9639-4FE660B54C61}"/>
    <cellStyle name="20% - Accent6 3 2 5 2 2 3" xfId="17674" xr:uid="{ED515DB9-1C30-4C43-9C34-6399E3E828BC}"/>
    <cellStyle name="20% - Accent6 3 2 5 2 2 4" xfId="34568" xr:uid="{32F7A116-64D9-4CEF-9F6B-B759907BA700}"/>
    <cellStyle name="20% - Accent6 3 2 5 2 3" xfId="21904" xr:uid="{14DCCC3A-5ECC-4E5F-8C49-3EE994BA8322}"/>
    <cellStyle name="20% - Accent6 3 2 5 2 3 2" xfId="38798" xr:uid="{C1B05E8F-63A9-4B9B-9373-8C2D4A06B0AD}"/>
    <cellStyle name="20% - Accent6 3 2 5 2 4" xfId="13457" xr:uid="{EAB7E0B1-A695-4CEF-A514-80359204A0A3}"/>
    <cellStyle name="20% - Accent6 3 2 5 2 5" xfId="30351" xr:uid="{FFBF7BF3-731C-418B-90E8-39C81A36239D}"/>
    <cellStyle name="20% - Accent6 3 2 5 3" xfId="6203" xr:uid="{00000000-0005-0000-0000-000083030000}"/>
    <cellStyle name="20% - Accent6 3 2 5 3 2" xfId="23976" xr:uid="{742938D6-CF8C-4299-AEE9-651693B997A4}"/>
    <cellStyle name="20% - Accent6 3 2 5 3 2 2" xfId="40870" xr:uid="{5F9CE99C-26AC-4346-AD06-A387C2256B21}"/>
    <cellStyle name="20% - Accent6 3 2 5 3 3" xfId="15529" xr:uid="{5C21ABAE-D5E6-4B19-B7D9-85D32762FE51}"/>
    <cellStyle name="20% - Accent6 3 2 5 3 4" xfId="32423" xr:uid="{B43484ED-0438-4AEC-8925-3A49E94AFF2F}"/>
    <cellStyle name="20% - Accent6 3 2 5 4" xfId="19759" xr:uid="{BBC6EA6D-6B75-47D3-B5D5-655CD65BC0A5}"/>
    <cellStyle name="20% - Accent6 3 2 5 4 2" xfId="36653" xr:uid="{C5795560-A9F7-4107-80CE-5C0CF4BD8B76}"/>
    <cellStyle name="20% - Accent6 3 2 5 5" xfId="11312" xr:uid="{F51BDD50-5EAB-44BD-B5D1-EA8BF3BDA5DC}"/>
    <cellStyle name="20% - Accent6 3 2 5 6" xfId="28206" xr:uid="{106CF5FD-AAC5-4079-8BCF-5620243531CE}"/>
    <cellStyle name="20% - Accent6 3 2 6" xfId="2310" xr:uid="{00000000-0005-0000-0000-000084030000}"/>
    <cellStyle name="20% - Accent6 3 2 6 2" xfId="6616" xr:uid="{00000000-0005-0000-0000-000085030000}"/>
    <cellStyle name="20% - Accent6 3 2 6 2 2" xfId="24389" xr:uid="{C3B968D5-9C5D-465A-B334-206E4438F9A0}"/>
    <cellStyle name="20% - Accent6 3 2 6 2 2 2" xfId="41283" xr:uid="{B29284FF-01E0-46CB-BE76-F9FA9DB72F54}"/>
    <cellStyle name="20% - Accent6 3 2 6 2 3" xfId="15942" xr:uid="{2C31052C-26B4-484B-88EC-A6BD239DE000}"/>
    <cellStyle name="20% - Accent6 3 2 6 2 4" xfId="32836" xr:uid="{E49D49C0-1375-44BE-9C9F-255E86061E3E}"/>
    <cellStyle name="20% - Accent6 3 2 6 3" xfId="20172" xr:uid="{997366E5-1519-4FBB-89F8-72D5D13AFA3A}"/>
    <cellStyle name="20% - Accent6 3 2 6 3 2" xfId="37066" xr:uid="{E0296864-AB41-4ECE-AE5E-EB9F992976EF}"/>
    <cellStyle name="20% - Accent6 3 2 6 4" xfId="11725" xr:uid="{5A1DD995-A86C-42AA-BEC7-C71879800DE4}"/>
    <cellStyle name="20% - Accent6 3 2 6 5" xfId="28619" xr:uid="{145ECFE0-4CCB-4E4A-9241-A4517922F699}"/>
    <cellStyle name="20% - Accent6 3 2 7" xfId="4550" xr:uid="{00000000-0005-0000-0000-000086030000}"/>
    <cellStyle name="20% - Accent6 3 2 7 2" xfId="22323" xr:uid="{6B36605E-2071-4256-A612-DA6CCB7D8190}"/>
    <cellStyle name="20% - Accent6 3 2 7 2 2" xfId="39217" xr:uid="{495F745A-E625-43B3-B6F4-BCE96AE82B62}"/>
    <cellStyle name="20% - Accent6 3 2 7 3" xfId="13876" xr:uid="{7A9390BA-D412-409A-A859-29201446FFED}"/>
    <cellStyle name="20% - Accent6 3 2 7 4" xfId="30770" xr:uid="{F1518830-E8EA-4BC3-9F87-96698A01F94B}"/>
    <cellStyle name="20% - Accent6 3 2 8" xfId="9078" xr:uid="{55C63253-C10A-44F0-A9A1-D3E9AD1B1E77}"/>
    <cellStyle name="20% - Accent6 3 2 8 2" xfId="18106" xr:uid="{36AC764F-DEA3-4DE4-989E-3D210E038243}"/>
    <cellStyle name="20% - Accent6 3 2 8 3" xfId="35000" xr:uid="{70F60A08-6206-4632-8567-DA79AF76B136}"/>
    <cellStyle name="20% - Accent6 3 2 9" xfId="9659" xr:uid="{C59A105A-1121-4941-95A7-542BAFA11C8A}"/>
    <cellStyle name="20% - Accent6 3 3" xfId="615" xr:uid="{00000000-0005-0000-0000-000087030000}"/>
    <cellStyle name="20% - Accent6 3 3 2" xfId="2886" xr:uid="{00000000-0005-0000-0000-000088030000}"/>
    <cellStyle name="20% - Accent6 3 3 2 2" xfId="7108" xr:uid="{00000000-0005-0000-0000-000089030000}"/>
    <cellStyle name="20% - Accent6 3 3 2 2 2" xfId="24881" xr:uid="{24CE428C-560A-4987-99B5-659CC66CEB1F}"/>
    <cellStyle name="20% - Accent6 3 3 2 2 2 2" xfId="41775" xr:uid="{96FDBFF6-C4EB-420D-AFCC-77F337B5A8C9}"/>
    <cellStyle name="20% - Accent6 3 3 2 2 3" xfId="16434" xr:uid="{889EFC66-FBA3-49EA-9BF7-5CF3F40AC791}"/>
    <cellStyle name="20% - Accent6 3 3 2 2 4" xfId="33328" xr:uid="{AA7A6E37-4AE7-425F-A3A5-2521AADF7507}"/>
    <cellStyle name="20% - Accent6 3 3 2 3" xfId="20664" xr:uid="{FE551435-CE45-47D9-ACF1-65B80847506A}"/>
    <cellStyle name="20% - Accent6 3 3 2 3 2" xfId="37558" xr:uid="{97A6DDA4-D7A7-48B0-A920-A6C78B2180A0}"/>
    <cellStyle name="20% - Accent6 3 3 2 4" xfId="12217" xr:uid="{359684C1-B724-4EA8-90A8-A2797D00AF65}"/>
    <cellStyle name="20% - Accent6 3 3 2 5" xfId="29111" xr:uid="{9083D6F2-6DF6-4052-BE9E-D8C55FB27B99}"/>
    <cellStyle name="20% - Accent6 3 3 3" xfId="4963" xr:uid="{00000000-0005-0000-0000-00008A030000}"/>
    <cellStyle name="20% - Accent6 3 3 3 2" xfId="22736" xr:uid="{C18344CC-0918-4869-809D-208FA05CC015}"/>
    <cellStyle name="20% - Accent6 3 3 3 2 2" xfId="39630" xr:uid="{C316AB5C-A557-4087-819D-118202C33550}"/>
    <cellStyle name="20% - Accent6 3 3 3 3" xfId="14289" xr:uid="{6C5BFBDE-09A8-469E-B016-914AED212FD3}"/>
    <cellStyle name="20% - Accent6 3 3 3 4" xfId="31183" xr:uid="{E80D6260-39EF-4307-808E-F313E1F6452B}"/>
    <cellStyle name="20% - Accent6 3 3 4" xfId="9296" xr:uid="{68DBDAD1-945F-459A-93CE-56D312D1EDE4}"/>
    <cellStyle name="20% - Accent6 3 3 4 2" xfId="18519" xr:uid="{E5B9F392-64BE-4BE4-9775-73B21B8830EA}"/>
    <cellStyle name="20% - Accent6 3 3 4 3" xfId="35413" xr:uid="{8E86EA32-66E1-4F8E-B63B-F23887848776}"/>
    <cellStyle name="20% - Accent6 3 3 5" xfId="10072" xr:uid="{9D8AC4E2-6CBA-47E0-A192-BD309FA9910B}"/>
    <cellStyle name="20% - Accent6 3 3 6" xfId="26966" xr:uid="{F8919D5B-24C2-4917-BDF5-FFF8086348F3}"/>
    <cellStyle name="20% - Accent6 3 4" xfId="1068" xr:uid="{00000000-0005-0000-0000-00008B030000}"/>
    <cellStyle name="20% - Accent6 3 4 2" xfId="3299" xr:uid="{00000000-0005-0000-0000-00008C030000}"/>
    <cellStyle name="20% - Accent6 3 4 2 2" xfId="7521" xr:uid="{00000000-0005-0000-0000-00008D030000}"/>
    <cellStyle name="20% - Accent6 3 4 2 2 2" xfId="25294" xr:uid="{4B34A706-13ED-47B8-A733-8211C63F2D3C}"/>
    <cellStyle name="20% - Accent6 3 4 2 2 2 2" xfId="42188" xr:uid="{FD49657F-6492-46E3-AAF1-24839F909ACE}"/>
    <cellStyle name="20% - Accent6 3 4 2 2 3" xfId="16847" xr:uid="{96DD72EF-2F9E-497A-BA82-00C1E734C2AC}"/>
    <cellStyle name="20% - Accent6 3 4 2 2 4" xfId="33741" xr:uid="{A3F92850-EB79-4819-895C-352FF4E05B2E}"/>
    <cellStyle name="20% - Accent6 3 4 2 3" xfId="21077" xr:uid="{F8C37DBC-48DC-46F1-9973-7605527EB74C}"/>
    <cellStyle name="20% - Accent6 3 4 2 3 2" xfId="37971" xr:uid="{721182C1-20C0-45EC-84D4-A1C00BD09C23}"/>
    <cellStyle name="20% - Accent6 3 4 2 4" xfId="12630" xr:uid="{51397B5F-5040-405C-959F-F62411FB4011}"/>
    <cellStyle name="20% - Accent6 3 4 2 5" xfId="29524" xr:uid="{B75B65BE-D91C-44C3-9E9B-A11032083A8E}"/>
    <cellStyle name="20% - Accent6 3 4 3" xfId="5376" xr:uid="{00000000-0005-0000-0000-00008E030000}"/>
    <cellStyle name="20% - Accent6 3 4 3 2" xfId="23149" xr:uid="{CD5C8F80-E99E-4C11-9052-8F0A65CC4BA7}"/>
    <cellStyle name="20% - Accent6 3 4 3 2 2" xfId="40043" xr:uid="{87F945D6-A5E3-4905-AAC3-34C23C71399C}"/>
    <cellStyle name="20% - Accent6 3 4 3 3" xfId="14702" xr:uid="{2AEB80E1-C60D-4C40-94BF-D603437A0A4B}"/>
    <cellStyle name="20% - Accent6 3 4 3 4" xfId="31596" xr:uid="{98C975D5-3FDD-4213-ADCC-2D88FEC357F6}"/>
    <cellStyle name="20% - Accent6 3 4 4" xfId="18932" xr:uid="{CEA13970-0AFD-4D2C-A6E7-72367065F6FA}"/>
    <cellStyle name="20% - Accent6 3 4 4 2" xfId="35826" xr:uid="{59A52E8C-F5F8-4823-96E2-B582D85895DC}"/>
    <cellStyle name="20% - Accent6 3 4 5" xfId="10485" xr:uid="{2ACB4715-3D1D-46D6-B5BD-59E4DF957AFD}"/>
    <cellStyle name="20% - Accent6 3 4 6" xfId="27379" xr:uid="{9E1B6486-D510-4762-B96B-6E78BD83B02F}"/>
    <cellStyle name="20% - Accent6 3 5" xfId="1482" xr:uid="{00000000-0005-0000-0000-00008F030000}"/>
    <cellStyle name="20% - Accent6 3 5 2" xfId="3712" xr:uid="{00000000-0005-0000-0000-000090030000}"/>
    <cellStyle name="20% - Accent6 3 5 2 2" xfId="7934" xr:uid="{00000000-0005-0000-0000-000091030000}"/>
    <cellStyle name="20% - Accent6 3 5 2 2 2" xfId="25707" xr:uid="{FA01E9DC-342D-4A4E-808C-CFA7F88401DD}"/>
    <cellStyle name="20% - Accent6 3 5 2 2 2 2" xfId="42601" xr:uid="{80D2CF22-8957-428D-9B53-EF1D73422601}"/>
    <cellStyle name="20% - Accent6 3 5 2 2 3" xfId="17260" xr:uid="{A141439C-E52B-4D30-80EA-31FE367D0314}"/>
    <cellStyle name="20% - Accent6 3 5 2 2 4" xfId="34154" xr:uid="{56545B51-3C5B-463F-8C29-AE78CBD11B3F}"/>
    <cellStyle name="20% - Accent6 3 5 2 3" xfId="21490" xr:uid="{DBB44297-369A-44FB-B619-D8190D107CCB}"/>
    <cellStyle name="20% - Accent6 3 5 2 3 2" xfId="38384" xr:uid="{D0B62064-609A-4021-8437-1F1A7EE081F7}"/>
    <cellStyle name="20% - Accent6 3 5 2 4" xfId="13043" xr:uid="{E54AF225-081C-4EFE-A077-5290FE9D3EA0}"/>
    <cellStyle name="20% - Accent6 3 5 2 5" xfId="29937" xr:uid="{2A1C3E08-DC55-4A62-832E-7DA02DBBBA20}"/>
    <cellStyle name="20% - Accent6 3 5 3" xfId="5789" xr:uid="{00000000-0005-0000-0000-000092030000}"/>
    <cellStyle name="20% - Accent6 3 5 3 2" xfId="23562" xr:uid="{89BB2613-10F0-426D-8368-4D9219274E45}"/>
    <cellStyle name="20% - Accent6 3 5 3 2 2" xfId="40456" xr:uid="{75E2EE7A-2808-4D00-8FA5-1FAA3CE9441E}"/>
    <cellStyle name="20% - Accent6 3 5 3 3" xfId="15115" xr:uid="{DD9A6F5F-F1FB-45AF-8195-F5196E7F8BC2}"/>
    <cellStyle name="20% - Accent6 3 5 3 4" xfId="32009" xr:uid="{78FF10E5-CF55-44A9-AF47-870F987B8A44}"/>
    <cellStyle name="20% - Accent6 3 5 4" xfId="19345" xr:uid="{8CED200E-18EC-4100-9135-0428F4F55879}"/>
    <cellStyle name="20% - Accent6 3 5 4 2" xfId="36239" xr:uid="{6DDB7F55-7AF6-449D-8618-6DB99B41BF9D}"/>
    <cellStyle name="20% - Accent6 3 5 5" xfId="10898" xr:uid="{C8B3A74C-D847-42D7-91D8-3C9416889572}"/>
    <cellStyle name="20% - Accent6 3 5 6" xfId="27792" xr:uid="{C0885D9C-7B86-46EE-BAF2-DEAF622702F8}"/>
    <cellStyle name="20% - Accent6 3 6" xfId="1896" xr:uid="{00000000-0005-0000-0000-000093030000}"/>
    <cellStyle name="20% - Accent6 3 6 2" xfId="4125" xr:uid="{00000000-0005-0000-0000-000094030000}"/>
    <cellStyle name="20% - Accent6 3 6 2 2" xfId="8347" xr:uid="{00000000-0005-0000-0000-000095030000}"/>
    <cellStyle name="20% - Accent6 3 6 2 2 2" xfId="26120" xr:uid="{43C4B203-A156-47FD-A3C7-2DF58CC65CB3}"/>
    <cellStyle name="20% - Accent6 3 6 2 2 2 2" xfId="43014" xr:uid="{68EDC1F4-7732-4139-8871-2904DE8A03C2}"/>
    <cellStyle name="20% - Accent6 3 6 2 2 3" xfId="17673" xr:uid="{4311164E-3A3B-422E-BF00-B5F34FD9F86B}"/>
    <cellStyle name="20% - Accent6 3 6 2 2 4" xfId="34567" xr:uid="{06031757-CFCB-4C1A-B9DF-24AFFA7AD362}"/>
    <cellStyle name="20% - Accent6 3 6 2 3" xfId="21903" xr:uid="{570ABD19-7C77-4044-A6CD-8510B52D8DA9}"/>
    <cellStyle name="20% - Accent6 3 6 2 3 2" xfId="38797" xr:uid="{AAA6DA90-EEFA-47FC-8357-53A4D6982A49}"/>
    <cellStyle name="20% - Accent6 3 6 2 4" xfId="13456" xr:uid="{2101D7BA-D87A-4894-B67B-9D0A294EC507}"/>
    <cellStyle name="20% - Accent6 3 6 2 5" xfId="30350" xr:uid="{78E3A3BF-BA9C-4383-AB50-83B32677DE62}"/>
    <cellStyle name="20% - Accent6 3 6 3" xfId="6202" xr:uid="{00000000-0005-0000-0000-000096030000}"/>
    <cellStyle name="20% - Accent6 3 6 3 2" xfId="23975" xr:uid="{4B5D6529-4F3F-4AE0-ACD7-D5A52C75B468}"/>
    <cellStyle name="20% - Accent6 3 6 3 2 2" xfId="40869" xr:uid="{BDF19ED3-292A-4C80-97BF-56AF7C25DDE3}"/>
    <cellStyle name="20% - Accent6 3 6 3 3" xfId="15528" xr:uid="{9FE1BDCD-9E11-414F-86EB-0ABDFBAE9358}"/>
    <cellStyle name="20% - Accent6 3 6 3 4" xfId="32422" xr:uid="{13937E1E-A4A7-4210-A8EB-DA3F226EB05D}"/>
    <cellStyle name="20% - Accent6 3 6 4" xfId="19758" xr:uid="{AD590A77-E82F-49A9-A17C-4D39838DBBF8}"/>
    <cellStyle name="20% - Accent6 3 6 4 2" xfId="36652" xr:uid="{33E3B49C-795B-45ED-B976-CF94AC0BC97D}"/>
    <cellStyle name="20% - Accent6 3 6 5" xfId="11311" xr:uid="{D48F842E-D3A1-4A02-B36C-8D3CA5D6F7E0}"/>
    <cellStyle name="20% - Accent6 3 6 6" xfId="28205" xr:uid="{01EEC812-436F-49A2-B899-462450A45B48}"/>
    <cellStyle name="20% - Accent6 3 7" xfId="2309" xr:uid="{00000000-0005-0000-0000-000097030000}"/>
    <cellStyle name="20% - Accent6 3 7 2" xfId="6615" xr:uid="{00000000-0005-0000-0000-000098030000}"/>
    <cellStyle name="20% - Accent6 3 7 2 2" xfId="24388" xr:uid="{56510223-668B-4A42-B326-414B2C85D6B6}"/>
    <cellStyle name="20% - Accent6 3 7 2 2 2" xfId="41282" xr:uid="{47B54C6A-42CC-4EE6-8D8B-AF7070BD7143}"/>
    <cellStyle name="20% - Accent6 3 7 2 3" xfId="15941" xr:uid="{5B279D7B-09AF-470C-B3B1-A57395ED6B6D}"/>
    <cellStyle name="20% - Accent6 3 7 2 4" xfId="32835" xr:uid="{294E3E61-F891-4833-908C-ECFC8F555467}"/>
    <cellStyle name="20% - Accent6 3 7 3" xfId="20171" xr:uid="{5256F1B0-432F-40B6-840C-49DEA5213D4A}"/>
    <cellStyle name="20% - Accent6 3 7 3 2" xfId="37065" xr:uid="{8FAEF7FE-3401-4845-83CE-D8A132D1A333}"/>
    <cellStyle name="20% - Accent6 3 7 4" xfId="11724" xr:uid="{1B088DA1-3B3D-41A2-B18D-F96BDB091A95}"/>
    <cellStyle name="20% - Accent6 3 7 5" xfId="28618" xr:uid="{A7642082-0185-4FDB-BB12-39A52C2015A2}"/>
    <cellStyle name="20% - Accent6 3 8" xfId="4549" xr:uid="{00000000-0005-0000-0000-000099030000}"/>
    <cellStyle name="20% - Accent6 3 8 2" xfId="22322" xr:uid="{260B1980-B6F2-4A84-99B0-1C777569C792}"/>
    <cellStyle name="20% - Accent6 3 8 2 2" xfId="39216" xr:uid="{79ADECDD-CC1F-4FDE-867F-F0533382DE25}"/>
    <cellStyle name="20% - Accent6 3 8 3" xfId="13875" xr:uid="{A0437159-3072-40F2-8BFF-53C8569B9E4F}"/>
    <cellStyle name="20% - Accent6 3 8 4" xfId="30769" xr:uid="{CFB17329-55B3-4C8A-AB69-FDABCCFFC60B}"/>
    <cellStyle name="20% - Accent6 3 9" xfId="8871" xr:uid="{6A653046-C3D6-46DC-9DAA-DA1241CBE9F0}"/>
    <cellStyle name="20% - Accent6 3 9 2" xfId="18105" xr:uid="{5899AF15-6102-4C20-A0CF-A43FCBAB516E}"/>
    <cellStyle name="20% - Accent6 3 9 3" xfId="34999" xr:uid="{1E7F3CC7-CB25-4ED6-A6F5-E1F817EF097B}"/>
    <cellStyle name="20% - Accent6 4" xfId="48" xr:uid="{00000000-0005-0000-0000-00009A030000}"/>
    <cellStyle name="20% - Accent6 4 10" xfId="26554" xr:uid="{10AD5F17-E179-41DE-B8A5-BD1C37A15723}"/>
    <cellStyle name="20% - Accent6 4 2" xfId="617" xr:uid="{00000000-0005-0000-0000-00009B030000}"/>
    <cellStyle name="20% - Accent6 4 2 2" xfId="2888" xr:uid="{00000000-0005-0000-0000-00009C030000}"/>
    <cellStyle name="20% - Accent6 4 2 2 2" xfId="7110" xr:uid="{00000000-0005-0000-0000-00009D030000}"/>
    <cellStyle name="20% - Accent6 4 2 2 2 2" xfId="24883" xr:uid="{31E047DD-B9EA-457C-937B-E5C50976B628}"/>
    <cellStyle name="20% - Accent6 4 2 2 2 2 2" xfId="41777" xr:uid="{891AAA3E-355E-4835-9E86-D76B34DC8013}"/>
    <cellStyle name="20% - Accent6 4 2 2 2 3" xfId="16436" xr:uid="{9B5D857B-152B-48F6-95C7-872D6D71F09F}"/>
    <cellStyle name="20% - Accent6 4 2 2 2 4" xfId="33330" xr:uid="{63F42ABB-099A-4F8C-BCD2-AE1ADF727542}"/>
    <cellStyle name="20% - Accent6 4 2 2 3" xfId="20666" xr:uid="{ED2200CC-EAF0-4A34-85FC-64A3AF4F9E33}"/>
    <cellStyle name="20% - Accent6 4 2 2 3 2" xfId="37560" xr:uid="{98F89A13-F6A6-4A37-846C-474C9C30CCB4}"/>
    <cellStyle name="20% - Accent6 4 2 2 4" xfId="12219" xr:uid="{20B81CB6-F93D-4858-A5CA-1C577AB2DFB8}"/>
    <cellStyle name="20% - Accent6 4 2 2 5" xfId="29113" xr:uid="{B3A04FD1-33EB-4D27-AA49-B6D0F6F2A0DF}"/>
    <cellStyle name="20% - Accent6 4 2 3" xfId="4965" xr:uid="{00000000-0005-0000-0000-00009E030000}"/>
    <cellStyle name="20% - Accent6 4 2 3 2" xfId="22738" xr:uid="{12FAE7C6-FD41-40CB-9BAA-A1470BBE9E55}"/>
    <cellStyle name="20% - Accent6 4 2 3 2 2" xfId="39632" xr:uid="{370C9D23-15C0-4EC4-8E64-6651F6C80C2C}"/>
    <cellStyle name="20% - Accent6 4 2 3 3" xfId="14291" xr:uid="{8C5F7789-4F17-40AE-8F3F-0155C898CC9D}"/>
    <cellStyle name="20% - Accent6 4 2 3 4" xfId="31185" xr:uid="{B7D85F08-5DAF-4265-94D7-BD93222A6C87}"/>
    <cellStyle name="20% - Accent6 4 2 4" xfId="9382" xr:uid="{704ED43C-A59A-4E80-A03F-B933767E3A55}"/>
    <cellStyle name="20% - Accent6 4 2 4 2" xfId="18521" xr:uid="{1CCA34E8-0D57-464A-9B1E-51F4E914BBC9}"/>
    <cellStyle name="20% - Accent6 4 2 4 3" xfId="35415" xr:uid="{AD13991A-6D02-459B-B581-7A5EF897E7DF}"/>
    <cellStyle name="20% - Accent6 4 2 5" xfId="10074" xr:uid="{AFCDC4A3-E0AD-4E21-A752-9F790AE87602}"/>
    <cellStyle name="20% - Accent6 4 2 6" xfId="26968" xr:uid="{5046FDA8-2C7A-47D0-9071-B8ED9DCF798E}"/>
    <cellStyle name="20% - Accent6 4 3" xfId="1070" xr:uid="{00000000-0005-0000-0000-00009F030000}"/>
    <cellStyle name="20% - Accent6 4 3 2" xfId="3301" xr:uid="{00000000-0005-0000-0000-0000A0030000}"/>
    <cellStyle name="20% - Accent6 4 3 2 2" xfId="7523" xr:uid="{00000000-0005-0000-0000-0000A1030000}"/>
    <cellStyle name="20% - Accent6 4 3 2 2 2" xfId="25296" xr:uid="{E45EE5A5-E481-46D9-A004-BA883D0F3C22}"/>
    <cellStyle name="20% - Accent6 4 3 2 2 2 2" xfId="42190" xr:uid="{BFC0234F-73FC-412C-94B1-BB754DB0178A}"/>
    <cellStyle name="20% - Accent6 4 3 2 2 3" xfId="16849" xr:uid="{DE246B85-C14F-44A3-9249-B5018E07C54E}"/>
    <cellStyle name="20% - Accent6 4 3 2 2 4" xfId="33743" xr:uid="{25E156AD-0E9B-4181-92B8-2BC192568251}"/>
    <cellStyle name="20% - Accent6 4 3 2 3" xfId="21079" xr:uid="{A3E42D62-2906-40D0-A6F1-2AA6433AE5B4}"/>
    <cellStyle name="20% - Accent6 4 3 2 3 2" xfId="37973" xr:uid="{4471E4DB-DAF8-4C3A-AB63-17DC79160BA3}"/>
    <cellStyle name="20% - Accent6 4 3 2 4" xfId="12632" xr:uid="{C2AE8694-D5D1-42BC-8F4E-AFAFB9B1B0A9}"/>
    <cellStyle name="20% - Accent6 4 3 2 5" xfId="29526" xr:uid="{86A380FE-CEB0-42B0-A48B-0F76CA197954}"/>
    <cellStyle name="20% - Accent6 4 3 3" xfId="5378" xr:uid="{00000000-0005-0000-0000-0000A2030000}"/>
    <cellStyle name="20% - Accent6 4 3 3 2" xfId="23151" xr:uid="{484E1512-AE6D-46E0-9E3A-40E4A2BFD8E3}"/>
    <cellStyle name="20% - Accent6 4 3 3 2 2" xfId="40045" xr:uid="{DA337216-ABF9-420A-8B32-407F45542069}"/>
    <cellStyle name="20% - Accent6 4 3 3 3" xfId="14704" xr:uid="{789B3149-839B-4A91-B86F-C0577CAB9134}"/>
    <cellStyle name="20% - Accent6 4 3 3 4" xfId="31598" xr:uid="{7B836800-9D0B-4CCC-B707-25666610E886}"/>
    <cellStyle name="20% - Accent6 4 3 4" xfId="18934" xr:uid="{4DFDE14F-E699-484D-8868-A56DA1E8B4B1}"/>
    <cellStyle name="20% - Accent6 4 3 4 2" xfId="35828" xr:uid="{E10EC252-C02F-4FCA-B74B-473BFC526985}"/>
    <cellStyle name="20% - Accent6 4 3 5" xfId="10487" xr:uid="{2662FD6D-21C4-49C1-9CAB-D87046918B20}"/>
    <cellStyle name="20% - Accent6 4 3 6" xfId="27381" xr:uid="{265F1B91-7312-4B67-9A1F-5207F90BB69A}"/>
    <cellStyle name="20% - Accent6 4 4" xfId="1484" xr:uid="{00000000-0005-0000-0000-0000A3030000}"/>
    <cellStyle name="20% - Accent6 4 4 2" xfId="3714" xr:uid="{00000000-0005-0000-0000-0000A4030000}"/>
    <cellStyle name="20% - Accent6 4 4 2 2" xfId="7936" xr:uid="{00000000-0005-0000-0000-0000A5030000}"/>
    <cellStyle name="20% - Accent6 4 4 2 2 2" xfId="25709" xr:uid="{329BCFAD-4EB4-4502-9FCD-EF632804A615}"/>
    <cellStyle name="20% - Accent6 4 4 2 2 2 2" xfId="42603" xr:uid="{D92BC34B-5D4C-4785-9A9E-EA3F4E0776F9}"/>
    <cellStyle name="20% - Accent6 4 4 2 2 3" xfId="17262" xr:uid="{021E36CC-8A12-4B36-9180-02684EB761DF}"/>
    <cellStyle name="20% - Accent6 4 4 2 2 4" xfId="34156" xr:uid="{19D3CD91-BB46-4E99-8331-C6CF69FB8CC8}"/>
    <cellStyle name="20% - Accent6 4 4 2 3" xfId="21492" xr:uid="{27165B00-FD66-4B98-B3FF-B7F82E870F5D}"/>
    <cellStyle name="20% - Accent6 4 4 2 3 2" xfId="38386" xr:uid="{9B7A1127-7F5B-4F16-8C56-CADCA319867A}"/>
    <cellStyle name="20% - Accent6 4 4 2 4" xfId="13045" xr:uid="{4C9B5192-DD21-4174-802C-D72C0558E164}"/>
    <cellStyle name="20% - Accent6 4 4 2 5" xfId="29939" xr:uid="{B65ED2E6-E15B-44D5-883A-1FABF0953854}"/>
    <cellStyle name="20% - Accent6 4 4 3" xfId="5791" xr:uid="{00000000-0005-0000-0000-0000A6030000}"/>
    <cellStyle name="20% - Accent6 4 4 3 2" xfId="23564" xr:uid="{37A48AE5-90E8-44F2-BD13-A7B578C4F0FE}"/>
    <cellStyle name="20% - Accent6 4 4 3 2 2" xfId="40458" xr:uid="{2309F20C-62F7-4CE3-9936-66BBEA2A8EC7}"/>
    <cellStyle name="20% - Accent6 4 4 3 3" xfId="15117" xr:uid="{B1B4614B-0ED8-4590-989F-221234F89537}"/>
    <cellStyle name="20% - Accent6 4 4 3 4" xfId="32011" xr:uid="{30C75377-0E9E-4A1A-A374-424C76799955}"/>
    <cellStyle name="20% - Accent6 4 4 4" xfId="19347" xr:uid="{6BDC49A8-C464-44EF-9FDB-DF64B2763F12}"/>
    <cellStyle name="20% - Accent6 4 4 4 2" xfId="36241" xr:uid="{A2778E54-E44B-484D-9EF6-CB381710374E}"/>
    <cellStyle name="20% - Accent6 4 4 5" xfId="10900" xr:uid="{9F3C8B37-7F97-42BD-A4AF-CD164E24EB90}"/>
    <cellStyle name="20% - Accent6 4 4 6" xfId="27794" xr:uid="{4221BE3C-D101-4F99-A56B-AEA3590926D7}"/>
    <cellStyle name="20% - Accent6 4 5" xfId="1898" xr:uid="{00000000-0005-0000-0000-0000A7030000}"/>
    <cellStyle name="20% - Accent6 4 5 2" xfId="4127" xr:uid="{00000000-0005-0000-0000-0000A8030000}"/>
    <cellStyle name="20% - Accent6 4 5 2 2" xfId="8349" xr:uid="{00000000-0005-0000-0000-0000A9030000}"/>
    <cellStyle name="20% - Accent6 4 5 2 2 2" xfId="26122" xr:uid="{3275081B-F40C-4CC8-A6B5-74C522281F25}"/>
    <cellStyle name="20% - Accent6 4 5 2 2 2 2" xfId="43016" xr:uid="{FD3E7187-0ED8-4768-9E69-F2FD112DB5E5}"/>
    <cellStyle name="20% - Accent6 4 5 2 2 3" xfId="17675" xr:uid="{C3BBC5A8-65D6-4527-ADEC-505494354F76}"/>
    <cellStyle name="20% - Accent6 4 5 2 2 4" xfId="34569" xr:uid="{91E43F3D-0837-498A-B791-D7CED9E5D831}"/>
    <cellStyle name="20% - Accent6 4 5 2 3" xfId="21905" xr:uid="{E0792058-E3E4-429A-AC1C-644E35B8610E}"/>
    <cellStyle name="20% - Accent6 4 5 2 3 2" xfId="38799" xr:uid="{9BCF298D-1C4F-4B04-9347-64C398837BA1}"/>
    <cellStyle name="20% - Accent6 4 5 2 4" xfId="13458" xr:uid="{4BE0324C-19BB-4DC6-AE24-5C54A1AB8502}"/>
    <cellStyle name="20% - Accent6 4 5 2 5" xfId="30352" xr:uid="{8974955B-E115-4B12-AC85-7B6A1FABC6ED}"/>
    <cellStyle name="20% - Accent6 4 5 3" xfId="6204" xr:uid="{00000000-0005-0000-0000-0000AA030000}"/>
    <cellStyle name="20% - Accent6 4 5 3 2" xfId="23977" xr:uid="{70BB2E69-CF1A-40CF-AEA4-A3C29BC7D7F7}"/>
    <cellStyle name="20% - Accent6 4 5 3 2 2" xfId="40871" xr:uid="{26DB0EAC-4892-4C88-9C51-07A229CB213B}"/>
    <cellStyle name="20% - Accent6 4 5 3 3" xfId="15530" xr:uid="{91E17F12-A708-405A-95F8-2FCC3FEA35FC}"/>
    <cellStyle name="20% - Accent6 4 5 3 4" xfId="32424" xr:uid="{9609BE88-3FDF-4008-BFD0-90BE3B3CCE8F}"/>
    <cellStyle name="20% - Accent6 4 5 4" xfId="19760" xr:uid="{71028D71-03A4-4322-B867-5E01B81F70A0}"/>
    <cellStyle name="20% - Accent6 4 5 4 2" xfId="36654" xr:uid="{02AE2411-723E-4087-8C03-2F6824A0667B}"/>
    <cellStyle name="20% - Accent6 4 5 5" xfId="11313" xr:uid="{B110A0EF-0444-40F4-8DC2-AB4263ADE2B2}"/>
    <cellStyle name="20% - Accent6 4 5 6" xfId="28207" xr:uid="{9056AC26-8BFD-4749-AB33-6DA7B2B5B327}"/>
    <cellStyle name="20% - Accent6 4 6" xfId="2311" xr:uid="{00000000-0005-0000-0000-0000AB030000}"/>
    <cellStyle name="20% - Accent6 4 6 2" xfId="6617" xr:uid="{00000000-0005-0000-0000-0000AC030000}"/>
    <cellStyle name="20% - Accent6 4 6 2 2" xfId="24390" xr:uid="{E53A5247-7D44-4E90-A055-47BFF46A53CA}"/>
    <cellStyle name="20% - Accent6 4 6 2 2 2" xfId="41284" xr:uid="{ADC7694D-B5BB-4EA7-8258-0F5E28E1D477}"/>
    <cellStyle name="20% - Accent6 4 6 2 3" xfId="15943" xr:uid="{1C38AC2B-EE13-45F3-BC70-EF589FE5537A}"/>
    <cellStyle name="20% - Accent6 4 6 2 4" xfId="32837" xr:uid="{676D3DF7-1992-4AF3-B2C5-FEDF638232C7}"/>
    <cellStyle name="20% - Accent6 4 6 3" xfId="20173" xr:uid="{5D1A6B84-4E5A-4F67-AF9C-CBBD76AF32EB}"/>
    <cellStyle name="20% - Accent6 4 6 3 2" xfId="37067" xr:uid="{AFCECBF3-0723-4156-97D6-4FB0E1D2FA58}"/>
    <cellStyle name="20% - Accent6 4 6 4" xfId="11726" xr:uid="{DD16073F-8E99-41B7-B142-DB5259CB25C8}"/>
    <cellStyle name="20% - Accent6 4 6 5" xfId="28620" xr:uid="{D32822CB-D8CB-48D6-9743-DAFF9A55F5C6}"/>
    <cellStyle name="20% - Accent6 4 7" xfId="4551" xr:uid="{00000000-0005-0000-0000-0000AD030000}"/>
    <cellStyle name="20% - Accent6 4 7 2" xfId="22324" xr:uid="{D739436B-4078-4D0F-8955-443A547E57DB}"/>
    <cellStyle name="20% - Accent6 4 7 2 2" xfId="39218" xr:uid="{388378D8-22A0-4A48-B5FA-8BBEB4CDD5A5}"/>
    <cellStyle name="20% - Accent6 4 7 3" xfId="13877" xr:uid="{EA1470D4-BA4B-4B64-A01F-4DA3554E5822}"/>
    <cellStyle name="20% - Accent6 4 7 4" xfId="30771" xr:uid="{3C836ECC-78A0-4EAC-B9A6-D5ACB07EFE13}"/>
    <cellStyle name="20% - Accent6 4 8" xfId="8957" xr:uid="{03E1DA3A-6A3F-4C0D-9844-2D38E7BA13BC}"/>
    <cellStyle name="20% - Accent6 4 8 2" xfId="18107" xr:uid="{27C81FCC-0067-4752-A905-670D9C222436}"/>
    <cellStyle name="20% - Accent6 4 8 3" xfId="35001" xr:uid="{5E539DF7-C151-4954-A982-352AADE1F50E}"/>
    <cellStyle name="20% - Accent6 4 9" xfId="9660" xr:uid="{194AD283-77D5-482B-B8A6-6DB7C2542486}"/>
    <cellStyle name="20% - Accent6 5" xfId="610" xr:uid="{00000000-0005-0000-0000-0000AE030000}"/>
    <cellStyle name="20% - Accent6 5 2" xfId="2881" xr:uid="{00000000-0005-0000-0000-0000AF030000}"/>
    <cellStyle name="20% - Accent6 5 2 2" xfId="7103" xr:uid="{00000000-0005-0000-0000-0000B0030000}"/>
    <cellStyle name="20% - Accent6 5 2 2 2" xfId="24876" xr:uid="{9532C694-5CC8-4B08-B715-18940D673CC6}"/>
    <cellStyle name="20% - Accent6 5 2 2 2 2" xfId="41770" xr:uid="{FF69770C-BE9B-4760-A1BB-73FDD66E4964}"/>
    <cellStyle name="20% - Accent6 5 2 2 3" xfId="16429" xr:uid="{5DE8A091-D2C2-455F-8C1F-A18EF466D3F0}"/>
    <cellStyle name="20% - Accent6 5 2 2 4" xfId="33323" xr:uid="{1430DB11-72FB-4CCE-A0C7-40F279EDA0CA}"/>
    <cellStyle name="20% - Accent6 5 2 3" xfId="20659" xr:uid="{5D770B7B-ADD3-4737-B28A-2C81C1321FEC}"/>
    <cellStyle name="20% - Accent6 5 2 3 2" xfId="37553" xr:uid="{6F066044-04F3-4726-9ADC-07D5D301AC8F}"/>
    <cellStyle name="20% - Accent6 5 2 4" xfId="12212" xr:uid="{86D3E97F-8C05-4ECB-9D8F-3080E7F8AF6C}"/>
    <cellStyle name="20% - Accent6 5 2 5" xfId="29106" xr:uid="{D80CBAFB-6401-4FCE-A35C-7CA508850B69}"/>
    <cellStyle name="20% - Accent6 5 3" xfId="4958" xr:uid="{00000000-0005-0000-0000-0000B1030000}"/>
    <cellStyle name="20% - Accent6 5 3 2" xfId="22731" xr:uid="{E3F6367A-7CD4-43FF-B1AA-10A75DD50328}"/>
    <cellStyle name="20% - Accent6 5 3 2 2" xfId="39625" xr:uid="{805D1D54-0DC0-4521-BE94-01126FE5F944}"/>
    <cellStyle name="20% - Accent6 5 3 3" xfId="14284" xr:uid="{08EF45C0-65F9-40CA-A574-96B5790FAA83}"/>
    <cellStyle name="20% - Accent6 5 3 4" xfId="31178" xr:uid="{22805B8E-B3A6-4ED4-AB58-943A97A5C7E7}"/>
    <cellStyle name="20% - Accent6 5 4" xfId="9191" xr:uid="{C812E2E5-5572-4E86-9CB6-C7C53792C044}"/>
    <cellStyle name="20% - Accent6 5 4 2" xfId="18514" xr:uid="{DE36A858-3692-4F68-A602-FC0C0B4B83BB}"/>
    <cellStyle name="20% - Accent6 5 4 3" xfId="35408" xr:uid="{5B17127E-CC65-4CB5-A95E-A15C5515EB67}"/>
    <cellStyle name="20% - Accent6 5 5" xfId="10067" xr:uid="{A82EB6A6-DDBC-4CAF-899E-42081707CCBE}"/>
    <cellStyle name="20% - Accent6 5 6" xfId="26961" xr:uid="{E23F6D8E-88E3-4681-A23D-A8185AEC3D6C}"/>
    <cellStyle name="20% - Accent6 6" xfId="1063" xr:uid="{00000000-0005-0000-0000-0000B2030000}"/>
    <cellStyle name="20% - Accent6 6 2" xfId="3294" xr:uid="{00000000-0005-0000-0000-0000B3030000}"/>
    <cellStyle name="20% - Accent6 6 2 2" xfId="7516" xr:uid="{00000000-0005-0000-0000-0000B4030000}"/>
    <cellStyle name="20% - Accent6 6 2 2 2" xfId="25289" xr:uid="{46779A17-2A47-47F6-AFC1-3A40741D7CE3}"/>
    <cellStyle name="20% - Accent6 6 2 2 2 2" xfId="42183" xr:uid="{A8452EA1-D9EF-4886-948B-1C02C81299A5}"/>
    <cellStyle name="20% - Accent6 6 2 2 3" xfId="16842" xr:uid="{3FD9E1F3-710F-465D-9688-6EBDF2FD00AD}"/>
    <cellStyle name="20% - Accent6 6 2 2 4" xfId="33736" xr:uid="{1EE63939-B917-4CEB-BE28-E56B4C7D3908}"/>
    <cellStyle name="20% - Accent6 6 2 3" xfId="21072" xr:uid="{F23F1FC7-3FF8-4718-BA84-75B81B5EECB3}"/>
    <cellStyle name="20% - Accent6 6 2 3 2" xfId="37966" xr:uid="{3C0CB603-01EC-4F6B-A781-7E9E3B2DB09A}"/>
    <cellStyle name="20% - Accent6 6 2 4" xfId="12625" xr:uid="{A03193E0-BBD2-4DE8-9697-21DDF34AC759}"/>
    <cellStyle name="20% - Accent6 6 2 5" xfId="29519" xr:uid="{05E623F5-8DFE-45FA-BC57-A59E5934A3A7}"/>
    <cellStyle name="20% - Accent6 6 3" xfId="5371" xr:uid="{00000000-0005-0000-0000-0000B5030000}"/>
    <cellStyle name="20% - Accent6 6 3 2" xfId="23144" xr:uid="{1219BC92-BF5B-4A16-AB4F-59CCAEACB6BA}"/>
    <cellStyle name="20% - Accent6 6 3 2 2" xfId="40038" xr:uid="{B173970B-C294-4D64-9314-2EB5635F0A4D}"/>
    <cellStyle name="20% - Accent6 6 3 3" xfId="14697" xr:uid="{0F3FF992-E6B2-4B44-A810-A505271A465E}"/>
    <cellStyle name="20% - Accent6 6 3 4" xfId="31591" xr:uid="{0E9C9F7B-D084-409E-B5DD-9EE6FF4B34F0}"/>
    <cellStyle name="20% - Accent6 6 4" xfId="18927" xr:uid="{B3FFCD6B-E42B-443E-A4D6-59F134EEFA62}"/>
    <cellStyle name="20% - Accent6 6 4 2" xfId="35821" xr:uid="{0269352B-F567-4602-B33A-7C114F42B9F9}"/>
    <cellStyle name="20% - Accent6 6 5" xfId="10480" xr:uid="{02CE30C2-7ED2-45BB-95E3-96162820E799}"/>
    <cellStyle name="20% - Accent6 6 6" xfId="27374" xr:uid="{9FD4B596-5592-4946-A7FE-2B498F93B7C0}"/>
    <cellStyle name="20% - Accent6 7" xfId="1477" xr:uid="{00000000-0005-0000-0000-0000B6030000}"/>
    <cellStyle name="20% - Accent6 7 2" xfId="3707" xr:uid="{00000000-0005-0000-0000-0000B7030000}"/>
    <cellStyle name="20% - Accent6 7 2 2" xfId="7929" xr:uid="{00000000-0005-0000-0000-0000B8030000}"/>
    <cellStyle name="20% - Accent6 7 2 2 2" xfId="25702" xr:uid="{8F858821-9E55-4EEB-B53F-64E482B913B3}"/>
    <cellStyle name="20% - Accent6 7 2 2 2 2" xfId="42596" xr:uid="{E02A6E18-3E06-482E-A61E-936F52206A33}"/>
    <cellStyle name="20% - Accent6 7 2 2 3" xfId="17255" xr:uid="{55A641F1-44D9-4BEC-91A5-630C28842579}"/>
    <cellStyle name="20% - Accent6 7 2 2 4" xfId="34149" xr:uid="{40C3F3F5-0C90-439C-93DC-389F3D022755}"/>
    <cellStyle name="20% - Accent6 7 2 3" xfId="21485" xr:uid="{C6C5DF43-5DC9-45E5-B561-F670DE43EAD3}"/>
    <cellStyle name="20% - Accent6 7 2 3 2" xfId="38379" xr:uid="{8DC62683-4111-4B4F-853E-1B7E917DA76B}"/>
    <cellStyle name="20% - Accent6 7 2 4" xfId="13038" xr:uid="{F99A8CDB-51CB-4C25-A0B4-0A230F7B8E6A}"/>
    <cellStyle name="20% - Accent6 7 2 5" xfId="29932" xr:uid="{864252EF-C218-4CA8-A2DD-9D7F6326D1A1}"/>
    <cellStyle name="20% - Accent6 7 3" xfId="5784" xr:uid="{00000000-0005-0000-0000-0000B9030000}"/>
    <cellStyle name="20% - Accent6 7 3 2" xfId="23557" xr:uid="{77BFC3D9-4793-4E83-8879-D840A0A335C2}"/>
    <cellStyle name="20% - Accent6 7 3 2 2" xfId="40451" xr:uid="{EF651C9C-3641-49D9-8367-0A1B17A9DC8D}"/>
    <cellStyle name="20% - Accent6 7 3 3" xfId="15110" xr:uid="{AFB0776F-C1F3-43CA-9F91-FECCAA7604C8}"/>
    <cellStyle name="20% - Accent6 7 3 4" xfId="32004" xr:uid="{B0644272-03AA-43D3-B284-F39167AA44EF}"/>
    <cellStyle name="20% - Accent6 7 4" xfId="19340" xr:uid="{1F7E2057-E8BC-43E2-8EF6-D48072678641}"/>
    <cellStyle name="20% - Accent6 7 4 2" xfId="36234" xr:uid="{D6E89066-ABAD-4151-8567-492882079199}"/>
    <cellStyle name="20% - Accent6 7 5" xfId="10893" xr:uid="{E9B70834-A146-43F1-B001-FCEE746C61C8}"/>
    <cellStyle name="20% - Accent6 7 6" xfId="27787" xr:uid="{ED765635-8403-49AA-8018-98FC5E879E13}"/>
    <cellStyle name="20% - Accent6 8" xfId="1891" xr:uid="{00000000-0005-0000-0000-0000BA030000}"/>
    <cellStyle name="20% - Accent6 8 2" xfId="4120" xr:uid="{00000000-0005-0000-0000-0000BB030000}"/>
    <cellStyle name="20% - Accent6 8 2 2" xfId="8342" xr:uid="{00000000-0005-0000-0000-0000BC030000}"/>
    <cellStyle name="20% - Accent6 8 2 2 2" xfId="26115" xr:uid="{30E54D18-5082-4786-B6C1-68FEC2512432}"/>
    <cellStyle name="20% - Accent6 8 2 2 2 2" xfId="43009" xr:uid="{75B76225-D10B-47EE-9E6F-2A9F744C9FCD}"/>
    <cellStyle name="20% - Accent6 8 2 2 3" xfId="17668" xr:uid="{801E8284-2AA9-483C-82CC-7E140EF7CA61}"/>
    <cellStyle name="20% - Accent6 8 2 2 4" xfId="34562" xr:uid="{E0C31380-3E8C-458B-8BF7-94ED2A10C58D}"/>
    <cellStyle name="20% - Accent6 8 2 3" xfId="21898" xr:uid="{61D9A340-B9F0-4E9B-8902-88FC8E80A724}"/>
    <cellStyle name="20% - Accent6 8 2 3 2" xfId="38792" xr:uid="{D7A92B62-FA5D-41DE-800A-081F9637291F}"/>
    <cellStyle name="20% - Accent6 8 2 4" xfId="13451" xr:uid="{2BDC3BC2-7464-47E8-9EE0-2F503909E85F}"/>
    <cellStyle name="20% - Accent6 8 2 5" xfId="30345" xr:uid="{48B935A4-EAB2-4CF9-BA19-E43D0C766F45}"/>
    <cellStyle name="20% - Accent6 8 3" xfId="6197" xr:uid="{00000000-0005-0000-0000-0000BD030000}"/>
    <cellStyle name="20% - Accent6 8 3 2" xfId="23970" xr:uid="{32BE0716-D26F-4691-A449-E83EF3F0D25F}"/>
    <cellStyle name="20% - Accent6 8 3 2 2" xfId="40864" xr:uid="{A5EE491C-88FA-4474-8745-7F288B8A0AA6}"/>
    <cellStyle name="20% - Accent6 8 3 3" xfId="15523" xr:uid="{8CE5B573-16FF-4453-901D-9C91E3F5427D}"/>
    <cellStyle name="20% - Accent6 8 3 4" xfId="32417" xr:uid="{F6E6A1AA-AE2D-4835-A6E6-BB4F01B67F4A}"/>
    <cellStyle name="20% - Accent6 8 4" xfId="19753" xr:uid="{6631495B-8CF7-415D-A422-DDB7BA72E9B2}"/>
    <cellStyle name="20% - Accent6 8 4 2" xfId="36647" xr:uid="{800636A5-2F1D-47A6-8817-B16B9A4D7A1C}"/>
    <cellStyle name="20% - Accent6 8 5" xfId="11306" xr:uid="{03D8DD2C-DDF2-4209-8E0D-5B9BF4D58415}"/>
    <cellStyle name="20% - Accent6 8 6" xfId="28200" xr:uid="{A00E92DB-59F3-43A5-9261-D000012DD5E4}"/>
    <cellStyle name="20% - Accent6 9" xfId="2304" xr:uid="{00000000-0005-0000-0000-0000BE030000}"/>
    <cellStyle name="20% - Accent6 9 2" xfId="6610" xr:uid="{00000000-0005-0000-0000-0000BF030000}"/>
    <cellStyle name="20% - Accent6 9 2 2" xfId="24383" xr:uid="{75F1C671-16FE-4B2F-910C-E732108A64F3}"/>
    <cellStyle name="20% - Accent6 9 2 2 2" xfId="41277" xr:uid="{EEF74BDE-E502-49B6-9656-53BEB5908FAC}"/>
    <cellStyle name="20% - Accent6 9 2 3" xfId="15936" xr:uid="{A16055BD-3314-4C82-AC39-480C17E9019C}"/>
    <cellStyle name="20% - Accent6 9 2 4" xfId="32830" xr:uid="{4EC1C8B2-111F-4D90-9E35-264F1F00CC0C}"/>
    <cellStyle name="20% - Accent6 9 3" xfId="20166" xr:uid="{381A60B4-5D7A-45C9-9275-93A540FDDE4D}"/>
    <cellStyle name="20% - Accent6 9 3 2" xfId="37060" xr:uid="{2BC7D20C-8185-4402-AB71-A67114E57A44}"/>
    <cellStyle name="20% - Accent6 9 4" xfId="11719" xr:uid="{B5D168F6-CDBE-4EEE-99F8-4D6C963C9D90}"/>
    <cellStyle name="20% - Accent6 9 5" xfId="28613" xr:uid="{7F70D397-845A-42C5-8D98-0862864AB626}"/>
    <cellStyle name="40% - Accent1" xfId="49" builtinId="31" customBuiltin="1"/>
    <cellStyle name="40% - Accent1 10" xfId="4552" xr:uid="{00000000-0005-0000-0000-0000C1030000}"/>
    <cellStyle name="40% - Accent1 10 2" xfId="22325" xr:uid="{331FC0AF-DEC1-495C-8EC1-7CB2E5ADDFD1}"/>
    <cellStyle name="40% - Accent1 10 2 2" xfId="39219" xr:uid="{C4FC0AF8-7635-442B-9231-C70954DA87DA}"/>
    <cellStyle name="40% - Accent1 10 3" xfId="13878" xr:uid="{0CD413FD-54C0-49DF-ADB5-667D3993B46A}"/>
    <cellStyle name="40% - Accent1 10 4" xfId="30772" xr:uid="{5213EA7D-5F90-4F6C-B58C-ED9E838146D3}"/>
    <cellStyle name="40% - Accent1 11" xfId="8759" xr:uid="{E0AA4078-00FF-4C00-81ED-1F048AC6C533}"/>
    <cellStyle name="40% - Accent1 11 2" xfId="18108" xr:uid="{BCE7BAC0-64CD-4422-BBCB-A8FA035C273E}"/>
    <cellStyle name="40% - Accent1 11 3" xfId="35002" xr:uid="{8A7B470C-53B9-49CF-BC14-780DB0588E5F}"/>
    <cellStyle name="40% - Accent1 12" xfId="9661" xr:uid="{9C107CC9-CDFE-4D1A-B91F-B662ED8A6BF2}"/>
    <cellStyle name="40% - Accent1 13" xfId="26555" xr:uid="{CDF4122C-86B7-413C-B9AC-4213126BF7C5}"/>
    <cellStyle name="40% - Accent1 2" xfId="50" xr:uid="{00000000-0005-0000-0000-0000C2030000}"/>
    <cellStyle name="40% - Accent1 2 10" xfId="8798" xr:uid="{82026451-631C-40CA-BC49-BE5DA2EA921A}"/>
    <cellStyle name="40% - Accent1 2 10 2" xfId="18109" xr:uid="{B0140D64-3A55-49CA-96F6-B60923ED6240}"/>
    <cellStyle name="40% - Accent1 2 10 3" xfId="35003" xr:uid="{A77C87BF-31A5-4D89-ACF9-31348DE7F705}"/>
    <cellStyle name="40% - Accent1 2 11" xfId="9662" xr:uid="{9CC63EB3-2DB8-4A0D-B954-D8D31A2F3EB0}"/>
    <cellStyle name="40% - Accent1 2 12" xfId="26556" xr:uid="{5F400401-79CE-430C-9DFA-91199F502032}"/>
    <cellStyle name="40% - Accent1 2 2" xfId="51" xr:uid="{00000000-0005-0000-0000-0000C3030000}"/>
    <cellStyle name="40% - Accent1 2 2 10" xfId="9663" xr:uid="{6B1F9AC6-7C8A-4101-9B8F-80E71333F4D9}"/>
    <cellStyle name="40% - Accent1 2 2 11" xfId="26557" xr:uid="{E90EDEA8-322D-4CF4-8EAE-B60761DDA857}"/>
    <cellStyle name="40% - Accent1 2 2 2" xfId="52" xr:uid="{00000000-0005-0000-0000-0000C4030000}"/>
    <cellStyle name="40% - Accent1 2 2 2 10" xfId="26558" xr:uid="{F80DC384-BF36-4D4D-84BF-8BD76A85772C}"/>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2 2 2" xfId="24887" xr:uid="{99D01014-5155-4BAF-9C49-B37968CD3CA2}"/>
    <cellStyle name="40% - Accent1 2 2 2 2 2 2 2 2" xfId="41781" xr:uid="{4C760FF0-7B1B-4933-846C-4B2FF961A4B6}"/>
    <cellStyle name="40% - Accent1 2 2 2 2 2 2 3" xfId="16440" xr:uid="{22FA38E0-55D1-42CA-9EE9-88AAE289C98C}"/>
    <cellStyle name="40% - Accent1 2 2 2 2 2 2 4" xfId="33334" xr:uid="{369A710A-07ED-4B52-8E9B-94792EE5004E}"/>
    <cellStyle name="40% - Accent1 2 2 2 2 2 3" xfId="20670" xr:uid="{7E19C024-0C2F-419B-9987-782E8F59BC7B}"/>
    <cellStyle name="40% - Accent1 2 2 2 2 2 3 2" xfId="37564" xr:uid="{F8F880D1-B8FE-4C5B-B995-0D868C5FB9D3}"/>
    <cellStyle name="40% - Accent1 2 2 2 2 2 4" xfId="12223" xr:uid="{9C66C514-46A1-4EA7-BFC5-809DE0BDBA5F}"/>
    <cellStyle name="40% - Accent1 2 2 2 2 2 5" xfId="29117" xr:uid="{CBF01605-CE4D-475F-9D7C-96439373B598}"/>
    <cellStyle name="40% - Accent1 2 2 2 2 3" xfId="4969" xr:uid="{00000000-0005-0000-0000-0000C8030000}"/>
    <cellStyle name="40% - Accent1 2 2 2 2 3 2" xfId="22742" xr:uid="{142082A6-2797-4F77-A461-BBF8BAF56CC2}"/>
    <cellStyle name="40% - Accent1 2 2 2 2 3 2 2" xfId="39636" xr:uid="{6308418D-7FAE-482A-A873-6939204CFBA7}"/>
    <cellStyle name="40% - Accent1 2 2 2 2 3 3" xfId="14295" xr:uid="{45C01348-DD8E-49F3-9092-7A675863D7A2}"/>
    <cellStyle name="40% - Accent1 2 2 2 2 3 4" xfId="31189" xr:uid="{43BCB3E7-5AA1-4F4F-8F9E-928C73FCFE3D}"/>
    <cellStyle name="40% - Accent1 2 2 2 2 4" xfId="9533" xr:uid="{757B5AC4-115E-4B90-B4EA-505C31F9B178}"/>
    <cellStyle name="40% - Accent1 2 2 2 2 4 2" xfId="18525" xr:uid="{53DB80CC-BBF5-4126-A586-E329D7ED7A79}"/>
    <cellStyle name="40% - Accent1 2 2 2 2 4 3" xfId="35419" xr:uid="{CE86BDEA-7615-4B69-AD62-B9B11DFAE21F}"/>
    <cellStyle name="40% - Accent1 2 2 2 2 5" xfId="10078" xr:uid="{A04746F2-56C5-443E-80D7-174E051D80DD}"/>
    <cellStyle name="40% - Accent1 2 2 2 2 6" xfId="26972" xr:uid="{EB5F3DB0-E9F8-4A36-8CAB-B3E726D3AA0D}"/>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2 2 2" xfId="25300" xr:uid="{28C608C4-F982-44EA-A7C3-C0C68EF77584}"/>
    <cellStyle name="40% - Accent1 2 2 2 3 2 2 2 2" xfId="42194" xr:uid="{A8A6D70A-5379-4EBC-BD52-54F51409B883}"/>
    <cellStyle name="40% - Accent1 2 2 2 3 2 2 3" xfId="16853" xr:uid="{731E4D6E-4067-465B-B130-EEBDFC333E88}"/>
    <cellStyle name="40% - Accent1 2 2 2 3 2 2 4" xfId="33747" xr:uid="{A5932951-9187-4E20-9307-54B3063A6205}"/>
    <cellStyle name="40% - Accent1 2 2 2 3 2 3" xfId="21083" xr:uid="{9F059DB8-B96E-4497-A4EC-FCF478082FFA}"/>
    <cellStyle name="40% - Accent1 2 2 2 3 2 3 2" xfId="37977" xr:uid="{A4E03B0A-2D19-4FD1-8E80-E30774128C45}"/>
    <cellStyle name="40% - Accent1 2 2 2 3 2 4" xfId="12636" xr:uid="{2B3391C1-0070-49EC-B6DF-6A26514A8112}"/>
    <cellStyle name="40% - Accent1 2 2 2 3 2 5" xfId="29530" xr:uid="{2B24CA55-FA07-4E93-A8C5-ADC74ADCB1FE}"/>
    <cellStyle name="40% - Accent1 2 2 2 3 3" xfId="5382" xr:uid="{00000000-0005-0000-0000-0000CC030000}"/>
    <cellStyle name="40% - Accent1 2 2 2 3 3 2" xfId="23155" xr:uid="{C3F804F8-5A7E-423D-B98F-21228132D447}"/>
    <cellStyle name="40% - Accent1 2 2 2 3 3 2 2" xfId="40049" xr:uid="{A3056E05-EE4F-443B-9C95-2D4BC79FC5F4}"/>
    <cellStyle name="40% - Accent1 2 2 2 3 3 3" xfId="14708" xr:uid="{0D28B921-1BA4-45D1-AB19-558B0ACBC3C7}"/>
    <cellStyle name="40% - Accent1 2 2 2 3 3 4" xfId="31602" xr:uid="{D6ABB73F-57EB-4607-AFC2-2238C7A91DC0}"/>
    <cellStyle name="40% - Accent1 2 2 2 3 4" xfId="18938" xr:uid="{0ED9CBCA-6F81-412F-A0FE-36A9C8F5A048}"/>
    <cellStyle name="40% - Accent1 2 2 2 3 4 2" xfId="35832" xr:uid="{54250D92-6767-4905-9A42-27048ED963DA}"/>
    <cellStyle name="40% - Accent1 2 2 2 3 5" xfId="10491" xr:uid="{B5556EAF-0213-4467-885E-96BB3938AA2A}"/>
    <cellStyle name="40% - Accent1 2 2 2 3 6" xfId="27385" xr:uid="{AAE8960B-B014-488E-897A-282A3D815685}"/>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2 2 2" xfId="25713" xr:uid="{411B6889-B75C-4511-AA0B-70012792FA04}"/>
    <cellStyle name="40% - Accent1 2 2 2 4 2 2 2 2" xfId="42607" xr:uid="{EE75183E-2339-43AA-90CE-BC7459070632}"/>
    <cellStyle name="40% - Accent1 2 2 2 4 2 2 3" xfId="17266" xr:uid="{921891A6-5582-432D-BD37-B42C4E431566}"/>
    <cellStyle name="40% - Accent1 2 2 2 4 2 2 4" xfId="34160" xr:uid="{441AD21C-04CB-42A5-9EA3-4C000100F8EE}"/>
    <cellStyle name="40% - Accent1 2 2 2 4 2 3" xfId="21496" xr:uid="{FA7CA645-42C6-448B-8E95-6C22B71FA6F7}"/>
    <cellStyle name="40% - Accent1 2 2 2 4 2 3 2" xfId="38390" xr:uid="{03E92EF6-4F86-4102-983B-521FF7B2A9A2}"/>
    <cellStyle name="40% - Accent1 2 2 2 4 2 4" xfId="13049" xr:uid="{78F0F537-FE9E-49D5-AE4D-0522FE5C463A}"/>
    <cellStyle name="40% - Accent1 2 2 2 4 2 5" xfId="29943" xr:uid="{1C55545E-AA79-44B6-B51F-7CDF1A2C0F47}"/>
    <cellStyle name="40% - Accent1 2 2 2 4 3" xfId="5795" xr:uid="{00000000-0005-0000-0000-0000D0030000}"/>
    <cellStyle name="40% - Accent1 2 2 2 4 3 2" xfId="23568" xr:uid="{95F0E7E7-14F3-42CE-A241-4FC373CB1F90}"/>
    <cellStyle name="40% - Accent1 2 2 2 4 3 2 2" xfId="40462" xr:uid="{E3F237EB-4BC1-4D49-A14F-6BF59EDD9C89}"/>
    <cellStyle name="40% - Accent1 2 2 2 4 3 3" xfId="15121" xr:uid="{D4C974DC-5D29-4356-9197-90493531D147}"/>
    <cellStyle name="40% - Accent1 2 2 2 4 3 4" xfId="32015" xr:uid="{D3D051E7-086D-4714-A485-6B74F08E8536}"/>
    <cellStyle name="40% - Accent1 2 2 2 4 4" xfId="19351" xr:uid="{3D7F2F96-5982-4E76-A6E3-52A1A1D37537}"/>
    <cellStyle name="40% - Accent1 2 2 2 4 4 2" xfId="36245" xr:uid="{A4A02A15-129E-4FC8-B28D-B7CD330EDD48}"/>
    <cellStyle name="40% - Accent1 2 2 2 4 5" xfId="10904" xr:uid="{058826BF-4C0A-4FC7-AF7D-256120500B0B}"/>
    <cellStyle name="40% - Accent1 2 2 2 4 6" xfId="27798" xr:uid="{0B1BF23A-B07B-4583-AFD9-5EC47C384569}"/>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2 2 2" xfId="26126" xr:uid="{D18F0BD6-832A-4E77-A8AA-0D9980EBA93F}"/>
    <cellStyle name="40% - Accent1 2 2 2 5 2 2 2 2" xfId="43020" xr:uid="{10559013-E5A8-4497-BA83-C636F6DF39F6}"/>
    <cellStyle name="40% - Accent1 2 2 2 5 2 2 3" xfId="17679" xr:uid="{7D4920FD-7FC2-4095-90A6-BEACDD7FF4EE}"/>
    <cellStyle name="40% - Accent1 2 2 2 5 2 2 4" xfId="34573" xr:uid="{891A2003-49FF-4BCC-ABA9-20E0150D8CF6}"/>
    <cellStyle name="40% - Accent1 2 2 2 5 2 3" xfId="21909" xr:uid="{25990AB5-B74B-498D-8CEC-1CCB45581584}"/>
    <cellStyle name="40% - Accent1 2 2 2 5 2 3 2" xfId="38803" xr:uid="{F1800D31-A69B-4ED1-A348-A2BA88356B5C}"/>
    <cellStyle name="40% - Accent1 2 2 2 5 2 4" xfId="13462" xr:uid="{2309722F-16E2-4D3C-BC33-C1988FB95920}"/>
    <cellStyle name="40% - Accent1 2 2 2 5 2 5" xfId="30356" xr:uid="{C557531A-71D9-4424-AC10-B152FBB302DD}"/>
    <cellStyle name="40% - Accent1 2 2 2 5 3" xfId="6208" xr:uid="{00000000-0005-0000-0000-0000D4030000}"/>
    <cellStyle name="40% - Accent1 2 2 2 5 3 2" xfId="23981" xr:uid="{6A3773FA-F1D0-458B-91E4-82BC2640C0C8}"/>
    <cellStyle name="40% - Accent1 2 2 2 5 3 2 2" xfId="40875" xr:uid="{89540821-9D9D-4E07-BF7A-8878060C84E4}"/>
    <cellStyle name="40% - Accent1 2 2 2 5 3 3" xfId="15534" xr:uid="{671CDEE5-136A-4BEE-98CE-E0DD01990EB6}"/>
    <cellStyle name="40% - Accent1 2 2 2 5 3 4" xfId="32428" xr:uid="{5B1B8E97-1248-4CEC-A62F-9A554F1E7648}"/>
    <cellStyle name="40% - Accent1 2 2 2 5 4" xfId="19764" xr:uid="{861A87DA-03CB-4283-ABE1-2A13D4955A85}"/>
    <cellStyle name="40% - Accent1 2 2 2 5 4 2" xfId="36658" xr:uid="{7B7ABA6B-9480-4A25-A874-BA74A40C0518}"/>
    <cellStyle name="40% - Accent1 2 2 2 5 5" xfId="11317" xr:uid="{06ACBD6A-341D-4FFE-AFF6-76A0862EF990}"/>
    <cellStyle name="40% - Accent1 2 2 2 5 6" xfId="28211" xr:uid="{C3961ED7-2E24-45BA-AD5E-4699EDCE2818}"/>
    <cellStyle name="40% - Accent1 2 2 2 6" xfId="2315" xr:uid="{00000000-0005-0000-0000-0000D5030000}"/>
    <cellStyle name="40% - Accent1 2 2 2 6 2" xfId="6621" xr:uid="{00000000-0005-0000-0000-0000D6030000}"/>
    <cellStyle name="40% - Accent1 2 2 2 6 2 2" xfId="24394" xr:uid="{43B6637E-5CEC-47D5-BA0D-ECE5F11DC4C5}"/>
    <cellStyle name="40% - Accent1 2 2 2 6 2 2 2" xfId="41288" xr:uid="{C0B2ABC1-C4D4-4652-ABD9-EDAD434D4C88}"/>
    <cellStyle name="40% - Accent1 2 2 2 6 2 3" xfId="15947" xr:uid="{2AD74787-141B-4B34-9894-7BD9A6917D46}"/>
    <cellStyle name="40% - Accent1 2 2 2 6 2 4" xfId="32841" xr:uid="{1068F1D5-C88A-4380-83E9-795C3E05100D}"/>
    <cellStyle name="40% - Accent1 2 2 2 6 3" xfId="20177" xr:uid="{EA40ACAC-E889-4848-A62F-3414C3AE15C1}"/>
    <cellStyle name="40% - Accent1 2 2 2 6 3 2" xfId="37071" xr:uid="{28BA022A-3FF1-463F-8119-AF337116F4AB}"/>
    <cellStyle name="40% - Accent1 2 2 2 6 4" xfId="11730" xr:uid="{81B9808F-8B90-4428-98D4-887CF00B2D66}"/>
    <cellStyle name="40% - Accent1 2 2 2 6 5" xfId="28624" xr:uid="{085CB2D9-51AC-48E6-B5A6-1C55A0675BFA}"/>
    <cellStyle name="40% - Accent1 2 2 2 7" xfId="4555" xr:uid="{00000000-0005-0000-0000-0000D7030000}"/>
    <cellStyle name="40% - Accent1 2 2 2 7 2" xfId="22328" xr:uid="{9D8F3AA6-489C-4E76-9C00-9CE02C836ED1}"/>
    <cellStyle name="40% - Accent1 2 2 2 7 2 2" xfId="39222" xr:uid="{F5384DD3-90CA-4860-9ED4-6573312E4A40}"/>
    <cellStyle name="40% - Accent1 2 2 2 7 3" xfId="13881" xr:uid="{9B0C57C9-EAAC-45B1-98DB-FC2AE6351D6E}"/>
    <cellStyle name="40% - Accent1 2 2 2 7 4" xfId="30775" xr:uid="{17982CD6-2500-48FA-BF76-BE610FEAFD8B}"/>
    <cellStyle name="40% - Accent1 2 2 2 8" xfId="9108" xr:uid="{1189B5E8-DD3C-4F9A-ACD3-DB853C0AC60B}"/>
    <cellStyle name="40% - Accent1 2 2 2 8 2" xfId="18111" xr:uid="{D301AB14-D3AD-4D82-BD71-4EFD0E372D2A}"/>
    <cellStyle name="40% - Accent1 2 2 2 8 3" xfId="35005" xr:uid="{AF4B6270-A379-41F7-BB7A-4A4CE1E0D2F8}"/>
    <cellStyle name="40% - Accent1 2 2 2 9" xfId="9664" xr:uid="{AAA55010-E70E-4396-A575-EF06AAEFAAB6}"/>
    <cellStyle name="40% - Accent1 2 2 3" xfId="620" xr:uid="{00000000-0005-0000-0000-0000D8030000}"/>
    <cellStyle name="40% - Accent1 2 2 3 2" xfId="2891" xr:uid="{00000000-0005-0000-0000-0000D9030000}"/>
    <cellStyle name="40% - Accent1 2 2 3 2 2" xfId="7113" xr:uid="{00000000-0005-0000-0000-0000DA030000}"/>
    <cellStyle name="40% - Accent1 2 2 3 2 2 2" xfId="24886" xr:uid="{B2319D61-544E-4FDE-963A-CB7CCDD754C9}"/>
    <cellStyle name="40% - Accent1 2 2 3 2 2 2 2" xfId="41780" xr:uid="{5D611A08-9243-4354-94AA-27C43699706D}"/>
    <cellStyle name="40% - Accent1 2 2 3 2 2 3" xfId="16439" xr:uid="{FEA28366-72F2-4063-BC5E-0E2F393D51A3}"/>
    <cellStyle name="40% - Accent1 2 2 3 2 2 4" xfId="33333" xr:uid="{24A25C39-7A36-4C8B-B90A-55C74E9BD710}"/>
    <cellStyle name="40% - Accent1 2 2 3 2 3" xfId="20669" xr:uid="{F62A51E7-183F-4EBF-BAFB-B9977C0E6C0E}"/>
    <cellStyle name="40% - Accent1 2 2 3 2 3 2" xfId="37563" xr:uid="{5177A89F-15DB-433D-A234-99B36594520B}"/>
    <cellStyle name="40% - Accent1 2 2 3 2 4" xfId="12222" xr:uid="{8A3A3042-7A43-4EAE-8197-51A329DE81B1}"/>
    <cellStyle name="40% - Accent1 2 2 3 2 5" xfId="29116" xr:uid="{9ECA9B04-B6FA-400C-927D-B3B52EE99C78}"/>
    <cellStyle name="40% - Accent1 2 2 3 3" xfId="4968" xr:uid="{00000000-0005-0000-0000-0000DB030000}"/>
    <cellStyle name="40% - Accent1 2 2 3 3 2" xfId="22741" xr:uid="{F8A18354-7B1A-456A-8472-25D1381EA2AB}"/>
    <cellStyle name="40% - Accent1 2 2 3 3 2 2" xfId="39635" xr:uid="{23A7C523-6294-43D8-9134-6A33630B2678}"/>
    <cellStyle name="40% - Accent1 2 2 3 3 3" xfId="14294" xr:uid="{F3EED4C6-62FF-4FC0-A409-EF6909BCAF77}"/>
    <cellStyle name="40% - Accent1 2 2 3 3 4" xfId="31188" xr:uid="{F26204C5-55BB-43BE-85A4-97A12B5F7BAB}"/>
    <cellStyle name="40% - Accent1 2 2 3 4" xfId="9326" xr:uid="{6D693950-F4D3-4A82-8C01-49E2379281D4}"/>
    <cellStyle name="40% - Accent1 2 2 3 4 2" xfId="18524" xr:uid="{E647AB3E-8148-4960-97DF-15AC9B102476}"/>
    <cellStyle name="40% - Accent1 2 2 3 4 3" xfId="35418" xr:uid="{E4BC679A-611A-49AA-9CCE-FF78DDAD30CD}"/>
    <cellStyle name="40% - Accent1 2 2 3 5" xfId="10077" xr:uid="{ECDC984A-5B56-4ECA-9A4C-1118E8B878F5}"/>
    <cellStyle name="40% - Accent1 2 2 3 6" xfId="26971" xr:uid="{C7FBC32D-137C-4BC6-A75D-B4ADE1A6909F}"/>
    <cellStyle name="40% - Accent1 2 2 4" xfId="1073" xr:uid="{00000000-0005-0000-0000-0000DC030000}"/>
    <cellStyle name="40% - Accent1 2 2 4 2" xfId="3304" xr:uid="{00000000-0005-0000-0000-0000DD030000}"/>
    <cellStyle name="40% - Accent1 2 2 4 2 2" xfId="7526" xr:uid="{00000000-0005-0000-0000-0000DE030000}"/>
    <cellStyle name="40% - Accent1 2 2 4 2 2 2" xfId="25299" xr:uid="{336846C4-0527-4DFD-BDB0-06A30C986B58}"/>
    <cellStyle name="40% - Accent1 2 2 4 2 2 2 2" xfId="42193" xr:uid="{D8BDE695-4F10-4CF8-9CAD-627DD6E0B414}"/>
    <cellStyle name="40% - Accent1 2 2 4 2 2 3" xfId="16852" xr:uid="{881D8C37-E9B5-47BA-B6E4-01C3B6F9FDAF}"/>
    <cellStyle name="40% - Accent1 2 2 4 2 2 4" xfId="33746" xr:uid="{D6F81655-EEE6-414B-B105-ABA07A3EE3B9}"/>
    <cellStyle name="40% - Accent1 2 2 4 2 3" xfId="21082" xr:uid="{124F8DCA-9FC4-4503-8FF6-9171F8A9B05D}"/>
    <cellStyle name="40% - Accent1 2 2 4 2 3 2" xfId="37976" xr:uid="{19AF7922-B658-4355-BC7E-60343BCCC690}"/>
    <cellStyle name="40% - Accent1 2 2 4 2 4" xfId="12635" xr:uid="{70ADC9DF-9AC8-4620-BDAE-B150D5D65361}"/>
    <cellStyle name="40% - Accent1 2 2 4 2 5" xfId="29529" xr:uid="{27C9B5CE-71E3-4E59-AD6D-9E24679CEC0C}"/>
    <cellStyle name="40% - Accent1 2 2 4 3" xfId="5381" xr:uid="{00000000-0005-0000-0000-0000DF030000}"/>
    <cellStyle name="40% - Accent1 2 2 4 3 2" xfId="23154" xr:uid="{AE6992B8-39AA-4D9B-BE77-9BC35B3D15A1}"/>
    <cellStyle name="40% - Accent1 2 2 4 3 2 2" xfId="40048" xr:uid="{01DE4422-AC13-4353-87FC-DF2940256099}"/>
    <cellStyle name="40% - Accent1 2 2 4 3 3" xfId="14707" xr:uid="{46DB51A9-CD68-45DB-A004-17CDBF8786A8}"/>
    <cellStyle name="40% - Accent1 2 2 4 3 4" xfId="31601" xr:uid="{8FD08503-AA17-46F7-B099-C35E3AA79702}"/>
    <cellStyle name="40% - Accent1 2 2 4 4" xfId="18937" xr:uid="{902288CE-59D4-4FC4-8969-38F5BF7BF6C1}"/>
    <cellStyle name="40% - Accent1 2 2 4 4 2" xfId="35831" xr:uid="{7C751820-54D0-4E7B-97DB-9DAF777D6401}"/>
    <cellStyle name="40% - Accent1 2 2 4 5" xfId="10490" xr:uid="{A42EF227-1C8F-4A2E-907D-1CFC5634D646}"/>
    <cellStyle name="40% - Accent1 2 2 4 6" xfId="27384" xr:uid="{7144A947-02DC-434C-BCC8-70037A3A38B9}"/>
    <cellStyle name="40% - Accent1 2 2 5" xfId="1487" xr:uid="{00000000-0005-0000-0000-0000E0030000}"/>
    <cellStyle name="40% - Accent1 2 2 5 2" xfId="3717" xr:uid="{00000000-0005-0000-0000-0000E1030000}"/>
    <cellStyle name="40% - Accent1 2 2 5 2 2" xfId="7939" xr:uid="{00000000-0005-0000-0000-0000E2030000}"/>
    <cellStyle name="40% - Accent1 2 2 5 2 2 2" xfId="25712" xr:uid="{A914075B-38B2-4CC9-B9AB-EDF61746D01C}"/>
    <cellStyle name="40% - Accent1 2 2 5 2 2 2 2" xfId="42606" xr:uid="{677B0A8D-9F17-47ED-8813-F542CC72FC4B}"/>
    <cellStyle name="40% - Accent1 2 2 5 2 2 3" xfId="17265" xr:uid="{084F89CC-37DE-413D-A0EA-039544B61C65}"/>
    <cellStyle name="40% - Accent1 2 2 5 2 2 4" xfId="34159" xr:uid="{7AFCBA7C-CAE9-4F8E-B40D-B3DB9EB75AB6}"/>
    <cellStyle name="40% - Accent1 2 2 5 2 3" xfId="21495" xr:uid="{36196D41-CA55-464F-A5FF-DA37B5CB202F}"/>
    <cellStyle name="40% - Accent1 2 2 5 2 3 2" xfId="38389" xr:uid="{A39AA405-4024-43D6-B951-0A40A15E2A91}"/>
    <cellStyle name="40% - Accent1 2 2 5 2 4" xfId="13048" xr:uid="{118E8B62-89BF-4360-9EEC-30D8887181A1}"/>
    <cellStyle name="40% - Accent1 2 2 5 2 5" xfId="29942" xr:uid="{9F84CE64-158C-46F0-96DC-09F2416DFF10}"/>
    <cellStyle name="40% - Accent1 2 2 5 3" xfId="5794" xr:uid="{00000000-0005-0000-0000-0000E3030000}"/>
    <cellStyle name="40% - Accent1 2 2 5 3 2" xfId="23567" xr:uid="{B4F94A05-78A9-4DA7-8915-4AA33EAE3BD0}"/>
    <cellStyle name="40% - Accent1 2 2 5 3 2 2" xfId="40461" xr:uid="{16F74A28-A9BA-473A-94F0-06AE4D96BC81}"/>
    <cellStyle name="40% - Accent1 2 2 5 3 3" xfId="15120" xr:uid="{3B94B7C2-1BA6-44DD-8110-286A8D6127DF}"/>
    <cellStyle name="40% - Accent1 2 2 5 3 4" xfId="32014" xr:uid="{D29606BA-AC57-4906-A081-BB24EC9DB948}"/>
    <cellStyle name="40% - Accent1 2 2 5 4" xfId="19350" xr:uid="{9DF6681C-0699-4CA5-9575-8DE6436DE4DF}"/>
    <cellStyle name="40% - Accent1 2 2 5 4 2" xfId="36244" xr:uid="{9F0FB4B1-A360-4EB8-B7BB-DBBC40008F25}"/>
    <cellStyle name="40% - Accent1 2 2 5 5" xfId="10903" xr:uid="{58ACE222-C397-44D7-A84D-D0DA8F701060}"/>
    <cellStyle name="40% - Accent1 2 2 5 6" xfId="27797" xr:uid="{F0C148CC-1C37-4BCA-AAFF-7DE75E484A22}"/>
    <cellStyle name="40% - Accent1 2 2 6" xfId="1901" xr:uid="{00000000-0005-0000-0000-0000E4030000}"/>
    <cellStyle name="40% - Accent1 2 2 6 2" xfId="4130" xr:uid="{00000000-0005-0000-0000-0000E5030000}"/>
    <cellStyle name="40% - Accent1 2 2 6 2 2" xfId="8352" xr:uid="{00000000-0005-0000-0000-0000E6030000}"/>
    <cellStyle name="40% - Accent1 2 2 6 2 2 2" xfId="26125" xr:uid="{B550AD2B-E1A2-460E-9077-2261FD5A685D}"/>
    <cellStyle name="40% - Accent1 2 2 6 2 2 2 2" xfId="43019" xr:uid="{E6989153-2D6C-44AB-A3D0-0F99AA63A406}"/>
    <cellStyle name="40% - Accent1 2 2 6 2 2 3" xfId="17678" xr:uid="{9D994982-13D3-4B0E-A1CF-3E7516FE3311}"/>
    <cellStyle name="40% - Accent1 2 2 6 2 2 4" xfId="34572" xr:uid="{E4DC29E2-9293-4F99-84B0-30039674D048}"/>
    <cellStyle name="40% - Accent1 2 2 6 2 3" xfId="21908" xr:uid="{CCA9E688-FE0A-4832-9B33-5EA570684CBA}"/>
    <cellStyle name="40% - Accent1 2 2 6 2 3 2" xfId="38802" xr:uid="{46025FE6-F7F9-4217-BEC4-29509A5BFCCF}"/>
    <cellStyle name="40% - Accent1 2 2 6 2 4" xfId="13461" xr:uid="{F356C322-2F99-41E0-AC47-0912C709F8AE}"/>
    <cellStyle name="40% - Accent1 2 2 6 2 5" xfId="30355" xr:uid="{6E883121-D813-4965-A70D-FB3167384B46}"/>
    <cellStyle name="40% - Accent1 2 2 6 3" xfId="6207" xr:uid="{00000000-0005-0000-0000-0000E7030000}"/>
    <cellStyle name="40% - Accent1 2 2 6 3 2" xfId="23980" xr:uid="{246E4F37-FCFC-4587-BB98-D4CDAEFF2F17}"/>
    <cellStyle name="40% - Accent1 2 2 6 3 2 2" xfId="40874" xr:uid="{0F74B6BB-7B2B-4BA6-B3F5-10522A91767E}"/>
    <cellStyle name="40% - Accent1 2 2 6 3 3" xfId="15533" xr:uid="{7A765975-7186-4B75-A69C-40BFE05F5423}"/>
    <cellStyle name="40% - Accent1 2 2 6 3 4" xfId="32427" xr:uid="{86E94EF4-9291-4B41-B644-95D536CAF54E}"/>
    <cellStyle name="40% - Accent1 2 2 6 4" xfId="19763" xr:uid="{4A9625BA-E1F3-4E5A-980C-8E562FB6B19F}"/>
    <cellStyle name="40% - Accent1 2 2 6 4 2" xfId="36657" xr:uid="{E06F2776-E188-46B5-9ADD-5F9CD19905C4}"/>
    <cellStyle name="40% - Accent1 2 2 6 5" xfId="11316" xr:uid="{9F150BCF-7479-46FD-96FF-193156315049}"/>
    <cellStyle name="40% - Accent1 2 2 6 6" xfId="28210" xr:uid="{FC53427D-BFB6-4637-99E3-4A995820C3A3}"/>
    <cellStyle name="40% - Accent1 2 2 7" xfId="2314" xr:uid="{00000000-0005-0000-0000-0000E8030000}"/>
    <cellStyle name="40% - Accent1 2 2 7 2" xfId="6620" xr:uid="{00000000-0005-0000-0000-0000E9030000}"/>
    <cellStyle name="40% - Accent1 2 2 7 2 2" xfId="24393" xr:uid="{12697B1E-AD81-4ABB-B6D5-0134D87DCBD0}"/>
    <cellStyle name="40% - Accent1 2 2 7 2 2 2" xfId="41287" xr:uid="{CD527D52-F117-49CE-AAFC-59D6C623B34F}"/>
    <cellStyle name="40% - Accent1 2 2 7 2 3" xfId="15946" xr:uid="{DB1E197A-AE86-4953-9BDD-55AD1F5BEFD5}"/>
    <cellStyle name="40% - Accent1 2 2 7 2 4" xfId="32840" xr:uid="{A9162936-0CC6-4F18-9A9F-2F9DB35CD032}"/>
    <cellStyle name="40% - Accent1 2 2 7 3" xfId="20176" xr:uid="{52B429BA-49FC-4A37-9B35-FD0F5DF40F94}"/>
    <cellStyle name="40% - Accent1 2 2 7 3 2" xfId="37070" xr:uid="{3057D674-4F26-4658-89E6-0D316ECD4514}"/>
    <cellStyle name="40% - Accent1 2 2 7 4" xfId="11729" xr:uid="{CC0E5EC5-D17C-49EC-BE22-92DEE1CE49D0}"/>
    <cellStyle name="40% - Accent1 2 2 7 5" xfId="28623" xr:uid="{7704F005-2C81-4C4B-B3B8-489F54222DC0}"/>
    <cellStyle name="40% - Accent1 2 2 8" xfId="4554" xr:uid="{00000000-0005-0000-0000-0000EA030000}"/>
    <cellStyle name="40% - Accent1 2 2 8 2" xfId="22327" xr:uid="{A5AEDAC3-D936-4BA3-93E1-AED1DC245968}"/>
    <cellStyle name="40% - Accent1 2 2 8 2 2" xfId="39221" xr:uid="{90916FA3-B5AE-4FBF-9BE8-3E2DD30EC382}"/>
    <cellStyle name="40% - Accent1 2 2 8 3" xfId="13880" xr:uid="{BACB3BDE-C2DE-41EB-A4F0-FC2292E0A4C1}"/>
    <cellStyle name="40% - Accent1 2 2 8 4" xfId="30774" xr:uid="{E58DA466-2B52-481A-A417-497E1C84AA70}"/>
    <cellStyle name="40% - Accent1 2 2 9" xfId="8901" xr:uid="{10130317-AF31-4351-8201-FD8BD447EA3C}"/>
    <cellStyle name="40% - Accent1 2 2 9 2" xfId="18110" xr:uid="{FFF5725E-E913-4822-9B03-22B03662CC64}"/>
    <cellStyle name="40% - Accent1 2 2 9 3" xfId="35004" xr:uid="{5FA5E3FC-6A68-4AA0-ADE1-CCD1D65A1B0A}"/>
    <cellStyle name="40% - Accent1 2 3" xfId="53" xr:uid="{00000000-0005-0000-0000-0000EB030000}"/>
    <cellStyle name="40% - Accent1 2 3 10" xfId="26559" xr:uid="{05245671-21D1-4FD6-AAD7-9DB9369866C9}"/>
    <cellStyle name="40% - Accent1 2 3 2" xfId="622" xr:uid="{00000000-0005-0000-0000-0000EC030000}"/>
    <cellStyle name="40% - Accent1 2 3 2 2" xfId="2893" xr:uid="{00000000-0005-0000-0000-0000ED030000}"/>
    <cellStyle name="40% - Accent1 2 3 2 2 2" xfId="7115" xr:uid="{00000000-0005-0000-0000-0000EE030000}"/>
    <cellStyle name="40% - Accent1 2 3 2 2 2 2" xfId="24888" xr:uid="{BDAB5025-3217-47BA-81B9-B25B225F0008}"/>
    <cellStyle name="40% - Accent1 2 3 2 2 2 2 2" xfId="41782" xr:uid="{B93C059C-F41F-4399-A6C9-839B18AA1083}"/>
    <cellStyle name="40% - Accent1 2 3 2 2 2 3" xfId="16441" xr:uid="{E375E5CF-5333-4FF8-81D1-E86B7F1793C6}"/>
    <cellStyle name="40% - Accent1 2 3 2 2 2 4" xfId="33335" xr:uid="{0963B82B-2A1A-4522-99E2-6530B1E1C90A}"/>
    <cellStyle name="40% - Accent1 2 3 2 2 3" xfId="20671" xr:uid="{33D298B9-A6A5-4638-915C-DA6A900FE98C}"/>
    <cellStyle name="40% - Accent1 2 3 2 2 3 2" xfId="37565" xr:uid="{E3F87DC4-DE77-47FA-AA4E-AB51D62B37B4}"/>
    <cellStyle name="40% - Accent1 2 3 2 2 4" xfId="12224" xr:uid="{9E5B8C78-FCDA-432E-BF95-0328AA53B5C5}"/>
    <cellStyle name="40% - Accent1 2 3 2 2 5" xfId="29118" xr:uid="{0A97A10A-A70B-4C71-9E28-93FF3F0E9EC2}"/>
    <cellStyle name="40% - Accent1 2 3 2 3" xfId="4970" xr:uid="{00000000-0005-0000-0000-0000EF030000}"/>
    <cellStyle name="40% - Accent1 2 3 2 3 2" xfId="22743" xr:uid="{BA4BC63A-8526-421F-A71B-671F42EB7379}"/>
    <cellStyle name="40% - Accent1 2 3 2 3 2 2" xfId="39637" xr:uid="{08F7DDEC-60FA-4A36-8528-9FE675A93C68}"/>
    <cellStyle name="40% - Accent1 2 3 2 3 3" xfId="14296" xr:uid="{6A960219-0415-490C-BA2A-6E75FAC1CF4D}"/>
    <cellStyle name="40% - Accent1 2 3 2 3 4" xfId="31190" xr:uid="{7B2F6AB9-571E-4FCF-A9AE-0EE179DE1072}"/>
    <cellStyle name="40% - Accent1 2 3 2 4" xfId="9430" xr:uid="{C79D1FB2-141C-4301-8F37-B3B9643C0550}"/>
    <cellStyle name="40% - Accent1 2 3 2 4 2" xfId="18526" xr:uid="{9BE00AFE-3847-4D04-A363-E937CCF59B26}"/>
    <cellStyle name="40% - Accent1 2 3 2 4 3" xfId="35420" xr:uid="{1EA92A00-4F67-426C-9A88-CFBBE6ADF2F6}"/>
    <cellStyle name="40% - Accent1 2 3 2 5" xfId="10079" xr:uid="{19E49C7D-43A6-4BB1-B031-64E7B3C61F94}"/>
    <cellStyle name="40% - Accent1 2 3 2 6" xfId="26973" xr:uid="{FCC6B156-8F77-443E-8B46-8FCD04C55839}"/>
    <cellStyle name="40% - Accent1 2 3 3" xfId="1075" xr:uid="{00000000-0005-0000-0000-0000F0030000}"/>
    <cellStyle name="40% - Accent1 2 3 3 2" xfId="3306" xr:uid="{00000000-0005-0000-0000-0000F1030000}"/>
    <cellStyle name="40% - Accent1 2 3 3 2 2" xfId="7528" xr:uid="{00000000-0005-0000-0000-0000F2030000}"/>
    <cellStyle name="40% - Accent1 2 3 3 2 2 2" xfId="25301" xr:uid="{5DFF659B-C9B4-4EFE-A28E-19EA2B96D4DC}"/>
    <cellStyle name="40% - Accent1 2 3 3 2 2 2 2" xfId="42195" xr:uid="{E85C61F2-5248-480A-8FD3-0B5E88E94BDC}"/>
    <cellStyle name="40% - Accent1 2 3 3 2 2 3" xfId="16854" xr:uid="{D2CBE709-8340-43F1-8EDA-5DBD414A7C35}"/>
    <cellStyle name="40% - Accent1 2 3 3 2 2 4" xfId="33748" xr:uid="{FA1CF1CC-228A-4717-97EA-3909D424683F}"/>
    <cellStyle name="40% - Accent1 2 3 3 2 3" xfId="21084" xr:uid="{54912CF8-17B6-408A-B217-47A8F225480A}"/>
    <cellStyle name="40% - Accent1 2 3 3 2 3 2" xfId="37978" xr:uid="{4083F560-A35C-428B-9D59-3EB758BE5CB0}"/>
    <cellStyle name="40% - Accent1 2 3 3 2 4" xfId="12637" xr:uid="{832A4D52-D48F-425E-88A1-5781F30CCF54}"/>
    <cellStyle name="40% - Accent1 2 3 3 2 5" xfId="29531" xr:uid="{A2726E7B-5518-41BD-8E80-CADC6D629A4E}"/>
    <cellStyle name="40% - Accent1 2 3 3 3" xfId="5383" xr:uid="{00000000-0005-0000-0000-0000F3030000}"/>
    <cellStyle name="40% - Accent1 2 3 3 3 2" xfId="23156" xr:uid="{81CEF9F9-6FA7-4C3B-8A20-5B7B1270E7A3}"/>
    <cellStyle name="40% - Accent1 2 3 3 3 2 2" xfId="40050" xr:uid="{8CF414D4-8939-4B2A-8F82-3180BF813E63}"/>
    <cellStyle name="40% - Accent1 2 3 3 3 3" xfId="14709" xr:uid="{46FF8C07-11E6-46A5-83FB-F9DDBD5EBC54}"/>
    <cellStyle name="40% - Accent1 2 3 3 3 4" xfId="31603" xr:uid="{D2A30F06-7790-44D1-BE71-1BF4D4A81A9C}"/>
    <cellStyle name="40% - Accent1 2 3 3 4" xfId="18939" xr:uid="{A802E2D2-3A8F-4BAE-B83D-237B1520B8A9}"/>
    <cellStyle name="40% - Accent1 2 3 3 4 2" xfId="35833" xr:uid="{3ED490E2-40D2-46B0-B874-2A681DF0CA04}"/>
    <cellStyle name="40% - Accent1 2 3 3 5" xfId="10492" xr:uid="{0EC2A105-CEBC-4A19-BE47-D0F6A6783580}"/>
    <cellStyle name="40% - Accent1 2 3 3 6" xfId="27386" xr:uid="{15B484FF-1779-4005-A78F-26F41AE41536}"/>
    <cellStyle name="40% - Accent1 2 3 4" xfId="1489" xr:uid="{00000000-0005-0000-0000-0000F4030000}"/>
    <cellStyle name="40% - Accent1 2 3 4 2" xfId="3719" xr:uid="{00000000-0005-0000-0000-0000F5030000}"/>
    <cellStyle name="40% - Accent1 2 3 4 2 2" xfId="7941" xr:uid="{00000000-0005-0000-0000-0000F6030000}"/>
    <cellStyle name="40% - Accent1 2 3 4 2 2 2" xfId="25714" xr:uid="{22A318F1-49B2-474C-9159-E468C7523879}"/>
    <cellStyle name="40% - Accent1 2 3 4 2 2 2 2" xfId="42608" xr:uid="{2D3EFD8E-B034-49D4-A04F-477696E5C17E}"/>
    <cellStyle name="40% - Accent1 2 3 4 2 2 3" xfId="17267" xr:uid="{9A10A636-BD03-4FE9-9601-E57EE931B390}"/>
    <cellStyle name="40% - Accent1 2 3 4 2 2 4" xfId="34161" xr:uid="{657C2F95-876F-4957-A04E-59E94A91ECAA}"/>
    <cellStyle name="40% - Accent1 2 3 4 2 3" xfId="21497" xr:uid="{25E9FD87-3F7B-4DC2-950A-DD353454F8D8}"/>
    <cellStyle name="40% - Accent1 2 3 4 2 3 2" xfId="38391" xr:uid="{6B0744D9-DABB-4825-B7C3-08382CCA1A52}"/>
    <cellStyle name="40% - Accent1 2 3 4 2 4" xfId="13050" xr:uid="{BD9F9E91-31D0-4FA1-B0BD-7B497E115578}"/>
    <cellStyle name="40% - Accent1 2 3 4 2 5" xfId="29944" xr:uid="{6FD4EC7E-1995-41A2-A77B-07D3C550F534}"/>
    <cellStyle name="40% - Accent1 2 3 4 3" xfId="5796" xr:uid="{00000000-0005-0000-0000-0000F7030000}"/>
    <cellStyle name="40% - Accent1 2 3 4 3 2" xfId="23569" xr:uid="{2A4BC890-D40F-46CC-82C9-F40FADC894BA}"/>
    <cellStyle name="40% - Accent1 2 3 4 3 2 2" xfId="40463" xr:uid="{E1DB5EC5-E1FA-4870-BE0C-F71AB9019A0B}"/>
    <cellStyle name="40% - Accent1 2 3 4 3 3" xfId="15122" xr:uid="{FC4B6D5F-575A-486B-9000-C6259772B3BA}"/>
    <cellStyle name="40% - Accent1 2 3 4 3 4" xfId="32016" xr:uid="{EF1AD100-843D-41A9-82B3-91ED6842E120}"/>
    <cellStyle name="40% - Accent1 2 3 4 4" xfId="19352" xr:uid="{507901D3-C70E-4BFF-8FBD-810643D3253E}"/>
    <cellStyle name="40% - Accent1 2 3 4 4 2" xfId="36246" xr:uid="{6A8276F2-E333-4C7C-9317-718E12FC4DF1}"/>
    <cellStyle name="40% - Accent1 2 3 4 5" xfId="10905" xr:uid="{08AF7809-0AA0-4A2D-93D5-7921D02531AF}"/>
    <cellStyle name="40% - Accent1 2 3 4 6" xfId="27799" xr:uid="{BD1234D8-AC36-4214-BB6C-EC45331C6998}"/>
    <cellStyle name="40% - Accent1 2 3 5" xfId="1903" xr:uid="{00000000-0005-0000-0000-0000F8030000}"/>
    <cellStyle name="40% - Accent1 2 3 5 2" xfId="4132" xr:uid="{00000000-0005-0000-0000-0000F9030000}"/>
    <cellStyle name="40% - Accent1 2 3 5 2 2" xfId="8354" xr:uid="{00000000-0005-0000-0000-0000FA030000}"/>
    <cellStyle name="40% - Accent1 2 3 5 2 2 2" xfId="26127" xr:uid="{C58CB6CC-24F8-424E-94EA-229D26639C65}"/>
    <cellStyle name="40% - Accent1 2 3 5 2 2 2 2" xfId="43021" xr:uid="{005EDA5B-5BC2-435F-8A8D-D4D7003D26B5}"/>
    <cellStyle name="40% - Accent1 2 3 5 2 2 3" xfId="17680" xr:uid="{3530FDEB-5CA4-4AD5-B4AB-1F2680068AE0}"/>
    <cellStyle name="40% - Accent1 2 3 5 2 2 4" xfId="34574" xr:uid="{0C3AF848-4AFA-4F64-8B59-ED5E005CF18B}"/>
    <cellStyle name="40% - Accent1 2 3 5 2 3" xfId="21910" xr:uid="{5EDC9CFF-F97D-4AAC-A1D5-71CF785DB856}"/>
    <cellStyle name="40% - Accent1 2 3 5 2 3 2" xfId="38804" xr:uid="{0FD8FCCF-F036-4172-8EAB-BDECFE3D041B}"/>
    <cellStyle name="40% - Accent1 2 3 5 2 4" xfId="13463" xr:uid="{4769040F-3201-4AD6-9508-06AAEB7625BE}"/>
    <cellStyle name="40% - Accent1 2 3 5 2 5" xfId="30357" xr:uid="{7DFCBBD4-347C-4360-B5DD-7D8D256B4B7E}"/>
    <cellStyle name="40% - Accent1 2 3 5 3" xfId="6209" xr:uid="{00000000-0005-0000-0000-0000FB030000}"/>
    <cellStyle name="40% - Accent1 2 3 5 3 2" xfId="23982" xr:uid="{D66EF1BA-3A55-46B4-B048-B88B8B1615C4}"/>
    <cellStyle name="40% - Accent1 2 3 5 3 2 2" xfId="40876" xr:uid="{32EF0B1A-7C5F-42FB-89DE-CD455C0AC7CD}"/>
    <cellStyle name="40% - Accent1 2 3 5 3 3" xfId="15535" xr:uid="{915BAD5A-77C8-48D7-ACFD-9EFC28B985F6}"/>
    <cellStyle name="40% - Accent1 2 3 5 3 4" xfId="32429" xr:uid="{EDB76336-DA90-426A-B571-38C31DD9162C}"/>
    <cellStyle name="40% - Accent1 2 3 5 4" xfId="19765" xr:uid="{289997DE-9FFB-49A5-B4C6-4D4654BD2B3D}"/>
    <cellStyle name="40% - Accent1 2 3 5 4 2" xfId="36659" xr:uid="{F90E3C26-FBCE-4447-98F0-6BD7CAB93559}"/>
    <cellStyle name="40% - Accent1 2 3 5 5" xfId="11318" xr:uid="{F0541EF2-0DD6-4702-932D-9B18CE2753DB}"/>
    <cellStyle name="40% - Accent1 2 3 5 6" xfId="28212" xr:uid="{F4E8E970-B0BD-463F-BDF4-F9F14D32FB03}"/>
    <cellStyle name="40% - Accent1 2 3 6" xfId="2316" xr:uid="{00000000-0005-0000-0000-0000FC030000}"/>
    <cellStyle name="40% - Accent1 2 3 6 2" xfId="6622" xr:uid="{00000000-0005-0000-0000-0000FD030000}"/>
    <cellStyle name="40% - Accent1 2 3 6 2 2" xfId="24395" xr:uid="{48F5E270-D440-4901-A184-A0525F7D3BF6}"/>
    <cellStyle name="40% - Accent1 2 3 6 2 2 2" xfId="41289" xr:uid="{E7A5143C-F175-40AA-AFFD-4CEBBCE63A2B}"/>
    <cellStyle name="40% - Accent1 2 3 6 2 3" xfId="15948" xr:uid="{EB105EF6-A213-472B-874D-E14DE5626296}"/>
    <cellStyle name="40% - Accent1 2 3 6 2 4" xfId="32842" xr:uid="{D88C61CA-8086-41C0-A3D6-E5D38866CCE3}"/>
    <cellStyle name="40% - Accent1 2 3 6 3" xfId="20178" xr:uid="{D2C07645-2113-4DFC-973E-62B9E9C66B8F}"/>
    <cellStyle name="40% - Accent1 2 3 6 3 2" xfId="37072" xr:uid="{77B5E5F9-BA69-416E-BAFC-72E8B4DA5333}"/>
    <cellStyle name="40% - Accent1 2 3 6 4" xfId="11731" xr:uid="{8E928860-F6F1-48FE-BB1B-67644456EF41}"/>
    <cellStyle name="40% - Accent1 2 3 6 5" xfId="28625" xr:uid="{BFFB8E5D-5F6D-4CD0-9905-F322A8A9D1A0}"/>
    <cellStyle name="40% - Accent1 2 3 7" xfId="4556" xr:uid="{00000000-0005-0000-0000-0000FE030000}"/>
    <cellStyle name="40% - Accent1 2 3 7 2" xfId="22329" xr:uid="{3AFB6934-B4E2-4DC0-95D9-0B62032B85BF}"/>
    <cellStyle name="40% - Accent1 2 3 7 2 2" xfId="39223" xr:uid="{5B57CF20-8586-42AB-879C-4303F7756BC8}"/>
    <cellStyle name="40% - Accent1 2 3 7 3" xfId="13882" xr:uid="{F385E7F8-5CBF-464E-8D98-CFEB2B876205}"/>
    <cellStyle name="40% - Accent1 2 3 7 4" xfId="30776" xr:uid="{C4BA46B6-484E-4580-B517-556E2C375506}"/>
    <cellStyle name="40% - Accent1 2 3 8" xfId="9005" xr:uid="{83AF69B9-664F-4E19-B721-7989C2FEBC0C}"/>
    <cellStyle name="40% - Accent1 2 3 8 2" xfId="18112" xr:uid="{6BB776DA-9DF8-4806-8EAC-7DDB7AD14082}"/>
    <cellStyle name="40% - Accent1 2 3 8 3" xfId="35006" xr:uid="{875A34F2-490D-4298-AD51-485A30CD7A10}"/>
    <cellStyle name="40% - Accent1 2 3 9" xfId="9665" xr:uid="{E0DA1F30-DF77-473D-B6B2-7F894B8D1285}"/>
    <cellStyle name="40% - Accent1 2 4" xfId="619" xr:uid="{00000000-0005-0000-0000-0000FF030000}"/>
    <cellStyle name="40% - Accent1 2 4 2" xfId="2890" xr:uid="{00000000-0005-0000-0000-000000040000}"/>
    <cellStyle name="40% - Accent1 2 4 2 2" xfId="7112" xr:uid="{00000000-0005-0000-0000-000001040000}"/>
    <cellStyle name="40% - Accent1 2 4 2 2 2" xfId="24885" xr:uid="{EFA2C355-63A0-4091-8E55-C891A627169D}"/>
    <cellStyle name="40% - Accent1 2 4 2 2 2 2" xfId="41779" xr:uid="{231F1918-0468-47A2-B9B8-73A06817F4DB}"/>
    <cellStyle name="40% - Accent1 2 4 2 2 3" xfId="16438" xr:uid="{E722EEC4-A2A0-4BDB-AB1D-58610238C5F6}"/>
    <cellStyle name="40% - Accent1 2 4 2 2 4" xfId="33332" xr:uid="{F5B52C9E-4566-488E-AC4A-187BEE5029E0}"/>
    <cellStyle name="40% - Accent1 2 4 2 3" xfId="20668" xr:uid="{35ECF597-F299-48D9-B5E3-B8173E9C376E}"/>
    <cellStyle name="40% - Accent1 2 4 2 3 2" xfId="37562" xr:uid="{9DCC2D95-4249-4D9D-83F2-9B147D3DF215}"/>
    <cellStyle name="40% - Accent1 2 4 2 4" xfId="12221" xr:uid="{0DB3E0C8-F642-40C0-AD7D-6F9001138957}"/>
    <cellStyle name="40% - Accent1 2 4 2 5" xfId="29115" xr:uid="{19AF88C0-94A6-4F47-8F3D-1FDBE471A921}"/>
    <cellStyle name="40% - Accent1 2 4 3" xfId="4967" xr:uid="{00000000-0005-0000-0000-000002040000}"/>
    <cellStyle name="40% - Accent1 2 4 3 2" xfId="22740" xr:uid="{6DD6CCE3-4E2E-406F-BE33-48851FF07633}"/>
    <cellStyle name="40% - Accent1 2 4 3 2 2" xfId="39634" xr:uid="{E4A5CA11-9448-4096-BD38-17BCE7D07252}"/>
    <cellStyle name="40% - Accent1 2 4 3 3" xfId="14293" xr:uid="{FC7C5899-7CBD-4429-BCA7-E77A3118821E}"/>
    <cellStyle name="40% - Accent1 2 4 3 4" xfId="31187" xr:uid="{C72EB30F-12A1-447E-9043-F1214FD086C7}"/>
    <cellStyle name="40% - Accent1 2 4 4" xfId="9222" xr:uid="{A6B83122-AC98-4E58-AA4D-EC5ECC38FC6B}"/>
    <cellStyle name="40% - Accent1 2 4 4 2" xfId="18523" xr:uid="{E159AF5D-ADA3-441B-8549-2BC201C8F522}"/>
    <cellStyle name="40% - Accent1 2 4 4 3" xfId="35417" xr:uid="{F6B3778B-A147-4460-80E0-063CD1E865C0}"/>
    <cellStyle name="40% - Accent1 2 4 5" xfId="10076" xr:uid="{0845D4E8-F802-4792-B85B-20708A4FFCFA}"/>
    <cellStyle name="40% - Accent1 2 4 6" xfId="26970" xr:uid="{DDE71F25-5477-4805-BC60-78A809B8FDB8}"/>
    <cellStyle name="40% - Accent1 2 5" xfId="1072" xr:uid="{00000000-0005-0000-0000-000003040000}"/>
    <cellStyle name="40% - Accent1 2 5 2" xfId="3303" xr:uid="{00000000-0005-0000-0000-000004040000}"/>
    <cellStyle name="40% - Accent1 2 5 2 2" xfId="7525" xr:uid="{00000000-0005-0000-0000-000005040000}"/>
    <cellStyle name="40% - Accent1 2 5 2 2 2" xfId="25298" xr:uid="{E55D5491-8308-4501-84B2-27F3E643ED2A}"/>
    <cellStyle name="40% - Accent1 2 5 2 2 2 2" xfId="42192" xr:uid="{BB561DFD-43D2-4F42-9EAC-B7EF8A0B3F04}"/>
    <cellStyle name="40% - Accent1 2 5 2 2 3" xfId="16851" xr:uid="{2AF55ED8-5401-42B4-A2BC-C204F664F918}"/>
    <cellStyle name="40% - Accent1 2 5 2 2 4" xfId="33745" xr:uid="{7C3FE06B-3A33-4E38-80D2-8452C9096932}"/>
    <cellStyle name="40% - Accent1 2 5 2 3" xfId="21081" xr:uid="{94334250-7185-42D6-8022-455C2BEFFCDF}"/>
    <cellStyle name="40% - Accent1 2 5 2 3 2" xfId="37975" xr:uid="{48702557-26D5-4E6C-9C8C-7D11B429390B}"/>
    <cellStyle name="40% - Accent1 2 5 2 4" xfId="12634" xr:uid="{8D75DADF-EB47-4E41-ADDC-22C54897FBDA}"/>
    <cellStyle name="40% - Accent1 2 5 2 5" xfId="29528" xr:uid="{48F74D7E-3C92-4337-AFC5-55C888BDE6DD}"/>
    <cellStyle name="40% - Accent1 2 5 3" xfId="5380" xr:uid="{00000000-0005-0000-0000-000006040000}"/>
    <cellStyle name="40% - Accent1 2 5 3 2" xfId="23153" xr:uid="{9B174885-0F3D-4458-B025-9B00D209EB5E}"/>
    <cellStyle name="40% - Accent1 2 5 3 2 2" xfId="40047" xr:uid="{42AFEC39-25E5-4D32-BDB4-8623E2A5155C}"/>
    <cellStyle name="40% - Accent1 2 5 3 3" xfId="14706" xr:uid="{F892BC61-0CE1-414B-BE1C-671625D2F04B}"/>
    <cellStyle name="40% - Accent1 2 5 3 4" xfId="31600" xr:uid="{001B4106-1309-466F-8D1E-FDD0D91A7CA6}"/>
    <cellStyle name="40% - Accent1 2 5 4" xfId="18936" xr:uid="{98B00B28-ACE8-4B4A-8383-3C4B5A36194B}"/>
    <cellStyle name="40% - Accent1 2 5 4 2" xfId="35830" xr:uid="{FB8E1BB9-9625-459B-A7D2-29A76EC3F7E0}"/>
    <cellStyle name="40% - Accent1 2 5 5" xfId="10489" xr:uid="{3ACEC132-34CD-4694-9F4D-EFD4D735F246}"/>
    <cellStyle name="40% - Accent1 2 5 6" xfId="27383" xr:uid="{E254D453-2914-41CB-A40C-DB605D3D3E08}"/>
    <cellStyle name="40% - Accent1 2 6" xfId="1486" xr:uid="{00000000-0005-0000-0000-000007040000}"/>
    <cellStyle name="40% - Accent1 2 6 2" xfId="3716" xr:uid="{00000000-0005-0000-0000-000008040000}"/>
    <cellStyle name="40% - Accent1 2 6 2 2" xfId="7938" xr:uid="{00000000-0005-0000-0000-000009040000}"/>
    <cellStyle name="40% - Accent1 2 6 2 2 2" xfId="25711" xr:uid="{380C920E-6450-4B3B-A7F2-2E95B2204833}"/>
    <cellStyle name="40% - Accent1 2 6 2 2 2 2" xfId="42605" xr:uid="{21B0BA20-C133-4514-851B-CA5588BE9BCA}"/>
    <cellStyle name="40% - Accent1 2 6 2 2 3" xfId="17264" xr:uid="{F3F302FB-409C-455F-82DB-2B3A7CAB9875}"/>
    <cellStyle name="40% - Accent1 2 6 2 2 4" xfId="34158" xr:uid="{5BBA6274-8AB5-4AB0-AD63-1A9471C6CA5D}"/>
    <cellStyle name="40% - Accent1 2 6 2 3" xfId="21494" xr:uid="{02F41479-1CE5-4EB2-A8E5-0399895B1492}"/>
    <cellStyle name="40% - Accent1 2 6 2 3 2" xfId="38388" xr:uid="{C1A21D4A-B03C-49E6-93EB-1E3461D10D92}"/>
    <cellStyle name="40% - Accent1 2 6 2 4" xfId="13047" xr:uid="{ED7A8C59-2709-421C-905E-F5FD63C4DD58}"/>
    <cellStyle name="40% - Accent1 2 6 2 5" xfId="29941" xr:uid="{97CACDA0-B148-4717-9970-D0F1EBCA1029}"/>
    <cellStyle name="40% - Accent1 2 6 3" xfId="5793" xr:uid="{00000000-0005-0000-0000-00000A040000}"/>
    <cellStyle name="40% - Accent1 2 6 3 2" xfId="23566" xr:uid="{335937EF-6F40-499B-9D7C-C564C1A4E331}"/>
    <cellStyle name="40% - Accent1 2 6 3 2 2" xfId="40460" xr:uid="{0F557356-0B33-465B-979C-45D001EB5B79}"/>
    <cellStyle name="40% - Accent1 2 6 3 3" xfId="15119" xr:uid="{47F83200-612A-484E-BA94-FF7F0415573B}"/>
    <cellStyle name="40% - Accent1 2 6 3 4" xfId="32013" xr:uid="{FC810F59-997C-45BD-BF95-D800408175A8}"/>
    <cellStyle name="40% - Accent1 2 6 4" xfId="19349" xr:uid="{E44911A6-1187-4F56-B0E6-1B021F9E0EA0}"/>
    <cellStyle name="40% - Accent1 2 6 4 2" xfId="36243" xr:uid="{C0498F70-52B1-4D04-AB1B-95B15B4CABE5}"/>
    <cellStyle name="40% - Accent1 2 6 5" xfId="10902" xr:uid="{2ECA40CD-44D4-4C46-BF89-B23709B91185}"/>
    <cellStyle name="40% - Accent1 2 6 6" xfId="27796" xr:uid="{703AB534-0DE0-4950-AD60-21C56F17012F}"/>
    <cellStyle name="40% - Accent1 2 7" xfId="1900" xr:uid="{00000000-0005-0000-0000-00000B040000}"/>
    <cellStyle name="40% - Accent1 2 7 2" xfId="4129" xr:uid="{00000000-0005-0000-0000-00000C040000}"/>
    <cellStyle name="40% - Accent1 2 7 2 2" xfId="8351" xr:uid="{00000000-0005-0000-0000-00000D040000}"/>
    <cellStyle name="40% - Accent1 2 7 2 2 2" xfId="26124" xr:uid="{1821F1C9-9A5D-4A2F-A162-F63A20B49B2F}"/>
    <cellStyle name="40% - Accent1 2 7 2 2 2 2" xfId="43018" xr:uid="{0F43C9EB-96A0-404A-821F-15ED2CBB4C0E}"/>
    <cellStyle name="40% - Accent1 2 7 2 2 3" xfId="17677" xr:uid="{F31AF601-28B2-4F45-A191-18F8A24E2E47}"/>
    <cellStyle name="40% - Accent1 2 7 2 2 4" xfId="34571" xr:uid="{A7A656C6-EB34-4D52-94EF-E14AFEDF072A}"/>
    <cellStyle name="40% - Accent1 2 7 2 3" xfId="21907" xr:uid="{F95C473D-E7C2-4C4D-948A-15DDD575A246}"/>
    <cellStyle name="40% - Accent1 2 7 2 3 2" xfId="38801" xr:uid="{CA143864-C8B3-40D4-BAE5-49F177B3D1F3}"/>
    <cellStyle name="40% - Accent1 2 7 2 4" xfId="13460" xr:uid="{4A015349-4156-4DC3-AED5-00E7E6F72021}"/>
    <cellStyle name="40% - Accent1 2 7 2 5" xfId="30354" xr:uid="{428631B1-727A-4736-8C35-FDCEBB3F05B5}"/>
    <cellStyle name="40% - Accent1 2 7 3" xfId="6206" xr:uid="{00000000-0005-0000-0000-00000E040000}"/>
    <cellStyle name="40% - Accent1 2 7 3 2" xfId="23979" xr:uid="{7BF2DB35-D7E8-4BEA-B536-9F73D700FC4B}"/>
    <cellStyle name="40% - Accent1 2 7 3 2 2" xfId="40873" xr:uid="{EDC82A5B-3390-4433-9E12-CCEF495E1D04}"/>
    <cellStyle name="40% - Accent1 2 7 3 3" xfId="15532" xr:uid="{EB24346B-10DB-443D-B283-5B41877539A2}"/>
    <cellStyle name="40% - Accent1 2 7 3 4" xfId="32426" xr:uid="{3B8146EC-642C-43FE-8BE0-EE329C7BB00F}"/>
    <cellStyle name="40% - Accent1 2 7 4" xfId="19762" xr:uid="{A2956365-E9AA-47FF-957D-6E49AA0637FD}"/>
    <cellStyle name="40% - Accent1 2 7 4 2" xfId="36656" xr:uid="{D94A98AC-EF56-4C03-B52F-6D7B5C002FF2}"/>
    <cellStyle name="40% - Accent1 2 7 5" xfId="11315" xr:uid="{F88B3EF5-71BE-43C9-A78C-80099FC3F4A8}"/>
    <cellStyle name="40% - Accent1 2 7 6" xfId="28209" xr:uid="{169C164C-4D48-457B-B00B-CDCC56083913}"/>
    <cellStyle name="40% - Accent1 2 8" xfId="2313" xr:uid="{00000000-0005-0000-0000-00000F040000}"/>
    <cellStyle name="40% - Accent1 2 8 2" xfId="6619" xr:uid="{00000000-0005-0000-0000-000010040000}"/>
    <cellStyle name="40% - Accent1 2 8 2 2" xfId="24392" xr:uid="{3A37011E-EFDF-4A05-B7B8-61C3BD564830}"/>
    <cellStyle name="40% - Accent1 2 8 2 2 2" xfId="41286" xr:uid="{BC51FAB1-05E8-40D1-A78C-99F5521B26EC}"/>
    <cellStyle name="40% - Accent1 2 8 2 3" xfId="15945" xr:uid="{7376B5B7-4F6C-45A7-B0F1-1394D0C25DB6}"/>
    <cellStyle name="40% - Accent1 2 8 2 4" xfId="32839" xr:uid="{2C922F7C-EF39-4C87-98BD-3DCA6E7C0415}"/>
    <cellStyle name="40% - Accent1 2 8 3" xfId="20175" xr:uid="{01DA882C-AC0C-48E6-BBE3-752B5092B95C}"/>
    <cellStyle name="40% - Accent1 2 8 3 2" xfId="37069" xr:uid="{8EADE000-DB09-4DCC-8669-F4408916AD8F}"/>
    <cellStyle name="40% - Accent1 2 8 4" xfId="11728" xr:uid="{B6B78227-00AC-4525-ADE9-2DB9B36D2FB9}"/>
    <cellStyle name="40% - Accent1 2 8 5" xfId="28622" xr:uid="{28E9E70F-E122-48AC-BD5A-BE02784B72C1}"/>
    <cellStyle name="40% - Accent1 2 9" xfId="4553" xr:uid="{00000000-0005-0000-0000-000011040000}"/>
    <cellStyle name="40% - Accent1 2 9 2" xfId="22326" xr:uid="{7CF4C7FA-2ED1-4A23-94BD-83068B010039}"/>
    <cellStyle name="40% - Accent1 2 9 2 2" xfId="39220" xr:uid="{D33997D7-A910-4182-969D-1EBE58C7C97D}"/>
    <cellStyle name="40% - Accent1 2 9 3" xfId="13879" xr:uid="{FD87C0C1-7953-4E50-9534-90A6AEF09A6D}"/>
    <cellStyle name="40% - Accent1 2 9 4" xfId="30773" xr:uid="{9F50B527-6EDD-41B9-BF65-30182F2181B0}"/>
    <cellStyle name="40% - Accent1 3" xfId="54" xr:uid="{00000000-0005-0000-0000-000012040000}"/>
    <cellStyle name="40% - Accent1 3 10" xfId="9666" xr:uid="{9FFA9808-CA83-4E5D-9690-36E97BD2F775}"/>
    <cellStyle name="40% - Accent1 3 11" xfId="26560" xr:uid="{C3EF7D0D-0AF0-4807-B564-C76F0A363FAA}"/>
    <cellStyle name="40% - Accent1 3 2" xfId="55" xr:uid="{00000000-0005-0000-0000-000013040000}"/>
    <cellStyle name="40% - Accent1 3 2 10" xfId="26561" xr:uid="{CED848B8-E219-4C88-B6FC-0A45AD53E4AB}"/>
    <cellStyle name="40% - Accent1 3 2 2" xfId="624" xr:uid="{00000000-0005-0000-0000-000014040000}"/>
    <cellStyle name="40% - Accent1 3 2 2 2" xfId="2895" xr:uid="{00000000-0005-0000-0000-000015040000}"/>
    <cellStyle name="40% - Accent1 3 2 2 2 2" xfId="7117" xr:uid="{00000000-0005-0000-0000-000016040000}"/>
    <cellStyle name="40% - Accent1 3 2 2 2 2 2" xfId="24890" xr:uid="{DBB7DEE5-4E30-4698-B2C1-555D03971FCD}"/>
    <cellStyle name="40% - Accent1 3 2 2 2 2 2 2" xfId="41784" xr:uid="{3785DC70-6844-4E12-AB03-CF7BDBA3FF7A}"/>
    <cellStyle name="40% - Accent1 3 2 2 2 2 3" xfId="16443" xr:uid="{82E9EEC5-8057-4E8F-958E-90844AB67694}"/>
    <cellStyle name="40% - Accent1 3 2 2 2 2 4" xfId="33337" xr:uid="{DF70EE14-ED27-432B-80FD-43AEE2B880C4}"/>
    <cellStyle name="40% - Accent1 3 2 2 2 3" xfId="20673" xr:uid="{FD5E635C-51A7-4766-88C5-F415EEB46A98}"/>
    <cellStyle name="40% - Accent1 3 2 2 2 3 2" xfId="37567" xr:uid="{370DED79-AF68-4670-9A44-D0235573D91C}"/>
    <cellStyle name="40% - Accent1 3 2 2 2 4" xfId="12226" xr:uid="{9E4D6A7B-5374-4A62-8B95-86E96CB7801A}"/>
    <cellStyle name="40% - Accent1 3 2 2 2 5" xfId="29120" xr:uid="{4951CC7E-BFD0-429C-BCA0-D20CA3DB5B21}"/>
    <cellStyle name="40% - Accent1 3 2 2 3" xfId="4972" xr:uid="{00000000-0005-0000-0000-000017040000}"/>
    <cellStyle name="40% - Accent1 3 2 2 3 2" xfId="22745" xr:uid="{4367D9C2-CACB-45D1-B6DE-9258EEC35C59}"/>
    <cellStyle name="40% - Accent1 3 2 2 3 2 2" xfId="39639" xr:uid="{8CFB674F-8081-429B-823F-C9770B89DA78}"/>
    <cellStyle name="40% - Accent1 3 2 2 3 3" xfId="14298" xr:uid="{A03BD1F9-DCB0-4DB7-8E3F-77681A074C30}"/>
    <cellStyle name="40% - Accent1 3 2 2 3 4" xfId="31192" xr:uid="{64A055C8-43E9-4FB8-A219-65127BD816C5}"/>
    <cellStyle name="40% - Accent1 3 2 2 4" xfId="9494" xr:uid="{49092FA9-F337-44E8-98C8-15711B1C1558}"/>
    <cellStyle name="40% - Accent1 3 2 2 4 2" xfId="18528" xr:uid="{DF211D40-DF90-49F3-82AC-D221C4074032}"/>
    <cellStyle name="40% - Accent1 3 2 2 4 3" xfId="35422" xr:uid="{B677ED61-AD17-43AE-85C0-7C67A6B44705}"/>
    <cellStyle name="40% - Accent1 3 2 2 5" xfId="10081" xr:uid="{81560754-92D0-485A-88B5-4D33DFD8C655}"/>
    <cellStyle name="40% - Accent1 3 2 2 6" xfId="26975" xr:uid="{468C5787-8AA9-4EF8-9D16-4FAA9EDFCB80}"/>
    <cellStyle name="40% - Accent1 3 2 3" xfId="1077" xr:uid="{00000000-0005-0000-0000-000018040000}"/>
    <cellStyle name="40% - Accent1 3 2 3 2" xfId="3308" xr:uid="{00000000-0005-0000-0000-000019040000}"/>
    <cellStyle name="40% - Accent1 3 2 3 2 2" xfId="7530" xr:uid="{00000000-0005-0000-0000-00001A040000}"/>
    <cellStyle name="40% - Accent1 3 2 3 2 2 2" xfId="25303" xr:uid="{BAA264B7-2FE6-4A98-A157-FDB84AA1B18E}"/>
    <cellStyle name="40% - Accent1 3 2 3 2 2 2 2" xfId="42197" xr:uid="{C81CF5EE-2F19-437C-8E08-C469765E0908}"/>
    <cellStyle name="40% - Accent1 3 2 3 2 2 3" xfId="16856" xr:uid="{E9A5947E-D7F7-415D-BAB9-12ED27274892}"/>
    <cellStyle name="40% - Accent1 3 2 3 2 2 4" xfId="33750" xr:uid="{559EE0BC-A3A4-4983-B621-162CB92A45A8}"/>
    <cellStyle name="40% - Accent1 3 2 3 2 3" xfId="21086" xr:uid="{5143FD6C-82BB-422D-8D6E-DAF1BCD458F4}"/>
    <cellStyle name="40% - Accent1 3 2 3 2 3 2" xfId="37980" xr:uid="{D48DAC2C-79E1-4E8C-AA6A-98DBBCCFE6B4}"/>
    <cellStyle name="40% - Accent1 3 2 3 2 4" xfId="12639" xr:uid="{08177E21-9DF6-44B9-A4D6-9885FEF061AC}"/>
    <cellStyle name="40% - Accent1 3 2 3 2 5" xfId="29533" xr:uid="{A3A778D6-9625-433E-B0E8-7871F221C81F}"/>
    <cellStyle name="40% - Accent1 3 2 3 3" xfId="5385" xr:uid="{00000000-0005-0000-0000-00001B040000}"/>
    <cellStyle name="40% - Accent1 3 2 3 3 2" xfId="23158" xr:uid="{519BBDFB-7A66-4502-94E3-2D53D31E578D}"/>
    <cellStyle name="40% - Accent1 3 2 3 3 2 2" xfId="40052" xr:uid="{A043B7AA-5237-482B-922A-530B2F1E132C}"/>
    <cellStyle name="40% - Accent1 3 2 3 3 3" xfId="14711" xr:uid="{D8495329-3EDD-4B9D-A297-0353DAB3EA6E}"/>
    <cellStyle name="40% - Accent1 3 2 3 3 4" xfId="31605" xr:uid="{9ED3B82E-D9DE-4BB7-A988-7C34C416FACC}"/>
    <cellStyle name="40% - Accent1 3 2 3 4" xfId="18941" xr:uid="{D5D3FBB2-6FD5-4408-8CB1-827ECF79F27C}"/>
    <cellStyle name="40% - Accent1 3 2 3 4 2" xfId="35835" xr:uid="{603C21ED-4CD0-43C2-865D-44DB4537963B}"/>
    <cellStyle name="40% - Accent1 3 2 3 5" xfId="10494" xr:uid="{0F876422-B3DB-45DD-AE68-CE5F9B5BBBAF}"/>
    <cellStyle name="40% - Accent1 3 2 3 6" xfId="27388" xr:uid="{C9DB24BC-E1FE-4429-B470-8065385AABB8}"/>
    <cellStyle name="40% - Accent1 3 2 4" xfId="1491" xr:uid="{00000000-0005-0000-0000-00001C040000}"/>
    <cellStyle name="40% - Accent1 3 2 4 2" xfId="3721" xr:uid="{00000000-0005-0000-0000-00001D040000}"/>
    <cellStyle name="40% - Accent1 3 2 4 2 2" xfId="7943" xr:uid="{00000000-0005-0000-0000-00001E040000}"/>
    <cellStyle name="40% - Accent1 3 2 4 2 2 2" xfId="25716" xr:uid="{2BA367DC-5CF0-497C-A04F-4E473674AF89}"/>
    <cellStyle name="40% - Accent1 3 2 4 2 2 2 2" xfId="42610" xr:uid="{4D64021F-BCA3-46D5-9CD3-5712A568C7AC}"/>
    <cellStyle name="40% - Accent1 3 2 4 2 2 3" xfId="17269" xr:uid="{86836E23-6B69-4AAF-AAD6-951DDCA59687}"/>
    <cellStyle name="40% - Accent1 3 2 4 2 2 4" xfId="34163" xr:uid="{7C538D10-26FF-4225-84CC-45BD5AF680C7}"/>
    <cellStyle name="40% - Accent1 3 2 4 2 3" xfId="21499" xr:uid="{EB7D73E4-F1E2-4893-BFFF-5F1A9A9608AD}"/>
    <cellStyle name="40% - Accent1 3 2 4 2 3 2" xfId="38393" xr:uid="{B8581753-78DB-4C67-B484-67B1ABF1FAFE}"/>
    <cellStyle name="40% - Accent1 3 2 4 2 4" xfId="13052" xr:uid="{5D42CE18-0560-4D99-8B7F-9CC734DCA977}"/>
    <cellStyle name="40% - Accent1 3 2 4 2 5" xfId="29946" xr:uid="{6D1BCBC2-C6BC-4FEB-9667-47B797DF3000}"/>
    <cellStyle name="40% - Accent1 3 2 4 3" xfId="5798" xr:uid="{00000000-0005-0000-0000-00001F040000}"/>
    <cellStyle name="40% - Accent1 3 2 4 3 2" xfId="23571" xr:uid="{9A0D5CD5-991F-4F24-AEDA-4C1BC2DB6A13}"/>
    <cellStyle name="40% - Accent1 3 2 4 3 2 2" xfId="40465" xr:uid="{49C84555-035B-4D2C-9188-83835C856D2D}"/>
    <cellStyle name="40% - Accent1 3 2 4 3 3" xfId="15124" xr:uid="{262B21C2-5FB9-44C5-B5B6-C545C5FA7137}"/>
    <cellStyle name="40% - Accent1 3 2 4 3 4" xfId="32018" xr:uid="{35BBAAB9-A140-4E52-8C0E-AA6E19A72BC0}"/>
    <cellStyle name="40% - Accent1 3 2 4 4" xfId="19354" xr:uid="{2AFAD7DE-4855-40FD-8DF0-A4C115D2DC85}"/>
    <cellStyle name="40% - Accent1 3 2 4 4 2" xfId="36248" xr:uid="{1BD7D501-C749-4604-942C-7A6DDC383372}"/>
    <cellStyle name="40% - Accent1 3 2 4 5" xfId="10907" xr:uid="{06EA1E8B-5DF1-4EA5-BE5D-F41850977627}"/>
    <cellStyle name="40% - Accent1 3 2 4 6" xfId="27801" xr:uid="{ADFC3485-6E6C-412B-A9DE-E3A17E187D38}"/>
    <cellStyle name="40% - Accent1 3 2 5" xfId="1905" xr:uid="{00000000-0005-0000-0000-000020040000}"/>
    <cellStyle name="40% - Accent1 3 2 5 2" xfId="4134" xr:uid="{00000000-0005-0000-0000-000021040000}"/>
    <cellStyle name="40% - Accent1 3 2 5 2 2" xfId="8356" xr:uid="{00000000-0005-0000-0000-000022040000}"/>
    <cellStyle name="40% - Accent1 3 2 5 2 2 2" xfId="26129" xr:uid="{4AE1DF4B-4F78-4504-A23C-9B67CFEADD1B}"/>
    <cellStyle name="40% - Accent1 3 2 5 2 2 2 2" xfId="43023" xr:uid="{1237D1AF-65D2-4B1B-A691-CE04502CABE5}"/>
    <cellStyle name="40% - Accent1 3 2 5 2 2 3" xfId="17682" xr:uid="{8DEB979D-2CED-47F6-AEC4-23530F546AEC}"/>
    <cellStyle name="40% - Accent1 3 2 5 2 2 4" xfId="34576" xr:uid="{FA19DE75-A8F5-40DC-8107-74CFBB6C6314}"/>
    <cellStyle name="40% - Accent1 3 2 5 2 3" xfId="21912" xr:uid="{AC4FCCCE-4A19-45F4-986A-2D2A5AE6E63C}"/>
    <cellStyle name="40% - Accent1 3 2 5 2 3 2" xfId="38806" xr:uid="{CBF37DC6-7BBF-40C7-9687-11E1C768685A}"/>
    <cellStyle name="40% - Accent1 3 2 5 2 4" xfId="13465" xr:uid="{601DBD6B-0C19-4EA8-8AB2-8C9D1D4460AA}"/>
    <cellStyle name="40% - Accent1 3 2 5 2 5" xfId="30359" xr:uid="{2C152FC4-D774-4428-BCC2-0BA408317F7D}"/>
    <cellStyle name="40% - Accent1 3 2 5 3" xfId="6211" xr:uid="{00000000-0005-0000-0000-000023040000}"/>
    <cellStyle name="40% - Accent1 3 2 5 3 2" xfId="23984" xr:uid="{40D11C06-2353-48D2-A455-DD97A9215BA6}"/>
    <cellStyle name="40% - Accent1 3 2 5 3 2 2" xfId="40878" xr:uid="{6FC9D373-B9BD-4D4F-8CF3-2581356F31CE}"/>
    <cellStyle name="40% - Accent1 3 2 5 3 3" xfId="15537" xr:uid="{D4BF418F-E7EF-49DB-916A-827E214ACEA1}"/>
    <cellStyle name="40% - Accent1 3 2 5 3 4" xfId="32431" xr:uid="{469CCF60-58AC-4E18-AB0F-C2A35C17FE64}"/>
    <cellStyle name="40% - Accent1 3 2 5 4" xfId="19767" xr:uid="{8B551E7D-AA1B-4FBF-9BDE-536F82A215E4}"/>
    <cellStyle name="40% - Accent1 3 2 5 4 2" xfId="36661" xr:uid="{9DBA1AA2-865F-4617-AF5F-BF2C7F24BD35}"/>
    <cellStyle name="40% - Accent1 3 2 5 5" xfId="11320" xr:uid="{3E9C969C-BAF3-45F4-A89C-9F402B75CD30}"/>
    <cellStyle name="40% - Accent1 3 2 5 6" xfId="28214" xr:uid="{90D1619F-8636-4769-BE43-CACDB68B6618}"/>
    <cellStyle name="40% - Accent1 3 2 6" xfId="2318" xr:uid="{00000000-0005-0000-0000-000024040000}"/>
    <cellStyle name="40% - Accent1 3 2 6 2" xfId="6624" xr:uid="{00000000-0005-0000-0000-000025040000}"/>
    <cellStyle name="40% - Accent1 3 2 6 2 2" xfId="24397" xr:uid="{65500583-35AB-4C73-B3C1-601FDCC273BA}"/>
    <cellStyle name="40% - Accent1 3 2 6 2 2 2" xfId="41291" xr:uid="{CD69D49B-3D5F-4250-9390-462E349DBC86}"/>
    <cellStyle name="40% - Accent1 3 2 6 2 3" xfId="15950" xr:uid="{B2A7CABD-3CC3-4133-A27F-D9DA33DC2F9B}"/>
    <cellStyle name="40% - Accent1 3 2 6 2 4" xfId="32844" xr:uid="{10F78BFA-9063-4081-A76A-0C16A7C88837}"/>
    <cellStyle name="40% - Accent1 3 2 6 3" xfId="20180" xr:uid="{4C53E77A-AC06-40CF-B0FD-2A95F91AA79D}"/>
    <cellStyle name="40% - Accent1 3 2 6 3 2" xfId="37074" xr:uid="{4FC10D78-103F-40CD-AD56-7074E73BCBBF}"/>
    <cellStyle name="40% - Accent1 3 2 6 4" xfId="11733" xr:uid="{3D87D779-F7C3-4C7B-84E4-6CE2CDEE226B}"/>
    <cellStyle name="40% - Accent1 3 2 6 5" xfId="28627" xr:uid="{9B6ED409-0242-4CCC-A7D4-84DE8E91CEED}"/>
    <cellStyle name="40% - Accent1 3 2 7" xfId="4558" xr:uid="{00000000-0005-0000-0000-000026040000}"/>
    <cellStyle name="40% - Accent1 3 2 7 2" xfId="22331" xr:uid="{F4776CDB-710F-49C1-9AFF-E08C943635C0}"/>
    <cellStyle name="40% - Accent1 3 2 7 2 2" xfId="39225" xr:uid="{42527AC0-DB2E-4DDD-991A-899FE015032A}"/>
    <cellStyle name="40% - Accent1 3 2 7 3" xfId="13884" xr:uid="{AF4DBB05-2A1C-4B14-9149-24459F347E3A}"/>
    <cellStyle name="40% - Accent1 3 2 7 4" xfId="30778" xr:uid="{F9A66DC9-FA71-4D7E-8015-ACCB93273523}"/>
    <cellStyle name="40% - Accent1 3 2 8" xfId="9069" xr:uid="{F3D9FD63-8946-4492-B81A-42936E8B246D}"/>
    <cellStyle name="40% - Accent1 3 2 8 2" xfId="18114" xr:uid="{12A79269-D0B3-4D13-9B58-B271D3117854}"/>
    <cellStyle name="40% - Accent1 3 2 8 3" xfId="35008" xr:uid="{D0D687B8-4C24-4145-BF50-13C6D9DE4DDE}"/>
    <cellStyle name="40% - Accent1 3 2 9" xfId="9667" xr:uid="{7F4FF7D6-8AED-4021-8BC3-B4C084A25AFB}"/>
    <cellStyle name="40% - Accent1 3 3" xfId="623" xr:uid="{00000000-0005-0000-0000-000027040000}"/>
    <cellStyle name="40% - Accent1 3 3 2" xfId="2894" xr:uid="{00000000-0005-0000-0000-000028040000}"/>
    <cellStyle name="40% - Accent1 3 3 2 2" xfId="7116" xr:uid="{00000000-0005-0000-0000-000029040000}"/>
    <cellStyle name="40% - Accent1 3 3 2 2 2" xfId="24889" xr:uid="{9E444EC4-D855-4245-8C02-8E687E155D64}"/>
    <cellStyle name="40% - Accent1 3 3 2 2 2 2" xfId="41783" xr:uid="{1543732F-F3D0-4A2A-880B-B661E9D0A2B3}"/>
    <cellStyle name="40% - Accent1 3 3 2 2 3" xfId="16442" xr:uid="{2369A1F3-3F73-427D-AD0F-B97640D0728E}"/>
    <cellStyle name="40% - Accent1 3 3 2 2 4" xfId="33336" xr:uid="{55DFE858-6E73-4048-91EC-5A1A2E7B4F90}"/>
    <cellStyle name="40% - Accent1 3 3 2 3" xfId="20672" xr:uid="{25D05927-9827-494C-B3E3-95C1676287C8}"/>
    <cellStyle name="40% - Accent1 3 3 2 3 2" xfId="37566" xr:uid="{10EE0E66-CDFC-4F05-A2F0-FECE3EF176C4}"/>
    <cellStyle name="40% - Accent1 3 3 2 4" xfId="12225" xr:uid="{4EE9D3C8-B1A0-4E83-9BE0-7C4055806DE6}"/>
    <cellStyle name="40% - Accent1 3 3 2 5" xfId="29119" xr:uid="{1F1D7A76-4902-4830-A8B7-C76CDF9A82F2}"/>
    <cellStyle name="40% - Accent1 3 3 3" xfId="4971" xr:uid="{00000000-0005-0000-0000-00002A040000}"/>
    <cellStyle name="40% - Accent1 3 3 3 2" xfId="22744" xr:uid="{926F998F-9B23-445D-BBCB-8DC424E905A5}"/>
    <cellStyle name="40% - Accent1 3 3 3 2 2" xfId="39638" xr:uid="{08DFBE15-6601-4705-B86B-F2F41D49678B}"/>
    <cellStyle name="40% - Accent1 3 3 3 3" xfId="14297" xr:uid="{A630557A-F37E-4D34-BF0E-095A48ADFCF7}"/>
    <cellStyle name="40% - Accent1 3 3 3 4" xfId="31191" xr:uid="{F8AF05BF-7171-4B17-825A-D8169C64B6B0}"/>
    <cellStyle name="40% - Accent1 3 3 4" xfId="9287" xr:uid="{8C21B573-3D31-49DA-ACD8-D3EC7CC3A858}"/>
    <cellStyle name="40% - Accent1 3 3 4 2" xfId="18527" xr:uid="{CC571757-C251-422A-BFE8-892098DC8B8C}"/>
    <cellStyle name="40% - Accent1 3 3 4 3" xfId="35421" xr:uid="{B8B5F06F-F533-4F83-B7E1-9A7BBD6DFF84}"/>
    <cellStyle name="40% - Accent1 3 3 5" xfId="10080" xr:uid="{F87FE2B2-2A98-4E90-9E2D-980C144CC6CA}"/>
    <cellStyle name="40% - Accent1 3 3 6" xfId="26974" xr:uid="{60A1AC98-3BA5-4AF9-B4B2-687DDC23D44A}"/>
    <cellStyle name="40% - Accent1 3 4" xfId="1076" xr:uid="{00000000-0005-0000-0000-00002B040000}"/>
    <cellStyle name="40% - Accent1 3 4 2" xfId="3307" xr:uid="{00000000-0005-0000-0000-00002C040000}"/>
    <cellStyle name="40% - Accent1 3 4 2 2" xfId="7529" xr:uid="{00000000-0005-0000-0000-00002D040000}"/>
    <cellStyle name="40% - Accent1 3 4 2 2 2" xfId="25302" xr:uid="{A1136AC5-175F-4080-89CA-1B183C78FB78}"/>
    <cellStyle name="40% - Accent1 3 4 2 2 2 2" xfId="42196" xr:uid="{19312605-2AC1-4070-9A7C-78F752AD328E}"/>
    <cellStyle name="40% - Accent1 3 4 2 2 3" xfId="16855" xr:uid="{27151806-B888-4DB7-9FCE-983A2E5CB770}"/>
    <cellStyle name="40% - Accent1 3 4 2 2 4" xfId="33749" xr:uid="{ED0349A2-8A61-4F92-AB4A-E41BF5EFD180}"/>
    <cellStyle name="40% - Accent1 3 4 2 3" xfId="21085" xr:uid="{988766F9-D4D4-44F1-82EB-78BC4C9F92F9}"/>
    <cellStyle name="40% - Accent1 3 4 2 3 2" xfId="37979" xr:uid="{6D21E12A-6D77-4088-8612-429953EFB12B}"/>
    <cellStyle name="40% - Accent1 3 4 2 4" xfId="12638" xr:uid="{C3F2994E-CF40-479B-A2FE-1A57D363E7DD}"/>
    <cellStyle name="40% - Accent1 3 4 2 5" xfId="29532" xr:uid="{9A98EC47-802A-484C-8E7A-1F25A846030D}"/>
    <cellStyle name="40% - Accent1 3 4 3" xfId="5384" xr:uid="{00000000-0005-0000-0000-00002E040000}"/>
    <cellStyle name="40% - Accent1 3 4 3 2" xfId="23157" xr:uid="{168334D9-7E68-425A-BA4E-B975E6EF3871}"/>
    <cellStyle name="40% - Accent1 3 4 3 2 2" xfId="40051" xr:uid="{83E930CF-9ACC-4244-9DBA-62D73F6A0572}"/>
    <cellStyle name="40% - Accent1 3 4 3 3" xfId="14710" xr:uid="{03C03273-92F2-4605-B7D3-1DD3B8EFF20B}"/>
    <cellStyle name="40% - Accent1 3 4 3 4" xfId="31604" xr:uid="{5438BF3E-710D-43D7-8F89-D8AFAE8D5808}"/>
    <cellStyle name="40% - Accent1 3 4 4" xfId="18940" xr:uid="{44A54726-74D2-487A-BFC3-7B3592384AE9}"/>
    <cellStyle name="40% - Accent1 3 4 4 2" xfId="35834" xr:uid="{46C809C2-C6D8-46B3-A7BE-1C115306BF6B}"/>
    <cellStyle name="40% - Accent1 3 4 5" xfId="10493" xr:uid="{9395D869-0ACD-46B6-920B-6917E6D76CC1}"/>
    <cellStyle name="40% - Accent1 3 4 6" xfId="27387" xr:uid="{44479544-490C-41C5-A3BD-CAD9730B36F5}"/>
    <cellStyle name="40% - Accent1 3 5" xfId="1490" xr:uid="{00000000-0005-0000-0000-00002F040000}"/>
    <cellStyle name="40% - Accent1 3 5 2" xfId="3720" xr:uid="{00000000-0005-0000-0000-000030040000}"/>
    <cellStyle name="40% - Accent1 3 5 2 2" xfId="7942" xr:uid="{00000000-0005-0000-0000-000031040000}"/>
    <cellStyle name="40% - Accent1 3 5 2 2 2" xfId="25715" xr:uid="{6A1D4162-F13C-42ED-9D70-57B7F3D6A645}"/>
    <cellStyle name="40% - Accent1 3 5 2 2 2 2" xfId="42609" xr:uid="{E414DFD6-EE5B-4B97-843C-FCE772980452}"/>
    <cellStyle name="40% - Accent1 3 5 2 2 3" xfId="17268" xr:uid="{2F1474ED-F092-4DAB-9489-3540FF267FF8}"/>
    <cellStyle name="40% - Accent1 3 5 2 2 4" xfId="34162" xr:uid="{98527AFE-BFA9-40DC-B0F4-B7683A2E0E39}"/>
    <cellStyle name="40% - Accent1 3 5 2 3" xfId="21498" xr:uid="{D14D7D89-CBE6-4BC5-BA86-CBAA1E1CF4E2}"/>
    <cellStyle name="40% - Accent1 3 5 2 3 2" xfId="38392" xr:uid="{7DC6490C-69EF-46F5-A555-9DBE699575AB}"/>
    <cellStyle name="40% - Accent1 3 5 2 4" xfId="13051" xr:uid="{7D526A09-FF1F-41FA-B02B-C182DF261C51}"/>
    <cellStyle name="40% - Accent1 3 5 2 5" xfId="29945" xr:uid="{835EE9DA-90CE-4ED8-AECB-08846D47E21C}"/>
    <cellStyle name="40% - Accent1 3 5 3" xfId="5797" xr:uid="{00000000-0005-0000-0000-000032040000}"/>
    <cellStyle name="40% - Accent1 3 5 3 2" xfId="23570" xr:uid="{C55060A9-0076-46D4-AE2F-81599A9E134F}"/>
    <cellStyle name="40% - Accent1 3 5 3 2 2" xfId="40464" xr:uid="{C744EE29-8CFB-46F2-AF39-CA65810AE892}"/>
    <cellStyle name="40% - Accent1 3 5 3 3" xfId="15123" xr:uid="{AD939C58-B47F-4AA1-AF3F-F2536B12F266}"/>
    <cellStyle name="40% - Accent1 3 5 3 4" xfId="32017" xr:uid="{4D00D541-E2AD-4D94-B239-7B48F1925B5F}"/>
    <cellStyle name="40% - Accent1 3 5 4" xfId="19353" xr:uid="{AF4A5F9B-C3B4-447D-A6D4-7354EDB1AC50}"/>
    <cellStyle name="40% - Accent1 3 5 4 2" xfId="36247" xr:uid="{F945DCDB-6471-4172-B0C4-A061FBE6C95D}"/>
    <cellStyle name="40% - Accent1 3 5 5" xfId="10906" xr:uid="{5A725FEB-7017-4953-96B8-BC9F68EC15BB}"/>
    <cellStyle name="40% - Accent1 3 5 6" xfId="27800" xr:uid="{675B5652-5B67-48F1-ABB6-A99DCB282DE9}"/>
    <cellStyle name="40% - Accent1 3 6" xfId="1904" xr:uid="{00000000-0005-0000-0000-000033040000}"/>
    <cellStyle name="40% - Accent1 3 6 2" xfId="4133" xr:uid="{00000000-0005-0000-0000-000034040000}"/>
    <cellStyle name="40% - Accent1 3 6 2 2" xfId="8355" xr:uid="{00000000-0005-0000-0000-000035040000}"/>
    <cellStyle name="40% - Accent1 3 6 2 2 2" xfId="26128" xr:uid="{F7D4DB50-BAB0-4AF7-9CEF-81318EB80AA8}"/>
    <cellStyle name="40% - Accent1 3 6 2 2 2 2" xfId="43022" xr:uid="{A3292DC2-FAC2-4681-8524-C5A3C4B89068}"/>
    <cellStyle name="40% - Accent1 3 6 2 2 3" xfId="17681" xr:uid="{24097A78-6B72-49CB-821E-02B7F8FB52AA}"/>
    <cellStyle name="40% - Accent1 3 6 2 2 4" xfId="34575" xr:uid="{D2908F13-34D1-4B74-978C-EAFB2F0F07EE}"/>
    <cellStyle name="40% - Accent1 3 6 2 3" xfId="21911" xr:uid="{8AC72927-57E5-4C12-8BE2-49D9306C88EC}"/>
    <cellStyle name="40% - Accent1 3 6 2 3 2" xfId="38805" xr:uid="{145B197A-5634-4B69-AF62-9D43E313350D}"/>
    <cellStyle name="40% - Accent1 3 6 2 4" xfId="13464" xr:uid="{4AA20A87-0660-451A-8EAA-C39FF0743BAF}"/>
    <cellStyle name="40% - Accent1 3 6 2 5" xfId="30358" xr:uid="{771BF877-2E80-414B-9401-8E20C9F2C7C5}"/>
    <cellStyle name="40% - Accent1 3 6 3" xfId="6210" xr:uid="{00000000-0005-0000-0000-000036040000}"/>
    <cellStyle name="40% - Accent1 3 6 3 2" xfId="23983" xr:uid="{6B4A3AC5-406F-458C-8521-D3E449DF4915}"/>
    <cellStyle name="40% - Accent1 3 6 3 2 2" xfId="40877" xr:uid="{2707D601-C758-4BA2-A720-14B94BE8EDB0}"/>
    <cellStyle name="40% - Accent1 3 6 3 3" xfId="15536" xr:uid="{312079D9-E9B7-4242-AF8A-576456C1239C}"/>
    <cellStyle name="40% - Accent1 3 6 3 4" xfId="32430" xr:uid="{39C4A526-3DDA-453E-8AF5-7C75A8AE2149}"/>
    <cellStyle name="40% - Accent1 3 6 4" xfId="19766" xr:uid="{D9D4C2B8-87E7-4B94-B607-A9632D46EC54}"/>
    <cellStyle name="40% - Accent1 3 6 4 2" xfId="36660" xr:uid="{071020C4-6A52-4C70-9C26-74B95860D934}"/>
    <cellStyle name="40% - Accent1 3 6 5" xfId="11319" xr:uid="{1E3763B8-E90D-4FDD-AE57-3C43C23D4CC3}"/>
    <cellStyle name="40% - Accent1 3 6 6" xfId="28213" xr:uid="{D0B3F104-2B9D-4868-A8FE-C17FC87CAC63}"/>
    <cellStyle name="40% - Accent1 3 7" xfId="2317" xr:uid="{00000000-0005-0000-0000-000037040000}"/>
    <cellStyle name="40% - Accent1 3 7 2" xfId="6623" xr:uid="{00000000-0005-0000-0000-000038040000}"/>
    <cellStyle name="40% - Accent1 3 7 2 2" xfId="24396" xr:uid="{4E00B16C-E471-4146-B1D9-8518AE163829}"/>
    <cellStyle name="40% - Accent1 3 7 2 2 2" xfId="41290" xr:uid="{90A6BF50-FE83-4D22-8A00-9CEB7EECDEC7}"/>
    <cellStyle name="40% - Accent1 3 7 2 3" xfId="15949" xr:uid="{D0654FA8-3BED-43D2-ABC8-0B82ACD526D6}"/>
    <cellStyle name="40% - Accent1 3 7 2 4" xfId="32843" xr:uid="{77318D29-0ADE-4761-8343-8BBBE60526F0}"/>
    <cellStyle name="40% - Accent1 3 7 3" xfId="20179" xr:uid="{503057C1-BB1E-4105-9144-23CC1FB6801F}"/>
    <cellStyle name="40% - Accent1 3 7 3 2" xfId="37073" xr:uid="{FB802E5E-36EF-4834-8A6C-B4573963C8CE}"/>
    <cellStyle name="40% - Accent1 3 7 4" xfId="11732" xr:uid="{87B19382-7348-42E0-AA7A-F7F5DBFF9E6E}"/>
    <cellStyle name="40% - Accent1 3 7 5" xfId="28626" xr:uid="{9787F602-E9E6-402B-8697-40812FB76F82}"/>
    <cellStyle name="40% - Accent1 3 8" xfId="4557" xr:uid="{00000000-0005-0000-0000-000039040000}"/>
    <cellStyle name="40% - Accent1 3 8 2" xfId="22330" xr:uid="{72595D66-878E-4730-8AA7-F4460971F92C}"/>
    <cellStyle name="40% - Accent1 3 8 2 2" xfId="39224" xr:uid="{9BB433B8-5341-40B7-92CD-147129254AD0}"/>
    <cellStyle name="40% - Accent1 3 8 3" xfId="13883" xr:uid="{985191D6-DC73-4A42-B9E2-85E98627D7F6}"/>
    <cellStyle name="40% - Accent1 3 8 4" xfId="30777" xr:uid="{C2C94C47-904D-45F7-A3C1-2BDDBBAF1DA4}"/>
    <cellStyle name="40% - Accent1 3 9" xfId="8862" xr:uid="{2CC30516-31CA-485E-88BE-FCC7F9756A95}"/>
    <cellStyle name="40% - Accent1 3 9 2" xfId="18113" xr:uid="{38B1A192-2787-4D72-9CA7-C90506C649E0}"/>
    <cellStyle name="40% - Accent1 3 9 3" xfId="35007" xr:uid="{00B20A06-6E10-4790-98DC-C856EA61FC80}"/>
    <cellStyle name="40% - Accent1 4" xfId="56" xr:uid="{00000000-0005-0000-0000-00003A040000}"/>
    <cellStyle name="40% - Accent1 4 10" xfId="26562" xr:uid="{411FB914-CA35-4B84-9877-7D5A4FF674EE}"/>
    <cellStyle name="40% - Accent1 4 2" xfId="625" xr:uid="{00000000-0005-0000-0000-00003B040000}"/>
    <cellStyle name="40% - Accent1 4 2 2" xfId="2896" xr:uid="{00000000-0005-0000-0000-00003C040000}"/>
    <cellStyle name="40% - Accent1 4 2 2 2" xfId="7118" xr:uid="{00000000-0005-0000-0000-00003D040000}"/>
    <cellStyle name="40% - Accent1 4 2 2 2 2" xfId="24891" xr:uid="{C1DE2728-349A-4CEA-8E79-514C445DC484}"/>
    <cellStyle name="40% - Accent1 4 2 2 2 2 2" xfId="41785" xr:uid="{52A90FA3-6257-4AB4-8054-FBADBC63432D}"/>
    <cellStyle name="40% - Accent1 4 2 2 2 3" xfId="16444" xr:uid="{BE3F0FF5-E8F3-4DDF-A320-BE8BB7F2EF34}"/>
    <cellStyle name="40% - Accent1 4 2 2 2 4" xfId="33338" xr:uid="{756682C5-ECE9-42B0-9233-4AC240FB7034}"/>
    <cellStyle name="40% - Accent1 4 2 2 3" xfId="20674" xr:uid="{A8051052-675B-4C20-9A18-6EDF024DDC3D}"/>
    <cellStyle name="40% - Accent1 4 2 2 3 2" xfId="37568" xr:uid="{242D1527-B11B-417D-82DB-01662156BE8D}"/>
    <cellStyle name="40% - Accent1 4 2 2 4" xfId="12227" xr:uid="{AC2826D6-D3E9-4A53-9556-6CDAFD849DB6}"/>
    <cellStyle name="40% - Accent1 4 2 2 5" xfId="29121" xr:uid="{DEC51029-DDC2-42A3-9165-2D610F477436}"/>
    <cellStyle name="40% - Accent1 4 2 3" xfId="4973" xr:uid="{00000000-0005-0000-0000-00003E040000}"/>
    <cellStyle name="40% - Accent1 4 2 3 2" xfId="22746" xr:uid="{2BEFE94C-21FE-470A-B8E2-73E90C711E01}"/>
    <cellStyle name="40% - Accent1 4 2 3 2 2" xfId="39640" xr:uid="{B150E78D-3767-475A-8953-F89C9595C8D3}"/>
    <cellStyle name="40% - Accent1 4 2 3 3" xfId="14299" xr:uid="{21E51704-636A-4623-8A9F-4D8ED2902A52}"/>
    <cellStyle name="40% - Accent1 4 2 3 4" xfId="31193" xr:uid="{957D0BD5-7057-4722-BF89-88ABD0A4552B}"/>
    <cellStyle name="40% - Accent1 4 2 4" xfId="9373" xr:uid="{3BC949C7-8F86-44EA-9F10-CF277586B131}"/>
    <cellStyle name="40% - Accent1 4 2 4 2" xfId="18529" xr:uid="{98B50981-A0BB-4C9B-84D4-A3F5252FC5D9}"/>
    <cellStyle name="40% - Accent1 4 2 4 3" xfId="35423" xr:uid="{52571F95-120C-4D16-8D2E-F35DAAEDB9AF}"/>
    <cellStyle name="40% - Accent1 4 2 5" xfId="10082" xr:uid="{766ACBCB-3224-4519-8A7A-CD304CD4BA31}"/>
    <cellStyle name="40% - Accent1 4 2 6" xfId="26976" xr:uid="{1A514070-9069-40FF-99D4-CF6D9C4DFC52}"/>
    <cellStyle name="40% - Accent1 4 3" xfId="1078" xr:uid="{00000000-0005-0000-0000-00003F040000}"/>
    <cellStyle name="40% - Accent1 4 3 2" xfId="3309" xr:uid="{00000000-0005-0000-0000-000040040000}"/>
    <cellStyle name="40% - Accent1 4 3 2 2" xfId="7531" xr:uid="{00000000-0005-0000-0000-000041040000}"/>
    <cellStyle name="40% - Accent1 4 3 2 2 2" xfId="25304" xr:uid="{F1A1EF04-F88F-4EDA-8942-1EE8660EC68D}"/>
    <cellStyle name="40% - Accent1 4 3 2 2 2 2" xfId="42198" xr:uid="{88C4CDB5-2FAE-4300-821B-C215732AD293}"/>
    <cellStyle name="40% - Accent1 4 3 2 2 3" xfId="16857" xr:uid="{66AFDD69-ABEA-4E56-8EA2-4D2512B38E05}"/>
    <cellStyle name="40% - Accent1 4 3 2 2 4" xfId="33751" xr:uid="{9A758927-EFA3-49AB-896D-1F112A1AE231}"/>
    <cellStyle name="40% - Accent1 4 3 2 3" xfId="21087" xr:uid="{5C11A6C2-A092-4C38-92BF-C0B3115D45D2}"/>
    <cellStyle name="40% - Accent1 4 3 2 3 2" xfId="37981" xr:uid="{22D22EDE-0697-4985-BFE7-EF1EA3CFB537}"/>
    <cellStyle name="40% - Accent1 4 3 2 4" xfId="12640" xr:uid="{96ED6A4A-F794-4381-A0A6-896E915BB54F}"/>
    <cellStyle name="40% - Accent1 4 3 2 5" xfId="29534" xr:uid="{1A223866-861F-46E1-BFDE-D81A368926FB}"/>
    <cellStyle name="40% - Accent1 4 3 3" xfId="5386" xr:uid="{00000000-0005-0000-0000-000042040000}"/>
    <cellStyle name="40% - Accent1 4 3 3 2" xfId="23159" xr:uid="{FBACDAF6-9040-433D-9F5A-4FF406AAA4C7}"/>
    <cellStyle name="40% - Accent1 4 3 3 2 2" xfId="40053" xr:uid="{22C6303E-3848-4DAD-B9FD-0165038D581C}"/>
    <cellStyle name="40% - Accent1 4 3 3 3" xfId="14712" xr:uid="{D9933651-8C56-44AE-9A67-FA3FC77EDE00}"/>
    <cellStyle name="40% - Accent1 4 3 3 4" xfId="31606" xr:uid="{63940C18-4A13-454C-8774-E61FDCD82B4F}"/>
    <cellStyle name="40% - Accent1 4 3 4" xfId="18942" xr:uid="{79C65A49-06D0-4A6E-9FC6-69ACA4CA3250}"/>
    <cellStyle name="40% - Accent1 4 3 4 2" xfId="35836" xr:uid="{7465320A-DED1-427D-A871-67D2A000F0AB}"/>
    <cellStyle name="40% - Accent1 4 3 5" xfId="10495" xr:uid="{4C1CB6A9-10B0-4D31-A932-CA77160742FA}"/>
    <cellStyle name="40% - Accent1 4 3 6" xfId="27389" xr:uid="{8C153929-6D3B-427A-B1BF-BB3F578F8387}"/>
    <cellStyle name="40% - Accent1 4 4" xfId="1492" xr:uid="{00000000-0005-0000-0000-000043040000}"/>
    <cellStyle name="40% - Accent1 4 4 2" xfId="3722" xr:uid="{00000000-0005-0000-0000-000044040000}"/>
    <cellStyle name="40% - Accent1 4 4 2 2" xfId="7944" xr:uid="{00000000-0005-0000-0000-000045040000}"/>
    <cellStyle name="40% - Accent1 4 4 2 2 2" xfId="25717" xr:uid="{610D8079-7AB7-4D64-B3F7-7F0BBD44C00F}"/>
    <cellStyle name="40% - Accent1 4 4 2 2 2 2" xfId="42611" xr:uid="{60F576CB-E7E5-46CF-9BA6-BF68D0B1169D}"/>
    <cellStyle name="40% - Accent1 4 4 2 2 3" xfId="17270" xr:uid="{6DB0A5FA-F697-47B6-AA02-06DCC1C345C9}"/>
    <cellStyle name="40% - Accent1 4 4 2 2 4" xfId="34164" xr:uid="{D9D1F2FE-4F61-45B9-BFAD-6480CA2599A0}"/>
    <cellStyle name="40% - Accent1 4 4 2 3" xfId="21500" xr:uid="{2C43C54A-616D-4A19-A503-C632965C2B3C}"/>
    <cellStyle name="40% - Accent1 4 4 2 3 2" xfId="38394" xr:uid="{D737EC87-2D0C-4EE3-A2E0-598550A53B7F}"/>
    <cellStyle name="40% - Accent1 4 4 2 4" xfId="13053" xr:uid="{2D7515CB-32B9-4217-AE70-735A81F26231}"/>
    <cellStyle name="40% - Accent1 4 4 2 5" xfId="29947" xr:uid="{E7915462-880C-41A2-972F-4AE359480801}"/>
    <cellStyle name="40% - Accent1 4 4 3" xfId="5799" xr:uid="{00000000-0005-0000-0000-000046040000}"/>
    <cellStyle name="40% - Accent1 4 4 3 2" xfId="23572" xr:uid="{8399CA99-634B-45C0-B42C-3A6977E6B784}"/>
    <cellStyle name="40% - Accent1 4 4 3 2 2" xfId="40466" xr:uid="{D9231E04-E9F0-45AB-B242-F7E33D585512}"/>
    <cellStyle name="40% - Accent1 4 4 3 3" xfId="15125" xr:uid="{504AC274-9E45-4F46-B2FA-FBC5A4A0ABD5}"/>
    <cellStyle name="40% - Accent1 4 4 3 4" xfId="32019" xr:uid="{D29AD301-C5D0-4D0D-9F45-F7D28DAAFDBF}"/>
    <cellStyle name="40% - Accent1 4 4 4" xfId="19355" xr:uid="{C42F02F9-5B08-44C1-8400-4AB6005C3F9F}"/>
    <cellStyle name="40% - Accent1 4 4 4 2" xfId="36249" xr:uid="{2280793D-363A-4CD2-89EF-29421C62CC70}"/>
    <cellStyle name="40% - Accent1 4 4 5" xfId="10908" xr:uid="{6DCA191B-2486-4E9D-A8BC-43251C8E5A10}"/>
    <cellStyle name="40% - Accent1 4 4 6" xfId="27802" xr:uid="{A26E1E96-A00E-4E37-8B14-773132A7D9A0}"/>
    <cellStyle name="40% - Accent1 4 5" xfId="1906" xr:uid="{00000000-0005-0000-0000-000047040000}"/>
    <cellStyle name="40% - Accent1 4 5 2" xfId="4135" xr:uid="{00000000-0005-0000-0000-000048040000}"/>
    <cellStyle name="40% - Accent1 4 5 2 2" xfId="8357" xr:uid="{00000000-0005-0000-0000-000049040000}"/>
    <cellStyle name="40% - Accent1 4 5 2 2 2" xfId="26130" xr:uid="{9CFEACC4-1D85-4030-9922-CF82AD2F4037}"/>
    <cellStyle name="40% - Accent1 4 5 2 2 2 2" xfId="43024" xr:uid="{8A5F8445-E898-4F7D-B47C-0EA704EDA991}"/>
    <cellStyle name="40% - Accent1 4 5 2 2 3" xfId="17683" xr:uid="{83333B70-D353-4AE4-9D30-6EB0DE0E71A7}"/>
    <cellStyle name="40% - Accent1 4 5 2 2 4" xfId="34577" xr:uid="{720BFA8A-2D6D-4809-A8CE-63B1C9934F53}"/>
    <cellStyle name="40% - Accent1 4 5 2 3" xfId="21913" xr:uid="{9CC9494F-90D5-465B-ACFA-ECF7F285AB41}"/>
    <cellStyle name="40% - Accent1 4 5 2 3 2" xfId="38807" xr:uid="{1464C31B-7F8C-47DA-B085-EC097B058498}"/>
    <cellStyle name="40% - Accent1 4 5 2 4" xfId="13466" xr:uid="{18293D8E-1482-4832-A29E-71D7B5907AFE}"/>
    <cellStyle name="40% - Accent1 4 5 2 5" xfId="30360" xr:uid="{6D4F6FEB-13CE-4BEB-8D94-45859CDAD540}"/>
    <cellStyle name="40% - Accent1 4 5 3" xfId="6212" xr:uid="{00000000-0005-0000-0000-00004A040000}"/>
    <cellStyle name="40% - Accent1 4 5 3 2" xfId="23985" xr:uid="{21DF5131-9AA0-45AB-A1D7-B76C4A2F78F0}"/>
    <cellStyle name="40% - Accent1 4 5 3 2 2" xfId="40879" xr:uid="{C588533E-FDCE-448D-9AB0-252F3AA9CD95}"/>
    <cellStyle name="40% - Accent1 4 5 3 3" xfId="15538" xr:uid="{453AA311-5895-4F4F-B31A-086EF7B0CC48}"/>
    <cellStyle name="40% - Accent1 4 5 3 4" xfId="32432" xr:uid="{4B925962-4A1F-48F1-9B2C-893CEAC199DE}"/>
    <cellStyle name="40% - Accent1 4 5 4" xfId="19768" xr:uid="{AA1A9278-EBB9-4D12-A6C3-C06407B28A8C}"/>
    <cellStyle name="40% - Accent1 4 5 4 2" xfId="36662" xr:uid="{A86C94BA-D4C1-4416-A035-CF9BA17425C7}"/>
    <cellStyle name="40% - Accent1 4 5 5" xfId="11321" xr:uid="{01D1A03D-4F13-4A22-9D97-DEA5ED7C1B10}"/>
    <cellStyle name="40% - Accent1 4 5 6" xfId="28215" xr:uid="{44D13DFB-A43E-4ED3-ADE3-6980870EDA88}"/>
    <cellStyle name="40% - Accent1 4 6" xfId="2319" xr:uid="{00000000-0005-0000-0000-00004B040000}"/>
    <cellStyle name="40% - Accent1 4 6 2" xfId="6625" xr:uid="{00000000-0005-0000-0000-00004C040000}"/>
    <cellStyle name="40% - Accent1 4 6 2 2" xfId="24398" xr:uid="{CFE2CF1D-7624-4A25-930A-15B801263FF7}"/>
    <cellStyle name="40% - Accent1 4 6 2 2 2" xfId="41292" xr:uid="{B61579BA-3DCC-475C-B895-13F6E3383954}"/>
    <cellStyle name="40% - Accent1 4 6 2 3" xfId="15951" xr:uid="{D64476C6-2E4F-49E4-A819-2107694E1887}"/>
    <cellStyle name="40% - Accent1 4 6 2 4" xfId="32845" xr:uid="{D6C115A2-BEAE-41D0-8985-2C69493E3C88}"/>
    <cellStyle name="40% - Accent1 4 6 3" xfId="20181" xr:uid="{699C2586-B06B-4CD7-94A4-6B036FCDD62B}"/>
    <cellStyle name="40% - Accent1 4 6 3 2" xfId="37075" xr:uid="{B7F7B771-9262-4535-BEBA-819EE8604C30}"/>
    <cellStyle name="40% - Accent1 4 6 4" xfId="11734" xr:uid="{9FCFA498-F600-4733-9D80-1A7B703FE006}"/>
    <cellStyle name="40% - Accent1 4 6 5" xfId="28628" xr:uid="{BF753C1B-E0DB-4D28-8C43-70855692BC8B}"/>
    <cellStyle name="40% - Accent1 4 7" xfId="4559" xr:uid="{00000000-0005-0000-0000-00004D040000}"/>
    <cellStyle name="40% - Accent1 4 7 2" xfId="22332" xr:uid="{98C256FF-8B30-4FA7-831B-3510AFC4137C}"/>
    <cellStyle name="40% - Accent1 4 7 2 2" xfId="39226" xr:uid="{0BD6FB69-43A5-4BBA-B5E3-64DA934D6874}"/>
    <cellStyle name="40% - Accent1 4 7 3" xfId="13885" xr:uid="{409B6870-081C-476D-8E6E-AC20EA965FDE}"/>
    <cellStyle name="40% - Accent1 4 7 4" xfId="30779" xr:uid="{347578FD-E20E-4B89-B21F-FEE7BC3BEB26}"/>
    <cellStyle name="40% - Accent1 4 8" xfId="8948" xr:uid="{7BCBB449-71B8-4468-A700-0125C7659C3D}"/>
    <cellStyle name="40% - Accent1 4 8 2" xfId="18115" xr:uid="{8DC21862-BAAF-4D48-A09E-81F48F6D42D8}"/>
    <cellStyle name="40% - Accent1 4 8 3" xfId="35009" xr:uid="{FBE47AA1-1532-40C9-9C55-AAE26B3E80AB}"/>
    <cellStyle name="40% - Accent1 4 9" xfId="9668" xr:uid="{C52B5AF3-035E-40D5-AA2C-E8F024FEF840}"/>
    <cellStyle name="40% - Accent1 5" xfId="618" xr:uid="{00000000-0005-0000-0000-00004E040000}"/>
    <cellStyle name="40% - Accent1 5 2" xfId="2889" xr:uid="{00000000-0005-0000-0000-00004F040000}"/>
    <cellStyle name="40% - Accent1 5 2 2" xfId="7111" xr:uid="{00000000-0005-0000-0000-000050040000}"/>
    <cellStyle name="40% - Accent1 5 2 2 2" xfId="24884" xr:uid="{586052E0-D10E-4F6F-8F81-6B36231D2FDD}"/>
    <cellStyle name="40% - Accent1 5 2 2 2 2" xfId="41778" xr:uid="{D45FFFA8-31B6-4638-AAEA-7253216A879B}"/>
    <cellStyle name="40% - Accent1 5 2 2 3" xfId="16437" xr:uid="{794EFD90-CE3A-4412-8353-170C093CBFB9}"/>
    <cellStyle name="40% - Accent1 5 2 2 4" xfId="33331" xr:uid="{14536B34-522E-4BDC-BF20-ED4B5CF115AE}"/>
    <cellStyle name="40% - Accent1 5 2 3" xfId="20667" xr:uid="{EF6601D9-B2BA-4D74-8868-AF41A7EA414B}"/>
    <cellStyle name="40% - Accent1 5 2 3 2" xfId="37561" xr:uid="{55362E24-276E-4613-9AD1-EA70C4B3931C}"/>
    <cellStyle name="40% - Accent1 5 2 4" xfId="12220" xr:uid="{DCD9D997-DFC6-4D6B-8084-D0E252C205A0}"/>
    <cellStyle name="40% - Accent1 5 2 5" xfId="29114" xr:uid="{048056AF-6AC8-439C-85DD-B3979F03765A}"/>
    <cellStyle name="40% - Accent1 5 3" xfId="4966" xr:uid="{00000000-0005-0000-0000-000051040000}"/>
    <cellStyle name="40% - Accent1 5 3 2" xfId="22739" xr:uid="{D00B019F-BF82-444B-8DCC-4FD294D4C77D}"/>
    <cellStyle name="40% - Accent1 5 3 2 2" xfId="39633" xr:uid="{62DA9522-1C7D-4B72-8441-511CC39B24FB}"/>
    <cellStyle name="40% - Accent1 5 3 3" xfId="14292" xr:uid="{A699ABF2-67C2-4686-B440-D415BF44CD41}"/>
    <cellStyle name="40% - Accent1 5 3 4" xfId="31186" xr:uid="{6829AFC6-007A-430D-A4BB-DC4D1D57E393}"/>
    <cellStyle name="40% - Accent1 5 4" xfId="9181" xr:uid="{332DA761-F1AA-4FF3-9BBB-9ECEE19D2DFF}"/>
    <cellStyle name="40% - Accent1 5 4 2" xfId="18522" xr:uid="{DC61F6F4-DF12-4307-8B72-5BAF94E4AE2A}"/>
    <cellStyle name="40% - Accent1 5 4 3" xfId="35416" xr:uid="{291FB4DB-B256-45BD-8921-DE06A2FC2C88}"/>
    <cellStyle name="40% - Accent1 5 5" xfId="10075" xr:uid="{5B910BF8-2387-48E6-B49F-B959FFB5B49C}"/>
    <cellStyle name="40% - Accent1 5 6" xfId="26969" xr:uid="{214ABEFB-0152-4929-9CDD-4B70D3A628DC}"/>
    <cellStyle name="40% - Accent1 6" xfId="1071" xr:uid="{00000000-0005-0000-0000-000052040000}"/>
    <cellStyle name="40% - Accent1 6 2" xfId="3302" xr:uid="{00000000-0005-0000-0000-000053040000}"/>
    <cellStyle name="40% - Accent1 6 2 2" xfId="7524" xr:uid="{00000000-0005-0000-0000-000054040000}"/>
    <cellStyle name="40% - Accent1 6 2 2 2" xfId="25297" xr:uid="{7A5E3B2B-789C-4976-ACAE-EAFB68B916B8}"/>
    <cellStyle name="40% - Accent1 6 2 2 2 2" xfId="42191" xr:uid="{62B9C2B2-FC78-456E-8B97-71B4F7749AD5}"/>
    <cellStyle name="40% - Accent1 6 2 2 3" xfId="16850" xr:uid="{44C5577A-B060-4E27-8764-892C4DEF0187}"/>
    <cellStyle name="40% - Accent1 6 2 2 4" xfId="33744" xr:uid="{3F5C46D3-4ECB-40BE-BD79-670FDDAB00E6}"/>
    <cellStyle name="40% - Accent1 6 2 3" xfId="21080" xr:uid="{EFEE6551-BB5F-4CA0-9FA6-3C9E3490AE6F}"/>
    <cellStyle name="40% - Accent1 6 2 3 2" xfId="37974" xr:uid="{30761F2D-6098-4FCB-9612-2EE1ECBD2E5A}"/>
    <cellStyle name="40% - Accent1 6 2 4" xfId="12633" xr:uid="{42EE95DE-5261-4D3E-9F67-E498C64DE5D7}"/>
    <cellStyle name="40% - Accent1 6 2 5" xfId="29527" xr:uid="{E10B6EB9-8C7B-4F80-A192-D45899D5EAFB}"/>
    <cellStyle name="40% - Accent1 6 3" xfId="5379" xr:uid="{00000000-0005-0000-0000-000055040000}"/>
    <cellStyle name="40% - Accent1 6 3 2" xfId="23152" xr:uid="{42B3A705-19F5-4146-8963-7551F8FC46E3}"/>
    <cellStyle name="40% - Accent1 6 3 2 2" xfId="40046" xr:uid="{8CF4A50F-9134-49F8-B684-CE8D9FC77262}"/>
    <cellStyle name="40% - Accent1 6 3 3" xfId="14705" xr:uid="{FE695B21-706E-416B-9766-498F85ED99EB}"/>
    <cellStyle name="40% - Accent1 6 3 4" xfId="31599" xr:uid="{08C8B9B4-9234-46AE-AD51-12E4DEE7491D}"/>
    <cellStyle name="40% - Accent1 6 4" xfId="18935" xr:uid="{ADDCD1A7-A023-47CB-B640-C9DE1C331ACB}"/>
    <cellStyle name="40% - Accent1 6 4 2" xfId="35829" xr:uid="{844EC30A-D611-479F-B108-A2A3CA6360F2}"/>
    <cellStyle name="40% - Accent1 6 5" xfId="10488" xr:uid="{F3894789-B54D-44B2-ABF8-A22D715E1E35}"/>
    <cellStyle name="40% - Accent1 6 6" xfId="27382" xr:uid="{7C236AE6-C5B3-4248-95CC-740AB4818186}"/>
    <cellStyle name="40% - Accent1 7" xfId="1485" xr:uid="{00000000-0005-0000-0000-000056040000}"/>
    <cellStyle name="40% - Accent1 7 2" xfId="3715" xr:uid="{00000000-0005-0000-0000-000057040000}"/>
    <cellStyle name="40% - Accent1 7 2 2" xfId="7937" xr:uid="{00000000-0005-0000-0000-000058040000}"/>
    <cellStyle name="40% - Accent1 7 2 2 2" xfId="25710" xr:uid="{8FDE93EC-4098-42E2-B4B0-E80722663E7C}"/>
    <cellStyle name="40% - Accent1 7 2 2 2 2" xfId="42604" xr:uid="{55AF2137-5A62-40D0-B0F2-DE682F614CCE}"/>
    <cellStyle name="40% - Accent1 7 2 2 3" xfId="17263" xr:uid="{ACA8AA2B-4422-46A3-8A87-7A8F4F9262C3}"/>
    <cellStyle name="40% - Accent1 7 2 2 4" xfId="34157" xr:uid="{D985F8C6-A011-4DAB-9B2C-687CC9601414}"/>
    <cellStyle name="40% - Accent1 7 2 3" xfId="21493" xr:uid="{50F09F02-0E18-455B-B6E0-C059E28DABB2}"/>
    <cellStyle name="40% - Accent1 7 2 3 2" xfId="38387" xr:uid="{EE1CA6F3-5DD5-4DE3-83BE-6D13DF35E3C2}"/>
    <cellStyle name="40% - Accent1 7 2 4" xfId="13046" xr:uid="{299EE8C5-BDE2-4E37-8CA3-8D6747B8F217}"/>
    <cellStyle name="40% - Accent1 7 2 5" xfId="29940" xr:uid="{B1ECC20E-A285-4C03-99CF-11B2D8D0174A}"/>
    <cellStyle name="40% - Accent1 7 3" xfId="5792" xr:uid="{00000000-0005-0000-0000-000059040000}"/>
    <cellStyle name="40% - Accent1 7 3 2" xfId="23565" xr:uid="{358BD28F-1E9F-4D56-A972-AF7EDAA043D3}"/>
    <cellStyle name="40% - Accent1 7 3 2 2" xfId="40459" xr:uid="{4D9115ED-365D-4F87-ADB9-291620B330C3}"/>
    <cellStyle name="40% - Accent1 7 3 3" xfId="15118" xr:uid="{04ED311A-C9DB-4781-B9EE-63CA791A8AFC}"/>
    <cellStyle name="40% - Accent1 7 3 4" xfId="32012" xr:uid="{1C1CF782-6352-454E-B8A8-C65B06C271B7}"/>
    <cellStyle name="40% - Accent1 7 4" xfId="19348" xr:uid="{B9FC984A-D6D3-4B1A-B398-797DDE6F5C0B}"/>
    <cellStyle name="40% - Accent1 7 4 2" xfId="36242" xr:uid="{D9FA0FCE-695B-4EBC-BB55-FB74D39CC75B}"/>
    <cellStyle name="40% - Accent1 7 5" xfId="10901" xr:uid="{C63033DD-EF0A-403D-928A-5618912CA042}"/>
    <cellStyle name="40% - Accent1 7 6" xfId="27795" xr:uid="{8657472E-1A9B-4F05-BA0B-63FD3DAE1480}"/>
    <cellStyle name="40% - Accent1 8" xfId="1899" xr:uid="{00000000-0005-0000-0000-00005A040000}"/>
    <cellStyle name="40% - Accent1 8 2" xfId="4128" xr:uid="{00000000-0005-0000-0000-00005B040000}"/>
    <cellStyle name="40% - Accent1 8 2 2" xfId="8350" xr:uid="{00000000-0005-0000-0000-00005C040000}"/>
    <cellStyle name="40% - Accent1 8 2 2 2" xfId="26123" xr:uid="{25C854E8-5A12-4FA1-A0DD-BD956BDA3E63}"/>
    <cellStyle name="40% - Accent1 8 2 2 2 2" xfId="43017" xr:uid="{D6D6D7F7-CE80-41AB-BD97-6EF835E7A6BB}"/>
    <cellStyle name="40% - Accent1 8 2 2 3" xfId="17676" xr:uid="{2AC6DF7D-8E29-443C-AED5-EA6C2FC7D2C1}"/>
    <cellStyle name="40% - Accent1 8 2 2 4" xfId="34570" xr:uid="{414731E8-B90A-4E62-97A1-82A602B8B41D}"/>
    <cellStyle name="40% - Accent1 8 2 3" xfId="21906" xr:uid="{58A5DF8A-6D2A-462E-87FD-683BD30FFF57}"/>
    <cellStyle name="40% - Accent1 8 2 3 2" xfId="38800" xr:uid="{62396888-2FC7-4D83-B2D1-F4A4B40FE7B1}"/>
    <cellStyle name="40% - Accent1 8 2 4" xfId="13459" xr:uid="{A5880E2C-FA8C-40C4-B71C-0432CC88D19A}"/>
    <cellStyle name="40% - Accent1 8 2 5" xfId="30353" xr:uid="{E01CDDAA-5F0F-4EAE-806F-72B9EA07CBF7}"/>
    <cellStyle name="40% - Accent1 8 3" xfId="6205" xr:uid="{00000000-0005-0000-0000-00005D040000}"/>
    <cellStyle name="40% - Accent1 8 3 2" xfId="23978" xr:uid="{7FA5629E-0BA3-41A2-BF12-B630EA0A94C4}"/>
    <cellStyle name="40% - Accent1 8 3 2 2" xfId="40872" xr:uid="{8D500F54-6ECB-4CEB-AE18-651CF53DD872}"/>
    <cellStyle name="40% - Accent1 8 3 3" xfId="15531" xr:uid="{8567B37A-20AC-4038-923C-85BAA3F27EAC}"/>
    <cellStyle name="40% - Accent1 8 3 4" xfId="32425" xr:uid="{ECAFCBA8-2E85-4139-BE9C-B77B9B0D4E53}"/>
    <cellStyle name="40% - Accent1 8 4" xfId="19761" xr:uid="{166DC450-64EB-4481-8998-6182E36779ED}"/>
    <cellStyle name="40% - Accent1 8 4 2" xfId="36655" xr:uid="{1343BE82-4B1E-467B-8DE6-D11E772E6E20}"/>
    <cellStyle name="40% - Accent1 8 5" xfId="11314" xr:uid="{7E255A95-FFD3-490F-8A5B-35ED3F206595}"/>
    <cellStyle name="40% - Accent1 8 6" xfId="28208" xr:uid="{6457FE02-66F6-4103-8897-4E8D78728E3E}"/>
    <cellStyle name="40% - Accent1 9" xfId="2312" xr:uid="{00000000-0005-0000-0000-00005E040000}"/>
    <cellStyle name="40% - Accent1 9 2" xfId="6618" xr:uid="{00000000-0005-0000-0000-00005F040000}"/>
    <cellStyle name="40% - Accent1 9 2 2" xfId="24391" xr:uid="{D126F32E-7834-446A-BBE9-1BBC68F01E95}"/>
    <cellStyle name="40% - Accent1 9 2 2 2" xfId="41285" xr:uid="{CB47702F-DBAC-4237-8E1E-2A1D675A6CFA}"/>
    <cellStyle name="40% - Accent1 9 2 3" xfId="15944" xr:uid="{316BA8E0-F6C7-4069-B5A8-8D00EC9CC45C}"/>
    <cellStyle name="40% - Accent1 9 2 4" xfId="32838" xr:uid="{70662267-01E6-4D85-B9C3-41A36A3C737C}"/>
    <cellStyle name="40% - Accent1 9 3" xfId="20174" xr:uid="{5C0BD7E9-5366-4FF2-837E-22A7F6B5C761}"/>
    <cellStyle name="40% - Accent1 9 3 2" xfId="37068" xr:uid="{06104A22-3CAD-40C6-8D1D-32F5E1BD2A73}"/>
    <cellStyle name="40% - Accent1 9 4" xfId="11727" xr:uid="{BFB2F88C-ED2C-4A38-B8C1-B9855F0E2F74}"/>
    <cellStyle name="40% - Accent1 9 5" xfId="28621" xr:uid="{8B103D2E-EE08-4E2C-A8C3-23B96741489E}"/>
    <cellStyle name="40% - Accent2" xfId="57" builtinId="35" customBuiltin="1"/>
    <cellStyle name="40% - Accent2 10" xfId="4560" xr:uid="{00000000-0005-0000-0000-000061040000}"/>
    <cellStyle name="40% - Accent2 10 2" xfId="22333" xr:uid="{5A6253BC-5C79-4259-A3DD-6600F35049A2}"/>
    <cellStyle name="40% - Accent2 10 2 2" xfId="39227" xr:uid="{1BF5752C-2F68-457B-AEF1-7B01B6C76E8B}"/>
    <cellStyle name="40% - Accent2 10 3" xfId="13886" xr:uid="{EDEE8BE3-4B8A-4AFD-AFD4-B4D81C240553}"/>
    <cellStyle name="40% - Accent2 10 4" xfId="30780" xr:uid="{55B5B0E9-46E3-48BC-BFA9-F08CBFB4491B}"/>
    <cellStyle name="40% - Accent2 11" xfId="8761" xr:uid="{8631D9D1-53DA-4958-8F7C-AD68B7B91D61}"/>
    <cellStyle name="40% - Accent2 11 2" xfId="18116" xr:uid="{A2483F67-AD6F-4546-AF7B-8422CE129B99}"/>
    <cellStyle name="40% - Accent2 11 3" xfId="35010" xr:uid="{F0A2BDD8-F125-4B8C-AAEF-0BF31B8B0ABA}"/>
    <cellStyle name="40% - Accent2 12" xfId="9669" xr:uid="{DB5FE847-9024-4BEC-BD99-CF5220413A3D}"/>
    <cellStyle name="40% - Accent2 13" xfId="26563" xr:uid="{8EC94EC2-F7D3-4570-89C1-7131FE3D00EE}"/>
    <cellStyle name="40% - Accent2 2" xfId="58" xr:uid="{00000000-0005-0000-0000-000062040000}"/>
    <cellStyle name="40% - Accent2 2 10" xfId="8799" xr:uid="{E3EEC046-6E76-44A5-8D1B-64621A8F0AC5}"/>
    <cellStyle name="40% - Accent2 2 10 2" xfId="18117" xr:uid="{AA95CBB5-E218-46BC-BD10-0399C684040E}"/>
    <cellStyle name="40% - Accent2 2 10 3" xfId="35011" xr:uid="{A6C16BC9-B386-450F-BE8F-D9265219AC33}"/>
    <cellStyle name="40% - Accent2 2 11" xfId="9670" xr:uid="{329B54EC-D161-4D31-84C7-D5E39938CC0F}"/>
    <cellStyle name="40% - Accent2 2 12" xfId="26564" xr:uid="{C2CA2579-163D-4382-BAE7-8154CE0DBA98}"/>
    <cellStyle name="40% - Accent2 2 2" xfId="59" xr:uid="{00000000-0005-0000-0000-000063040000}"/>
    <cellStyle name="40% - Accent2 2 2 10" xfId="9671" xr:uid="{20EAF695-FA5D-4459-8C03-2D8B80ABC431}"/>
    <cellStyle name="40% - Accent2 2 2 11" xfId="26565" xr:uid="{9BFE0B8D-2255-4B56-A6F4-8CE8D1020F6F}"/>
    <cellStyle name="40% - Accent2 2 2 2" xfId="60" xr:uid="{00000000-0005-0000-0000-000064040000}"/>
    <cellStyle name="40% - Accent2 2 2 2 10" xfId="26566" xr:uid="{E0DCAF0C-8BF6-43CC-96E7-32928C197C95}"/>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2 2 2" xfId="24895" xr:uid="{93DFEF0B-5153-4989-A37A-FCC3F6B7634A}"/>
    <cellStyle name="40% - Accent2 2 2 2 2 2 2 2 2" xfId="41789" xr:uid="{6B05426C-E1F0-4754-A8E1-CF1CB8F7107A}"/>
    <cellStyle name="40% - Accent2 2 2 2 2 2 2 3" xfId="16448" xr:uid="{017C19CA-B6E9-4333-8467-A183A418EB57}"/>
    <cellStyle name="40% - Accent2 2 2 2 2 2 2 4" xfId="33342" xr:uid="{D2C3D3B2-45A2-453C-A327-DEC4CFD0C44E}"/>
    <cellStyle name="40% - Accent2 2 2 2 2 2 3" xfId="20678" xr:uid="{40FD2A7C-F26D-4AB5-855E-85BF545BB7DC}"/>
    <cellStyle name="40% - Accent2 2 2 2 2 2 3 2" xfId="37572" xr:uid="{BDF6E0D9-3571-4105-A1DB-AEEB938B6276}"/>
    <cellStyle name="40% - Accent2 2 2 2 2 2 4" xfId="12231" xr:uid="{C8B03094-748C-4890-9CC7-D35E63D2204F}"/>
    <cellStyle name="40% - Accent2 2 2 2 2 2 5" xfId="29125" xr:uid="{20A9971A-CFD5-4E75-A2EE-A6E22A73E386}"/>
    <cellStyle name="40% - Accent2 2 2 2 2 3" xfId="4977" xr:uid="{00000000-0005-0000-0000-000068040000}"/>
    <cellStyle name="40% - Accent2 2 2 2 2 3 2" xfId="22750" xr:uid="{18BFCE1E-8128-4AAA-BF4D-9B7E45B6EE94}"/>
    <cellStyle name="40% - Accent2 2 2 2 2 3 2 2" xfId="39644" xr:uid="{FD6CC697-EAC0-4D0A-8F9D-11956626E4BB}"/>
    <cellStyle name="40% - Accent2 2 2 2 2 3 3" xfId="14303" xr:uid="{90887E28-726E-42C5-B13C-E2EF5685A909}"/>
    <cellStyle name="40% - Accent2 2 2 2 2 3 4" xfId="31197" xr:uid="{1233D49F-BB5D-4AEF-B746-83D935BB8509}"/>
    <cellStyle name="40% - Accent2 2 2 2 2 4" xfId="9534" xr:uid="{9F53A086-33FC-422E-9DFF-72D04AC43949}"/>
    <cellStyle name="40% - Accent2 2 2 2 2 4 2" xfId="18533" xr:uid="{DBEDC850-62F7-48BB-A1BD-051260F217CE}"/>
    <cellStyle name="40% - Accent2 2 2 2 2 4 3" xfId="35427" xr:uid="{64621666-AA5C-4D49-8380-212503FE8531}"/>
    <cellStyle name="40% - Accent2 2 2 2 2 5" xfId="10086" xr:uid="{3344E9F4-7B9E-4224-8FE1-59BF7D826489}"/>
    <cellStyle name="40% - Accent2 2 2 2 2 6" xfId="26980" xr:uid="{00C6C113-5209-4D34-899E-9E9AD1DA42B8}"/>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2 2 2" xfId="25308" xr:uid="{7FD7F8B7-F112-4A2C-80DD-389F212BCB8A}"/>
    <cellStyle name="40% - Accent2 2 2 2 3 2 2 2 2" xfId="42202" xr:uid="{7F5F475E-1BAC-4B9F-8D78-8EAC5DF2690D}"/>
    <cellStyle name="40% - Accent2 2 2 2 3 2 2 3" xfId="16861" xr:uid="{F957E31A-0F3E-4801-A3D7-F70E9DC2ED63}"/>
    <cellStyle name="40% - Accent2 2 2 2 3 2 2 4" xfId="33755" xr:uid="{27261D84-0D76-4808-8351-37713D8A0E7D}"/>
    <cellStyle name="40% - Accent2 2 2 2 3 2 3" xfId="21091" xr:uid="{1214AD09-C95A-44AB-8417-A256BB32C862}"/>
    <cellStyle name="40% - Accent2 2 2 2 3 2 3 2" xfId="37985" xr:uid="{3BF9ACBE-D26D-4355-B4E3-580370C77774}"/>
    <cellStyle name="40% - Accent2 2 2 2 3 2 4" xfId="12644" xr:uid="{6641338C-61F5-4C95-8676-0DEF639EF905}"/>
    <cellStyle name="40% - Accent2 2 2 2 3 2 5" xfId="29538" xr:uid="{CC3D889A-F3AB-4D47-BE92-504584E713FC}"/>
    <cellStyle name="40% - Accent2 2 2 2 3 3" xfId="5390" xr:uid="{00000000-0005-0000-0000-00006C040000}"/>
    <cellStyle name="40% - Accent2 2 2 2 3 3 2" xfId="23163" xr:uid="{76C3F5DB-2C4D-44D8-83CE-582ACDE61360}"/>
    <cellStyle name="40% - Accent2 2 2 2 3 3 2 2" xfId="40057" xr:uid="{1824DDE1-1C54-4A79-AB3D-C47B2230E994}"/>
    <cellStyle name="40% - Accent2 2 2 2 3 3 3" xfId="14716" xr:uid="{35C1693D-ED4D-4725-9E3A-16E548934EF9}"/>
    <cellStyle name="40% - Accent2 2 2 2 3 3 4" xfId="31610" xr:uid="{42AC3CBB-425F-4DB4-8F0B-51DC4BBB7BE6}"/>
    <cellStyle name="40% - Accent2 2 2 2 3 4" xfId="18946" xr:uid="{34579F2D-F7D8-497F-85D5-6EE398A5C9AC}"/>
    <cellStyle name="40% - Accent2 2 2 2 3 4 2" xfId="35840" xr:uid="{F8302D8E-3940-4913-BC42-7251A63BA4B2}"/>
    <cellStyle name="40% - Accent2 2 2 2 3 5" xfId="10499" xr:uid="{9824F993-261C-444D-8822-85958DFF73FC}"/>
    <cellStyle name="40% - Accent2 2 2 2 3 6" xfId="27393" xr:uid="{6D2257A5-0D9C-458D-BEAD-B8D06CA63CB2}"/>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2 2 2" xfId="25721" xr:uid="{2FF9AA13-42F4-456A-8EB4-1B356B65AF79}"/>
    <cellStyle name="40% - Accent2 2 2 2 4 2 2 2 2" xfId="42615" xr:uid="{431525FA-15C7-45D3-98FD-E40CC8F29BAF}"/>
    <cellStyle name="40% - Accent2 2 2 2 4 2 2 3" xfId="17274" xr:uid="{269893DA-C6AA-456C-A063-A19B55CCD31B}"/>
    <cellStyle name="40% - Accent2 2 2 2 4 2 2 4" xfId="34168" xr:uid="{CA49FD01-0956-4F67-9F6A-78036B0758F2}"/>
    <cellStyle name="40% - Accent2 2 2 2 4 2 3" xfId="21504" xr:uid="{DD08ACAA-5E2D-43AB-B9D6-3FA03190CDCC}"/>
    <cellStyle name="40% - Accent2 2 2 2 4 2 3 2" xfId="38398" xr:uid="{37AC33E5-6A1B-4697-8520-403551BA4428}"/>
    <cellStyle name="40% - Accent2 2 2 2 4 2 4" xfId="13057" xr:uid="{729BF2FC-8306-40E7-8D8B-8022680B8B83}"/>
    <cellStyle name="40% - Accent2 2 2 2 4 2 5" xfId="29951" xr:uid="{30E7F1B6-CB85-4D40-BE42-A08B95C04BB1}"/>
    <cellStyle name="40% - Accent2 2 2 2 4 3" xfId="5803" xr:uid="{00000000-0005-0000-0000-000070040000}"/>
    <cellStyle name="40% - Accent2 2 2 2 4 3 2" xfId="23576" xr:uid="{7CD626EC-7956-40AB-B430-E671DDE6BB3A}"/>
    <cellStyle name="40% - Accent2 2 2 2 4 3 2 2" xfId="40470" xr:uid="{9AE1ADFB-FAD3-413C-860D-0451FAF67EC9}"/>
    <cellStyle name="40% - Accent2 2 2 2 4 3 3" xfId="15129" xr:uid="{37C3AE81-00FA-4A90-984C-FBC33DF94605}"/>
    <cellStyle name="40% - Accent2 2 2 2 4 3 4" xfId="32023" xr:uid="{CA2EECC6-A795-486B-9BE3-7F3773B07292}"/>
    <cellStyle name="40% - Accent2 2 2 2 4 4" xfId="19359" xr:uid="{F339F620-A6E6-4C86-907A-BC3AEE9F849E}"/>
    <cellStyle name="40% - Accent2 2 2 2 4 4 2" xfId="36253" xr:uid="{39E24F04-7FE0-487A-8685-7D19473C38A9}"/>
    <cellStyle name="40% - Accent2 2 2 2 4 5" xfId="10912" xr:uid="{CB8E3C02-B22A-44C8-A6C7-9E1332F69DC7}"/>
    <cellStyle name="40% - Accent2 2 2 2 4 6" xfId="27806" xr:uid="{75621B31-C284-4350-ACBC-2BB2C28455E5}"/>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2 2 2" xfId="26134" xr:uid="{BC54E9D6-EAF2-4DA7-8C01-6AFC407580BA}"/>
    <cellStyle name="40% - Accent2 2 2 2 5 2 2 2 2" xfId="43028" xr:uid="{5B89A306-E775-435F-9F0B-48467B36B235}"/>
    <cellStyle name="40% - Accent2 2 2 2 5 2 2 3" xfId="17687" xr:uid="{21838A52-6D80-40E1-84BE-E4049655C06A}"/>
    <cellStyle name="40% - Accent2 2 2 2 5 2 2 4" xfId="34581" xr:uid="{73A17514-0495-4708-85BE-5CE221330326}"/>
    <cellStyle name="40% - Accent2 2 2 2 5 2 3" xfId="21917" xr:uid="{CE0161B6-5355-426D-8BBF-59C7C76D0468}"/>
    <cellStyle name="40% - Accent2 2 2 2 5 2 3 2" xfId="38811" xr:uid="{22F5046A-F9F8-41B9-A00A-925DEBCE90B2}"/>
    <cellStyle name="40% - Accent2 2 2 2 5 2 4" xfId="13470" xr:uid="{4CD6DDD1-FB4D-421A-95DA-C294E748A5DD}"/>
    <cellStyle name="40% - Accent2 2 2 2 5 2 5" xfId="30364" xr:uid="{E3777235-4D60-44C2-8030-77C6BC9437F3}"/>
    <cellStyle name="40% - Accent2 2 2 2 5 3" xfId="6216" xr:uid="{00000000-0005-0000-0000-000074040000}"/>
    <cellStyle name="40% - Accent2 2 2 2 5 3 2" xfId="23989" xr:uid="{7B22D9FB-EF03-4C29-848B-49BD372554D0}"/>
    <cellStyle name="40% - Accent2 2 2 2 5 3 2 2" xfId="40883" xr:uid="{DEA1078A-54FB-4CC5-BD95-3C875BA93167}"/>
    <cellStyle name="40% - Accent2 2 2 2 5 3 3" xfId="15542" xr:uid="{60817C07-A5ED-4B77-A27B-8A21513BD2BD}"/>
    <cellStyle name="40% - Accent2 2 2 2 5 3 4" xfId="32436" xr:uid="{9A12BF8E-BE08-4700-BD3A-9DA8A2F65D88}"/>
    <cellStyle name="40% - Accent2 2 2 2 5 4" xfId="19772" xr:uid="{114E3EC8-866D-4F80-BD38-0E83D6AE68A7}"/>
    <cellStyle name="40% - Accent2 2 2 2 5 4 2" xfId="36666" xr:uid="{9D809C48-10C1-47F6-AB65-935A9FFCC882}"/>
    <cellStyle name="40% - Accent2 2 2 2 5 5" xfId="11325" xr:uid="{98FFD69E-6540-4C6C-B8DC-F5BC8AB1A9A7}"/>
    <cellStyle name="40% - Accent2 2 2 2 5 6" xfId="28219" xr:uid="{58A97BAF-A9BE-4BAE-83D6-0C5EAD78F821}"/>
    <cellStyle name="40% - Accent2 2 2 2 6" xfId="2323" xr:uid="{00000000-0005-0000-0000-000075040000}"/>
    <cellStyle name="40% - Accent2 2 2 2 6 2" xfId="6629" xr:uid="{00000000-0005-0000-0000-000076040000}"/>
    <cellStyle name="40% - Accent2 2 2 2 6 2 2" xfId="24402" xr:uid="{F311E98F-A34F-4723-8592-C71CF1F6F1CA}"/>
    <cellStyle name="40% - Accent2 2 2 2 6 2 2 2" xfId="41296" xr:uid="{ABDC3A97-9367-4DB6-A1EC-F9E6D7D8875C}"/>
    <cellStyle name="40% - Accent2 2 2 2 6 2 3" xfId="15955" xr:uid="{9FD22251-661D-49CA-BE8B-52E8B88D4284}"/>
    <cellStyle name="40% - Accent2 2 2 2 6 2 4" xfId="32849" xr:uid="{F42BAD94-6D51-4A14-9A6D-F90458C3487E}"/>
    <cellStyle name="40% - Accent2 2 2 2 6 3" xfId="20185" xr:uid="{CD7E0EEC-FDDA-4DCA-95A7-4F41BE883CD0}"/>
    <cellStyle name="40% - Accent2 2 2 2 6 3 2" xfId="37079" xr:uid="{67335A3F-2301-4ECC-8D67-6064D807C106}"/>
    <cellStyle name="40% - Accent2 2 2 2 6 4" xfId="11738" xr:uid="{3C2620B0-1143-4261-8517-1E25BF12D823}"/>
    <cellStyle name="40% - Accent2 2 2 2 6 5" xfId="28632" xr:uid="{CECA10E2-304A-4A17-82FF-928A514E8E32}"/>
    <cellStyle name="40% - Accent2 2 2 2 7" xfId="4563" xr:uid="{00000000-0005-0000-0000-000077040000}"/>
    <cellStyle name="40% - Accent2 2 2 2 7 2" xfId="22336" xr:uid="{B97AAB63-2CA6-4B88-AF4D-9F50529BC7E8}"/>
    <cellStyle name="40% - Accent2 2 2 2 7 2 2" xfId="39230" xr:uid="{537A38EB-A0FC-4B6C-87FA-11A6904EAB21}"/>
    <cellStyle name="40% - Accent2 2 2 2 7 3" xfId="13889" xr:uid="{5891B7FE-5B51-44D7-B8AC-023AECA57026}"/>
    <cellStyle name="40% - Accent2 2 2 2 7 4" xfId="30783" xr:uid="{CB520F11-0440-41DF-AE6E-82B53AAABB95}"/>
    <cellStyle name="40% - Accent2 2 2 2 8" xfId="9109" xr:uid="{73F0012D-4386-4224-BFB0-7DB1C0E98822}"/>
    <cellStyle name="40% - Accent2 2 2 2 8 2" xfId="18119" xr:uid="{11830DD9-44DB-4723-BA4E-F8ECED5EF7AF}"/>
    <cellStyle name="40% - Accent2 2 2 2 8 3" xfId="35013" xr:uid="{A664CE7B-FEFA-4180-8A83-F62A4AA03458}"/>
    <cellStyle name="40% - Accent2 2 2 2 9" xfId="9672" xr:uid="{0FFC782D-9264-4CFC-A7AE-3C3D4B824413}"/>
    <cellStyle name="40% - Accent2 2 2 3" xfId="628" xr:uid="{00000000-0005-0000-0000-000078040000}"/>
    <cellStyle name="40% - Accent2 2 2 3 2" xfId="2899" xr:uid="{00000000-0005-0000-0000-000079040000}"/>
    <cellStyle name="40% - Accent2 2 2 3 2 2" xfId="7121" xr:uid="{00000000-0005-0000-0000-00007A040000}"/>
    <cellStyle name="40% - Accent2 2 2 3 2 2 2" xfId="24894" xr:uid="{516D1A96-A02B-4ECE-AC1A-128B928A4D3C}"/>
    <cellStyle name="40% - Accent2 2 2 3 2 2 2 2" xfId="41788" xr:uid="{587FB0CF-48BD-4C7A-B027-0B862C855DDD}"/>
    <cellStyle name="40% - Accent2 2 2 3 2 2 3" xfId="16447" xr:uid="{EBF82CAA-7DA6-4A71-9C1E-557BC8E18956}"/>
    <cellStyle name="40% - Accent2 2 2 3 2 2 4" xfId="33341" xr:uid="{F22BC9A7-C2CD-4D8D-B969-38E91EDD56EF}"/>
    <cellStyle name="40% - Accent2 2 2 3 2 3" xfId="20677" xr:uid="{840CCB70-ED77-4D70-8FDE-C34F0701C04E}"/>
    <cellStyle name="40% - Accent2 2 2 3 2 3 2" xfId="37571" xr:uid="{B547E7B2-861B-488B-8CA2-77777E1FB047}"/>
    <cellStyle name="40% - Accent2 2 2 3 2 4" xfId="12230" xr:uid="{00ABA5FD-BBCA-45B0-9803-5A6EFF0728A3}"/>
    <cellStyle name="40% - Accent2 2 2 3 2 5" xfId="29124" xr:uid="{BFBD9BA5-FFE9-46A7-A6D6-3B7E516EBCD1}"/>
    <cellStyle name="40% - Accent2 2 2 3 3" xfId="4976" xr:uid="{00000000-0005-0000-0000-00007B040000}"/>
    <cellStyle name="40% - Accent2 2 2 3 3 2" xfId="22749" xr:uid="{C8C5E6F5-1DA7-4F7A-80D4-F056814BB8BD}"/>
    <cellStyle name="40% - Accent2 2 2 3 3 2 2" xfId="39643" xr:uid="{934135EE-8F3A-43C6-AC5F-1C548CB60635}"/>
    <cellStyle name="40% - Accent2 2 2 3 3 3" xfId="14302" xr:uid="{65F5855C-1804-4B90-9E3E-7C972F2E210D}"/>
    <cellStyle name="40% - Accent2 2 2 3 3 4" xfId="31196" xr:uid="{3228D0FE-9503-4E46-A997-A6AD6AF1002A}"/>
    <cellStyle name="40% - Accent2 2 2 3 4" xfId="9327" xr:uid="{F2BC9A12-B689-4B73-B71E-77A9F0BC7FE4}"/>
    <cellStyle name="40% - Accent2 2 2 3 4 2" xfId="18532" xr:uid="{2953E56D-3CFB-4322-A560-26CF5A44B5A6}"/>
    <cellStyle name="40% - Accent2 2 2 3 4 3" xfId="35426" xr:uid="{9019A08E-D719-44DB-BF92-FB606D26E939}"/>
    <cellStyle name="40% - Accent2 2 2 3 5" xfId="10085" xr:uid="{6DAE1661-35D7-4FFD-A324-994F26C155DA}"/>
    <cellStyle name="40% - Accent2 2 2 3 6" xfId="26979" xr:uid="{FCB266DA-A921-45FD-B969-1253332D6AC0}"/>
    <cellStyle name="40% - Accent2 2 2 4" xfId="1081" xr:uid="{00000000-0005-0000-0000-00007C040000}"/>
    <cellStyle name="40% - Accent2 2 2 4 2" xfId="3312" xr:uid="{00000000-0005-0000-0000-00007D040000}"/>
    <cellStyle name="40% - Accent2 2 2 4 2 2" xfId="7534" xr:uid="{00000000-0005-0000-0000-00007E040000}"/>
    <cellStyle name="40% - Accent2 2 2 4 2 2 2" xfId="25307" xr:uid="{045D9890-B01C-4FB1-B3F2-1AB95231884C}"/>
    <cellStyle name="40% - Accent2 2 2 4 2 2 2 2" xfId="42201" xr:uid="{1E839EC2-46E6-463E-99C1-A4424B03E03B}"/>
    <cellStyle name="40% - Accent2 2 2 4 2 2 3" xfId="16860" xr:uid="{222A02D6-EA36-4D5F-B05B-616F33461B3B}"/>
    <cellStyle name="40% - Accent2 2 2 4 2 2 4" xfId="33754" xr:uid="{681A3725-CEF6-4D50-8FE7-473590C9B98B}"/>
    <cellStyle name="40% - Accent2 2 2 4 2 3" xfId="21090" xr:uid="{1A2CC5BA-DAA1-47C1-9557-9E57D32BD358}"/>
    <cellStyle name="40% - Accent2 2 2 4 2 3 2" xfId="37984" xr:uid="{871C4392-2334-4518-997A-D4088ACF58B4}"/>
    <cellStyle name="40% - Accent2 2 2 4 2 4" xfId="12643" xr:uid="{B34DB52A-7995-47DF-8C8A-40A94982BD85}"/>
    <cellStyle name="40% - Accent2 2 2 4 2 5" xfId="29537" xr:uid="{A3551D64-9881-4E78-9EFE-422F9530C30D}"/>
    <cellStyle name="40% - Accent2 2 2 4 3" xfId="5389" xr:uid="{00000000-0005-0000-0000-00007F040000}"/>
    <cellStyle name="40% - Accent2 2 2 4 3 2" xfId="23162" xr:uid="{9E0CFEE2-C24F-441C-8C9F-B07BF8686DE4}"/>
    <cellStyle name="40% - Accent2 2 2 4 3 2 2" xfId="40056" xr:uid="{3345BA8E-CBF3-404E-A97C-34AC5B191039}"/>
    <cellStyle name="40% - Accent2 2 2 4 3 3" xfId="14715" xr:uid="{0789E49A-259D-44E7-A3AE-433E4AE86941}"/>
    <cellStyle name="40% - Accent2 2 2 4 3 4" xfId="31609" xr:uid="{391B79AE-9E8C-4DFD-AE7B-CB6B18372E2A}"/>
    <cellStyle name="40% - Accent2 2 2 4 4" xfId="18945" xr:uid="{DA85EEBD-4417-4847-B1C2-3A74025AFB7B}"/>
    <cellStyle name="40% - Accent2 2 2 4 4 2" xfId="35839" xr:uid="{9B6796B6-A825-4BE8-A18A-CF23BFFF052F}"/>
    <cellStyle name="40% - Accent2 2 2 4 5" xfId="10498" xr:uid="{DA951FDC-BA21-4A7F-B221-C90B9F7F7686}"/>
    <cellStyle name="40% - Accent2 2 2 4 6" xfId="27392" xr:uid="{6E228418-4FC3-457B-AEEC-CA960DE7DEC3}"/>
    <cellStyle name="40% - Accent2 2 2 5" xfId="1495" xr:uid="{00000000-0005-0000-0000-000080040000}"/>
    <cellStyle name="40% - Accent2 2 2 5 2" xfId="3725" xr:uid="{00000000-0005-0000-0000-000081040000}"/>
    <cellStyle name="40% - Accent2 2 2 5 2 2" xfId="7947" xr:uid="{00000000-0005-0000-0000-000082040000}"/>
    <cellStyle name="40% - Accent2 2 2 5 2 2 2" xfId="25720" xr:uid="{7C092D85-8301-41BE-8D70-D4B9B96DA1F2}"/>
    <cellStyle name="40% - Accent2 2 2 5 2 2 2 2" xfId="42614" xr:uid="{5BF24F03-DF35-4740-9F72-C1D06F2FDF7A}"/>
    <cellStyle name="40% - Accent2 2 2 5 2 2 3" xfId="17273" xr:uid="{C0B35C3F-288D-45F9-9029-6812C60A4D0F}"/>
    <cellStyle name="40% - Accent2 2 2 5 2 2 4" xfId="34167" xr:uid="{806FF0BB-92C9-4034-9128-7E16A08330EA}"/>
    <cellStyle name="40% - Accent2 2 2 5 2 3" xfId="21503" xr:uid="{C04F8AAA-5612-47B3-B2B7-6DB575C0BA51}"/>
    <cellStyle name="40% - Accent2 2 2 5 2 3 2" xfId="38397" xr:uid="{C72C3C9C-6893-4767-B132-F2F56FAB75F1}"/>
    <cellStyle name="40% - Accent2 2 2 5 2 4" xfId="13056" xr:uid="{C768CAD5-F55E-46B3-A5E1-D761A69922DE}"/>
    <cellStyle name="40% - Accent2 2 2 5 2 5" xfId="29950" xr:uid="{8236573E-82E5-46D9-9C39-7C013BDD3772}"/>
    <cellStyle name="40% - Accent2 2 2 5 3" xfId="5802" xr:uid="{00000000-0005-0000-0000-000083040000}"/>
    <cellStyle name="40% - Accent2 2 2 5 3 2" xfId="23575" xr:uid="{4E9EC376-0F8E-45FB-BE64-3D9855E35B5F}"/>
    <cellStyle name="40% - Accent2 2 2 5 3 2 2" xfId="40469" xr:uid="{4E3364F5-E4E6-4404-A0F4-2B6C1EE9DB42}"/>
    <cellStyle name="40% - Accent2 2 2 5 3 3" xfId="15128" xr:uid="{C0723A5B-2AC3-44E9-9309-FCFC0F644961}"/>
    <cellStyle name="40% - Accent2 2 2 5 3 4" xfId="32022" xr:uid="{A552497C-02E0-4E51-B0F7-C4958EF335E9}"/>
    <cellStyle name="40% - Accent2 2 2 5 4" xfId="19358" xr:uid="{FB6AFE7D-4503-4195-9871-BC77925E2E22}"/>
    <cellStyle name="40% - Accent2 2 2 5 4 2" xfId="36252" xr:uid="{B6EF87D6-BDC7-4B4A-A89C-EAA798F51EDB}"/>
    <cellStyle name="40% - Accent2 2 2 5 5" xfId="10911" xr:uid="{E3656313-6D9F-46F2-ADD3-9EFBF1B019DC}"/>
    <cellStyle name="40% - Accent2 2 2 5 6" xfId="27805" xr:uid="{8B98004F-1F22-42AC-A266-8CCE8A305A98}"/>
    <cellStyle name="40% - Accent2 2 2 6" xfId="1909" xr:uid="{00000000-0005-0000-0000-000084040000}"/>
    <cellStyle name="40% - Accent2 2 2 6 2" xfId="4138" xr:uid="{00000000-0005-0000-0000-000085040000}"/>
    <cellStyle name="40% - Accent2 2 2 6 2 2" xfId="8360" xr:uid="{00000000-0005-0000-0000-000086040000}"/>
    <cellStyle name="40% - Accent2 2 2 6 2 2 2" xfId="26133" xr:uid="{DAD249F1-ACBE-416D-A52C-069AB946C692}"/>
    <cellStyle name="40% - Accent2 2 2 6 2 2 2 2" xfId="43027" xr:uid="{54E6EE77-4C3C-463A-B4E2-EB403F8DB3EE}"/>
    <cellStyle name="40% - Accent2 2 2 6 2 2 3" xfId="17686" xr:uid="{68300A72-0051-4769-9486-5AF8A810EE06}"/>
    <cellStyle name="40% - Accent2 2 2 6 2 2 4" xfId="34580" xr:uid="{C33E6E94-110A-4DD1-905F-0FA25AD7A87C}"/>
    <cellStyle name="40% - Accent2 2 2 6 2 3" xfId="21916" xr:uid="{06ED60A0-4DA6-4BCC-A58F-97D26A2EB720}"/>
    <cellStyle name="40% - Accent2 2 2 6 2 3 2" xfId="38810" xr:uid="{39B1D366-553B-49A8-8D1F-F31E37565AA8}"/>
    <cellStyle name="40% - Accent2 2 2 6 2 4" xfId="13469" xr:uid="{47E29FA0-D311-4B60-8E03-F8470E663734}"/>
    <cellStyle name="40% - Accent2 2 2 6 2 5" xfId="30363" xr:uid="{6A51D87C-C6D4-4DE6-9565-A1B055D64718}"/>
    <cellStyle name="40% - Accent2 2 2 6 3" xfId="6215" xr:uid="{00000000-0005-0000-0000-000087040000}"/>
    <cellStyle name="40% - Accent2 2 2 6 3 2" xfId="23988" xr:uid="{C37ED1CE-3B16-4331-AB82-E5B9E50A2527}"/>
    <cellStyle name="40% - Accent2 2 2 6 3 2 2" xfId="40882" xr:uid="{A0A3FA09-355A-47F8-98BD-3191BEA5B034}"/>
    <cellStyle name="40% - Accent2 2 2 6 3 3" xfId="15541" xr:uid="{0A84C6F6-2F91-403D-988D-0763D18435CF}"/>
    <cellStyle name="40% - Accent2 2 2 6 3 4" xfId="32435" xr:uid="{5520ADD8-8D5E-4917-AFC4-DD654829C70C}"/>
    <cellStyle name="40% - Accent2 2 2 6 4" xfId="19771" xr:uid="{9C13D7F6-E485-4EE8-9005-6099662CD447}"/>
    <cellStyle name="40% - Accent2 2 2 6 4 2" xfId="36665" xr:uid="{841F0905-B7C6-425C-8B7D-665FA56B804F}"/>
    <cellStyle name="40% - Accent2 2 2 6 5" xfId="11324" xr:uid="{F2A48C5C-F39C-4623-A7CF-B8BB084F6103}"/>
    <cellStyle name="40% - Accent2 2 2 6 6" xfId="28218" xr:uid="{662BA232-3B76-4979-8E44-52F27DDF1380}"/>
    <cellStyle name="40% - Accent2 2 2 7" xfId="2322" xr:uid="{00000000-0005-0000-0000-000088040000}"/>
    <cellStyle name="40% - Accent2 2 2 7 2" xfId="6628" xr:uid="{00000000-0005-0000-0000-000089040000}"/>
    <cellStyle name="40% - Accent2 2 2 7 2 2" xfId="24401" xr:uid="{5051D82C-DB8D-4480-9657-76F39223C6EC}"/>
    <cellStyle name="40% - Accent2 2 2 7 2 2 2" xfId="41295" xr:uid="{55FE01AA-8015-4CD6-8264-09C28328D0A3}"/>
    <cellStyle name="40% - Accent2 2 2 7 2 3" xfId="15954" xr:uid="{800EFF88-F4A2-4B10-AAE5-35E13B1E5377}"/>
    <cellStyle name="40% - Accent2 2 2 7 2 4" xfId="32848" xr:uid="{6AAD47E4-01E3-4E9F-A40F-B71D150A8A66}"/>
    <cellStyle name="40% - Accent2 2 2 7 3" xfId="20184" xr:uid="{F6B31B24-32B3-4D31-9F3D-D483239F12C4}"/>
    <cellStyle name="40% - Accent2 2 2 7 3 2" xfId="37078" xr:uid="{23520807-A436-4A48-89BC-630301CF555D}"/>
    <cellStyle name="40% - Accent2 2 2 7 4" xfId="11737" xr:uid="{E880A77A-C29F-4DB1-98B0-F3011965F867}"/>
    <cellStyle name="40% - Accent2 2 2 7 5" xfId="28631" xr:uid="{A67675FD-D04F-4E34-B1E8-E290DA83D20B}"/>
    <cellStyle name="40% - Accent2 2 2 8" xfId="4562" xr:uid="{00000000-0005-0000-0000-00008A040000}"/>
    <cellStyle name="40% - Accent2 2 2 8 2" xfId="22335" xr:uid="{1F99E937-5A59-4555-8AB2-870C2C5C76DF}"/>
    <cellStyle name="40% - Accent2 2 2 8 2 2" xfId="39229" xr:uid="{50DFB159-6522-4AA6-95A4-D4D874DF6470}"/>
    <cellStyle name="40% - Accent2 2 2 8 3" xfId="13888" xr:uid="{C73F5D04-987E-4667-9246-96AA9F3A4BD2}"/>
    <cellStyle name="40% - Accent2 2 2 8 4" xfId="30782" xr:uid="{021CC5F8-E202-48CA-96C3-99FBB998D92D}"/>
    <cellStyle name="40% - Accent2 2 2 9" xfId="8902" xr:uid="{5D0C2022-B7A4-4DE2-895F-9E4BE510A7B9}"/>
    <cellStyle name="40% - Accent2 2 2 9 2" xfId="18118" xr:uid="{A5FF04A5-AD0F-45C7-9ED3-84B26A236298}"/>
    <cellStyle name="40% - Accent2 2 2 9 3" xfId="35012" xr:uid="{6F96B283-F707-452D-9CFA-8BEB8CB2238A}"/>
    <cellStyle name="40% - Accent2 2 3" xfId="61" xr:uid="{00000000-0005-0000-0000-00008B040000}"/>
    <cellStyle name="40% - Accent2 2 3 10" xfId="26567" xr:uid="{86551ECB-7287-4AA1-B8F0-C5892903F77A}"/>
    <cellStyle name="40% - Accent2 2 3 2" xfId="630" xr:uid="{00000000-0005-0000-0000-00008C040000}"/>
    <cellStyle name="40% - Accent2 2 3 2 2" xfId="2901" xr:uid="{00000000-0005-0000-0000-00008D040000}"/>
    <cellStyle name="40% - Accent2 2 3 2 2 2" xfId="7123" xr:uid="{00000000-0005-0000-0000-00008E040000}"/>
    <cellStyle name="40% - Accent2 2 3 2 2 2 2" xfId="24896" xr:uid="{5BC45D8F-4873-4FD7-8D45-F4892C6BEA85}"/>
    <cellStyle name="40% - Accent2 2 3 2 2 2 2 2" xfId="41790" xr:uid="{1ED321CC-F5CC-4C4D-B7A9-F40B767BD5D8}"/>
    <cellStyle name="40% - Accent2 2 3 2 2 2 3" xfId="16449" xr:uid="{3BD46B64-147C-45EC-BCA2-A22899713A9E}"/>
    <cellStyle name="40% - Accent2 2 3 2 2 2 4" xfId="33343" xr:uid="{F26B262A-1917-41FC-A812-704790817A1B}"/>
    <cellStyle name="40% - Accent2 2 3 2 2 3" xfId="20679" xr:uid="{4D05E3E0-345B-4A80-955F-9C1066A5BB9D}"/>
    <cellStyle name="40% - Accent2 2 3 2 2 3 2" xfId="37573" xr:uid="{CC581885-6F22-450A-97FB-75D8FFFFCA8F}"/>
    <cellStyle name="40% - Accent2 2 3 2 2 4" xfId="12232" xr:uid="{55E6F947-A644-4839-A905-1C2EC7F11A14}"/>
    <cellStyle name="40% - Accent2 2 3 2 2 5" xfId="29126" xr:uid="{DB09CD5C-B10E-4EC0-BFEA-7660F6AB9065}"/>
    <cellStyle name="40% - Accent2 2 3 2 3" xfId="4978" xr:uid="{00000000-0005-0000-0000-00008F040000}"/>
    <cellStyle name="40% - Accent2 2 3 2 3 2" xfId="22751" xr:uid="{FAE55233-40E1-4188-A32C-2D79BB7F35CE}"/>
    <cellStyle name="40% - Accent2 2 3 2 3 2 2" xfId="39645" xr:uid="{D0000C22-5397-47F2-AB88-02F4016AB40F}"/>
    <cellStyle name="40% - Accent2 2 3 2 3 3" xfId="14304" xr:uid="{F7150B29-8F7D-4DFC-BC2D-5B64B4CDB7C7}"/>
    <cellStyle name="40% - Accent2 2 3 2 3 4" xfId="31198" xr:uid="{AE971053-DC22-466E-82D3-3F1E563F5596}"/>
    <cellStyle name="40% - Accent2 2 3 2 4" xfId="9431" xr:uid="{BD4E3561-302E-4359-AAF3-4F2E007BC697}"/>
    <cellStyle name="40% - Accent2 2 3 2 4 2" xfId="18534" xr:uid="{B8993634-CBD9-4571-A2A1-06546E40D5C2}"/>
    <cellStyle name="40% - Accent2 2 3 2 4 3" xfId="35428" xr:uid="{0C358BBA-1C96-4DF8-B874-D8E632F1669B}"/>
    <cellStyle name="40% - Accent2 2 3 2 5" xfId="10087" xr:uid="{E5C1A29D-842B-4463-9DA3-06B3A887D09D}"/>
    <cellStyle name="40% - Accent2 2 3 2 6" xfId="26981" xr:uid="{D59CFBF3-F77C-4C6D-9B47-AE302B7B151D}"/>
    <cellStyle name="40% - Accent2 2 3 3" xfId="1083" xr:uid="{00000000-0005-0000-0000-000090040000}"/>
    <cellStyle name="40% - Accent2 2 3 3 2" xfId="3314" xr:uid="{00000000-0005-0000-0000-000091040000}"/>
    <cellStyle name="40% - Accent2 2 3 3 2 2" xfId="7536" xr:uid="{00000000-0005-0000-0000-000092040000}"/>
    <cellStyle name="40% - Accent2 2 3 3 2 2 2" xfId="25309" xr:uid="{8CA7634C-E6BA-4F49-97F4-0F41660A1997}"/>
    <cellStyle name="40% - Accent2 2 3 3 2 2 2 2" xfId="42203" xr:uid="{281B811C-E911-4673-BF1A-5C34F3464E61}"/>
    <cellStyle name="40% - Accent2 2 3 3 2 2 3" xfId="16862" xr:uid="{3AD9B36E-58D1-4738-87EA-D59CBBA7033B}"/>
    <cellStyle name="40% - Accent2 2 3 3 2 2 4" xfId="33756" xr:uid="{7A6D92B9-D920-4A1F-8B66-991C44FB2BE9}"/>
    <cellStyle name="40% - Accent2 2 3 3 2 3" xfId="21092" xr:uid="{494F3E4F-4057-47D1-97CB-7198EE89490B}"/>
    <cellStyle name="40% - Accent2 2 3 3 2 3 2" xfId="37986" xr:uid="{68C96E43-8777-4226-B6C0-2D327B65C21F}"/>
    <cellStyle name="40% - Accent2 2 3 3 2 4" xfId="12645" xr:uid="{1D6FE92E-647D-4449-8517-86376B3D807B}"/>
    <cellStyle name="40% - Accent2 2 3 3 2 5" xfId="29539" xr:uid="{579DB113-B7AB-48D6-9D72-52030B016401}"/>
    <cellStyle name="40% - Accent2 2 3 3 3" xfId="5391" xr:uid="{00000000-0005-0000-0000-000093040000}"/>
    <cellStyle name="40% - Accent2 2 3 3 3 2" xfId="23164" xr:uid="{4551F5C5-81F9-42DD-97D2-2B4F45291B88}"/>
    <cellStyle name="40% - Accent2 2 3 3 3 2 2" xfId="40058" xr:uid="{F2A3EB26-8207-41D3-86F0-C5F6C1FD48A6}"/>
    <cellStyle name="40% - Accent2 2 3 3 3 3" xfId="14717" xr:uid="{3387074A-A37B-4B77-8A8E-3CC4424C2ABC}"/>
    <cellStyle name="40% - Accent2 2 3 3 3 4" xfId="31611" xr:uid="{203A49CE-D86C-46B1-8160-ED1494CB80CB}"/>
    <cellStyle name="40% - Accent2 2 3 3 4" xfId="18947" xr:uid="{8C648D77-B674-47BD-A146-2684E90255FE}"/>
    <cellStyle name="40% - Accent2 2 3 3 4 2" xfId="35841" xr:uid="{F0E68FAE-17DF-4CAB-BCC9-645A89760FB0}"/>
    <cellStyle name="40% - Accent2 2 3 3 5" xfId="10500" xr:uid="{62B95C66-0C7D-4563-A7BF-74871D2EE09A}"/>
    <cellStyle name="40% - Accent2 2 3 3 6" xfId="27394" xr:uid="{E6F8DCB4-3DDA-4DFB-8B90-F237AE75FE89}"/>
    <cellStyle name="40% - Accent2 2 3 4" xfId="1497" xr:uid="{00000000-0005-0000-0000-000094040000}"/>
    <cellStyle name="40% - Accent2 2 3 4 2" xfId="3727" xr:uid="{00000000-0005-0000-0000-000095040000}"/>
    <cellStyle name="40% - Accent2 2 3 4 2 2" xfId="7949" xr:uid="{00000000-0005-0000-0000-000096040000}"/>
    <cellStyle name="40% - Accent2 2 3 4 2 2 2" xfId="25722" xr:uid="{10C2A8D5-51DB-4F1B-BB67-F4C6AC038D1D}"/>
    <cellStyle name="40% - Accent2 2 3 4 2 2 2 2" xfId="42616" xr:uid="{4D5B4B49-368E-46B2-B2EF-6C955EBED2C6}"/>
    <cellStyle name="40% - Accent2 2 3 4 2 2 3" xfId="17275" xr:uid="{A81F95DA-A883-4F51-B29F-5E2D049AAAE5}"/>
    <cellStyle name="40% - Accent2 2 3 4 2 2 4" xfId="34169" xr:uid="{1A6CF8EB-798E-4E7E-AAA8-83795E1F6F1C}"/>
    <cellStyle name="40% - Accent2 2 3 4 2 3" xfId="21505" xr:uid="{F525A8F5-8F5F-4B05-A5C4-40BF32983DD0}"/>
    <cellStyle name="40% - Accent2 2 3 4 2 3 2" xfId="38399" xr:uid="{BC3002B0-7C1D-4819-81E5-0AB04305A621}"/>
    <cellStyle name="40% - Accent2 2 3 4 2 4" xfId="13058" xr:uid="{6A9542FB-42FE-46CC-86E4-9C3675576179}"/>
    <cellStyle name="40% - Accent2 2 3 4 2 5" xfId="29952" xr:uid="{F6978E7C-3B85-4852-AC4F-4B87D4E1B9E4}"/>
    <cellStyle name="40% - Accent2 2 3 4 3" xfId="5804" xr:uid="{00000000-0005-0000-0000-000097040000}"/>
    <cellStyle name="40% - Accent2 2 3 4 3 2" xfId="23577" xr:uid="{15B4096B-87B1-4F9C-B4F3-F5330A65C042}"/>
    <cellStyle name="40% - Accent2 2 3 4 3 2 2" xfId="40471" xr:uid="{F96D22F2-7423-439F-B5E1-38E612E2E33C}"/>
    <cellStyle name="40% - Accent2 2 3 4 3 3" xfId="15130" xr:uid="{FB3D49A4-E098-43E2-89D6-A7BEAEC3E7C9}"/>
    <cellStyle name="40% - Accent2 2 3 4 3 4" xfId="32024" xr:uid="{E669B611-FDB2-489F-B557-EC514C998D02}"/>
    <cellStyle name="40% - Accent2 2 3 4 4" xfId="19360" xr:uid="{275D25C7-DEBC-4797-A021-B532A8989380}"/>
    <cellStyle name="40% - Accent2 2 3 4 4 2" xfId="36254" xr:uid="{CC5D27E7-36EB-4768-B12E-26B9874FFDAC}"/>
    <cellStyle name="40% - Accent2 2 3 4 5" xfId="10913" xr:uid="{6114864B-A6F9-49B0-BBFA-772661989175}"/>
    <cellStyle name="40% - Accent2 2 3 4 6" xfId="27807" xr:uid="{450A63EE-1FC4-4BC0-970C-F9BF49220B4B}"/>
    <cellStyle name="40% - Accent2 2 3 5" xfId="1911" xr:uid="{00000000-0005-0000-0000-000098040000}"/>
    <cellStyle name="40% - Accent2 2 3 5 2" xfId="4140" xr:uid="{00000000-0005-0000-0000-000099040000}"/>
    <cellStyle name="40% - Accent2 2 3 5 2 2" xfId="8362" xr:uid="{00000000-0005-0000-0000-00009A040000}"/>
    <cellStyle name="40% - Accent2 2 3 5 2 2 2" xfId="26135" xr:uid="{0F5E54A4-185C-4475-9DBA-176421FEFDCE}"/>
    <cellStyle name="40% - Accent2 2 3 5 2 2 2 2" xfId="43029" xr:uid="{E7FA3707-2AFB-4A5D-BF4B-FAB107B624BE}"/>
    <cellStyle name="40% - Accent2 2 3 5 2 2 3" xfId="17688" xr:uid="{CFDD924D-587E-4FF3-BCBF-45EF47738D70}"/>
    <cellStyle name="40% - Accent2 2 3 5 2 2 4" xfId="34582" xr:uid="{0EC1D212-0A83-4390-A527-368D6BCFE665}"/>
    <cellStyle name="40% - Accent2 2 3 5 2 3" xfId="21918" xr:uid="{5F238FC7-158E-49D1-8D62-F665379DAE1C}"/>
    <cellStyle name="40% - Accent2 2 3 5 2 3 2" xfId="38812" xr:uid="{35153124-484E-491C-ADED-2D655FC3C24C}"/>
    <cellStyle name="40% - Accent2 2 3 5 2 4" xfId="13471" xr:uid="{7A25183F-FD9C-4D19-B354-56AEDD4966DA}"/>
    <cellStyle name="40% - Accent2 2 3 5 2 5" xfId="30365" xr:uid="{6B6C1FD7-9092-40C0-9E24-6CB379535060}"/>
    <cellStyle name="40% - Accent2 2 3 5 3" xfId="6217" xr:uid="{00000000-0005-0000-0000-00009B040000}"/>
    <cellStyle name="40% - Accent2 2 3 5 3 2" xfId="23990" xr:uid="{F3C53431-AD21-4CDF-B6DA-88792671EFD3}"/>
    <cellStyle name="40% - Accent2 2 3 5 3 2 2" xfId="40884" xr:uid="{EC60E18A-FC84-45D7-91F6-3AC41027B6B6}"/>
    <cellStyle name="40% - Accent2 2 3 5 3 3" xfId="15543" xr:uid="{88F70220-2BE0-4A05-A97A-E0FA0C45E508}"/>
    <cellStyle name="40% - Accent2 2 3 5 3 4" xfId="32437" xr:uid="{0D7E66B9-C2E7-47F0-ADF3-536EB4E0572C}"/>
    <cellStyle name="40% - Accent2 2 3 5 4" xfId="19773" xr:uid="{32800316-A0A9-440D-844D-6B549E2D91DC}"/>
    <cellStyle name="40% - Accent2 2 3 5 4 2" xfId="36667" xr:uid="{B77B59D0-1179-453A-867F-B4E13EA181B3}"/>
    <cellStyle name="40% - Accent2 2 3 5 5" xfId="11326" xr:uid="{2112EB3B-72B4-4B9E-90C3-EDF790DF88FC}"/>
    <cellStyle name="40% - Accent2 2 3 5 6" xfId="28220" xr:uid="{AAECC998-5583-474C-8EE4-9B6440CFE9D9}"/>
    <cellStyle name="40% - Accent2 2 3 6" xfId="2324" xr:uid="{00000000-0005-0000-0000-00009C040000}"/>
    <cellStyle name="40% - Accent2 2 3 6 2" xfId="6630" xr:uid="{00000000-0005-0000-0000-00009D040000}"/>
    <cellStyle name="40% - Accent2 2 3 6 2 2" xfId="24403" xr:uid="{61F83AE5-A018-4EDB-BC2E-C68CCD30DAAA}"/>
    <cellStyle name="40% - Accent2 2 3 6 2 2 2" xfId="41297" xr:uid="{FBD67DEE-7CA6-46DC-B5C2-476DDE39CBCB}"/>
    <cellStyle name="40% - Accent2 2 3 6 2 3" xfId="15956" xr:uid="{ED446909-EC73-4A1F-9B75-4417A8C621B7}"/>
    <cellStyle name="40% - Accent2 2 3 6 2 4" xfId="32850" xr:uid="{7AECD6C5-ED67-41AE-9D61-B3BF8BE079B2}"/>
    <cellStyle name="40% - Accent2 2 3 6 3" xfId="20186" xr:uid="{FAE51FE3-F314-40F9-B705-5A3A80FE0E58}"/>
    <cellStyle name="40% - Accent2 2 3 6 3 2" xfId="37080" xr:uid="{BFB3AE67-46AB-418E-9E3E-2A45874563C8}"/>
    <cellStyle name="40% - Accent2 2 3 6 4" xfId="11739" xr:uid="{D37C291C-CEFF-4A03-ACEF-0A8F8227AE5B}"/>
    <cellStyle name="40% - Accent2 2 3 6 5" xfId="28633" xr:uid="{315A6114-A8E8-46F9-92A0-9B771500CA37}"/>
    <cellStyle name="40% - Accent2 2 3 7" xfId="4564" xr:uid="{00000000-0005-0000-0000-00009E040000}"/>
    <cellStyle name="40% - Accent2 2 3 7 2" xfId="22337" xr:uid="{3FFE3E85-EF7B-4C14-A1E5-A358FE6F47CE}"/>
    <cellStyle name="40% - Accent2 2 3 7 2 2" xfId="39231" xr:uid="{509140A8-E9CB-413B-B279-1D846A6B8F74}"/>
    <cellStyle name="40% - Accent2 2 3 7 3" xfId="13890" xr:uid="{4E9FCE1E-DE08-4F17-AD95-7A6A3E144A7B}"/>
    <cellStyle name="40% - Accent2 2 3 7 4" xfId="30784" xr:uid="{8BED0730-3E6F-431A-AFC1-3AB097F60E42}"/>
    <cellStyle name="40% - Accent2 2 3 8" xfId="9006" xr:uid="{E6E89EA5-B76F-4FCC-89B9-DD4135B6364B}"/>
    <cellStyle name="40% - Accent2 2 3 8 2" xfId="18120" xr:uid="{F5FBD0EF-EF32-4F26-A572-D0266FBCC213}"/>
    <cellStyle name="40% - Accent2 2 3 8 3" xfId="35014" xr:uid="{65CCA7FF-90B6-45C1-B491-0DE0024CE7E6}"/>
    <cellStyle name="40% - Accent2 2 3 9" xfId="9673" xr:uid="{776689E0-43A3-4CD5-953E-C2F483AB6154}"/>
    <cellStyle name="40% - Accent2 2 4" xfId="627" xr:uid="{00000000-0005-0000-0000-00009F040000}"/>
    <cellStyle name="40% - Accent2 2 4 2" xfId="2898" xr:uid="{00000000-0005-0000-0000-0000A0040000}"/>
    <cellStyle name="40% - Accent2 2 4 2 2" xfId="7120" xr:uid="{00000000-0005-0000-0000-0000A1040000}"/>
    <cellStyle name="40% - Accent2 2 4 2 2 2" xfId="24893" xr:uid="{F1BAD743-8CEE-433E-BB93-73A18481F5A5}"/>
    <cellStyle name="40% - Accent2 2 4 2 2 2 2" xfId="41787" xr:uid="{C9B12FEA-34F4-449D-8CAF-EB0BF8341017}"/>
    <cellStyle name="40% - Accent2 2 4 2 2 3" xfId="16446" xr:uid="{0191CBFC-BCA1-422D-AF80-4FE0A88F0455}"/>
    <cellStyle name="40% - Accent2 2 4 2 2 4" xfId="33340" xr:uid="{6D8FE7F3-60C9-42A0-A423-BEB997A5D3E6}"/>
    <cellStyle name="40% - Accent2 2 4 2 3" xfId="20676" xr:uid="{1A6FFAF5-18BC-4F36-AFA8-8959D488BBEF}"/>
    <cellStyle name="40% - Accent2 2 4 2 3 2" xfId="37570" xr:uid="{00BD93E7-587C-44C6-8BDA-19790331A934}"/>
    <cellStyle name="40% - Accent2 2 4 2 4" xfId="12229" xr:uid="{18201DC9-F8C2-43DA-9552-BA6C78FB248C}"/>
    <cellStyle name="40% - Accent2 2 4 2 5" xfId="29123" xr:uid="{9B9E570F-6B1D-4C2C-8E7C-3A92CB123A64}"/>
    <cellStyle name="40% - Accent2 2 4 3" xfId="4975" xr:uid="{00000000-0005-0000-0000-0000A2040000}"/>
    <cellStyle name="40% - Accent2 2 4 3 2" xfId="22748" xr:uid="{93A810E6-3422-4E9F-96C6-747F9734282F}"/>
    <cellStyle name="40% - Accent2 2 4 3 2 2" xfId="39642" xr:uid="{AB16413E-190C-460F-BC83-1952D59C16CB}"/>
    <cellStyle name="40% - Accent2 2 4 3 3" xfId="14301" xr:uid="{CCD0291B-1F1A-45DB-9132-C01DE27F7C3D}"/>
    <cellStyle name="40% - Accent2 2 4 3 4" xfId="31195" xr:uid="{67AAF3C2-7E5D-406C-963D-C847671DB0F4}"/>
    <cellStyle name="40% - Accent2 2 4 4" xfId="9223" xr:uid="{FA9890B4-781A-4E4C-81EE-BC7448559828}"/>
    <cellStyle name="40% - Accent2 2 4 4 2" xfId="18531" xr:uid="{B2C5C5EE-6A31-4503-BCF6-6A34719786BB}"/>
    <cellStyle name="40% - Accent2 2 4 4 3" xfId="35425" xr:uid="{D16311B3-DCFD-40E1-8088-8174ABCAB61F}"/>
    <cellStyle name="40% - Accent2 2 4 5" xfId="10084" xr:uid="{B4923B69-AEF2-41C9-8560-87F741AAD274}"/>
    <cellStyle name="40% - Accent2 2 4 6" xfId="26978" xr:uid="{9A79DB00-36CD-4439-BEC2-D81DC9C01AB9}"/>
    <cellStyle name="40% - Accent2 2 5" xfId="1080" xr:uid="{00000000-0005-0000-0000-0000A3040000}"/>
    <cellStyle name="40% - Accent2 2 5 2" xfId="3311" xr:uid="{00000000-0005-0000-0000-0000A4040000}"/>
    <cellStyle name="40% - Accent2 2 5 2 2" xfId="7533" xr:uid="{00000000-0005-0000-0000-0000A5040000}"/>
    <cellStyle name="40% - Accent2 2 5 2 2 2" xfId="25306" xr:uid="{2D00D8F0-6F88-44D2-AEA6-AAA6DDD378A9}"/>
    <cellStyle name="40% - Accent2 2 5 2 2 2 2" xfId="42200" xr:uid="{F6D28240-1F20-49ED-BA01-AAFC6FE9C5D6}"/>
    <cellStyle name="40% - Accent2 2 5 2 2 3" xfId="16859" xr:uid="{45D953F1-1A94-429B-8AA1-F98C203692F2}"/>
    <cellStyle name="40% - Accent2 2 5 2 2 4" xfId="33753" xr:uid="{F1D8DC74-DBED-4ACD-B0CA-3EB019FF29AC}"/>
    <cellStyle name="40% - Accent2 2 5 2 3" xfId="21089" xr:uid="{E4788B97-727F-49F4-A9BA-8891BBEFAB23}"/>
    <cellStyle name="40% - Accent2 2 5 2 3 2" xfId="37983" xr:uid="{BDE91D61-1E1F-4744-BE11-FF55C6E550CF}"/>
    <cellStyle name="40% - Accent2 2 5 2 4" xfId="12642" xr:uid="{C4210534-507F-4FBF-9453-1FE0ABF92616}"/>
    <cellStyle name="40% - Accent2 2 5 2 5" xfId="29536" xr:uid="{5EFDDFC1-AB1C-459A-8403-CED173E374A8}"/>
    <cellStyle name="40% - Accent2 2 5 3" xfId="5388" xr:uid="{00000000-0005-0000-0000-0000A6040000}"/>
    <cellStyle name="40% - Accent2 2 5 3 2" xfId="23161" xr:uid="{AD08C976-4DE0-4A3B-B97B-A51828539B82}"/>
    <cellStyle name="40% - Accent2 2 5 3 2 2" xfId="40055" xr:uid="{BE8D7CD6-F08A-486F-AAC3-4EE44E31DEB7}"/>
    <cellStyle name="40% - Accent2 2 5 3 3" xfId="14714" xr:uid="{511EA5D0-9344-45D1-A9E9-A1F4E2F11D04}"/>
    <cellStyle name="40% - Accent2 2 5 3 4" xfId="31608" xr:uid="{C63061F9-74EF-4993-A6C4-43E0EDA89A54}"/>
    <cellStyle name="40% - Accent2 2 5 4" xfId="18944" xr:uid="{EF74DC22-4D0E-41F0-9C15-1B1EF9312A8B}"/>
    <cellStyle name="40% - Accent2 2 5 4 2" xfId="35838" xr:uid="{3F9D262B-CC5A-457F-8E9F-E8BEEE639CE0}"/>
    <cellStyle name="40% - Accent2 2 5 5" xfId="10497" xr:uid="{E72C4816-92E3-4A4E-B48B-82FBE57CDC90}"/>
    <cellStyle name="40% - Accent2 2 5 6" xfId="27391" xr:uid="{1D2E9C98-DF65-47A0-89EB-A922B3EF169B}"/>
    <cellStyle name="40% - Accent2 2 6" xfId="1494" xr:uid="{00000000-0005-0000-0000-0000A7040000}"/>
    <cellStyle name="40% - Accent2 2 6 2" xfId="3724" xr:uid="{00000000-0005-0000-0000-0000A8040000}"/>
    <cellStyle name="40% - Accent2 2 6 2 2" xfId="7946" xr:uid="{00000000-0005-0000-0000-0000A9040000}"/>
    <cellStyle name="40% - Accent2 2 6 2 2 2" xfId="25719" xr:uid="{C6B8C006-911D-4896-8D66-BE106A0049EB}"/>
    <cellStyle name="40% - Accent2 2 6 2 2 2 2" xfId="42613" xr:uid="{643DE3C0-450F-446B-AA95-C7DB1C096C96}"/>
    <cellStyle name="40% - Accent2 2 6 2 2 3" xfId="17272" xr:uid="{17768A1A-AB38-4215-88AA-AA343C91B55A}"/>
    <cellStyle name="40% - Accent2 2 6 2 2 4" xfId="34166" xr:uid="{0F6B423E-77D0-4E6F-A24F-F9131A11269F}"/>
    <cellStyle name="40% - Accent2 2 6 2 3" xfId="21502" xr:uid="{F7D54BEA-2342-46A5-8BDA-ED8E465DC79E}"/>
    <cellStyle name="40% - Accent2 2 6 2 3 2" xfId="38396" xr:uid="{410D78F4-5F64-4338-ACB4-3F220C35CCC6}"/>
    <cellStyle name="40% - Accent2 2 6 2 4" xfId="13055" xr:uid="{723A2E07-74CC-4DB0-B6CC-E367E97D824F}"/>
    <cellStyle name="40% - Accent2 2 6 2 5" xfId="29949" xr:uid="{8DC959C3-9EA0-4E28-8F54-B353B14365EB}"/>
    <cellStyle name="40% - Accent2 2 6 3" xfId="5801" xr:uid="{00000000-0005-0000-0000-0000AA040000}"/>
    <cellStyle name="40% - Accent2 2 6 3 2" xfId="23574" xr:uid="{74B59B19-C173-4256-AA4B-222E1C61B2E3}"/>
    <cellStyle name="40% - Accent2 2 6 3 2 2" xfId="40468" xr:uid="{D9CEFBF9-1D36-4F8B-9947-15BFD1BC9118}"/>
    <cellStyle name="40% - Accent2 2 6 3 3" xfId="15127" xr:uid="{E06CF128-668C-4CC0-830E-305E371E3E5D}"/>
    <cellStyle name="40% - Accent2 2 6 3 4" xfId="32021" xr:uid="{C097BE2D-935B-4A84-B171-544263329501}"/>
    <cellStyle name="40% - Accent2 2 6 4" xfId="19357" xr:uid="{B18F2F94-A9DA-460F-83D8-73A804AD6C25}"/>
    <cellStyle name="40% - Accent2 2 6 4 2" xfId="36251" xr:uid="{0BE8DB0B-1559-4B72-BE0F-1F165BA13E14}"/>
    <cellStyle name="40% - Accent2 2 6 5" xfId="10910" xr:uid="{043E6AE2-943D-4492-A4F9-6F5A5DAD41E9}"/>
    <cellStyle name="40% - Accent2 2 6 6" xfId="27804" xr:uid="{4777EB79-9A20-4310-B798-F1B51056CA28}"/>
    <cellStyle name="40% - Accent2 2 7" xfId="1908" xr:uid="{00000000-0005-0000-0000-0000AB040000}"/>
    <cellStyle name="40% - Accent2 2 7 2" xfId="4137" xr:uid="{00000000-0005-0000-0000-0000AC040000}"/>
    <cellStyle name="40% - Accent2 2 7 2 2" xfId="8359" xr:uid="{00000000-0005-0000-0000-0000AD040000}"/>
    <cellStyle name="40% - Accent2 2 7 2 2 2" xfId="26132" xr:uid="{CF1BA532-3821-4DD5-B0B0-937F9AC43CFA}"/>
    <cellStyle name="40% - Accent2 2 7 2 2 2 2" xfId="43026" xr:uid="{A4A984E1-5EC9-4B43-82FD-0631BFED30EC}"/>
    <cellStyle name="40% - Accent2 2 7 2 2 3" xfId="17685" xr:uid="{05C9A7B0-9CBE-4BDC-A3A9-7A6BF901852B}"/>
    <cellStyle name="40% - Accent2 2 7 2 2 4" xfId="34579" xr:uid="{B0A100C2-6838-43AE-9C02-FF0331E4B7E0}"/>
    <cellStyle name="40% - Accent2 2 7 2 3" xfId="21915" xr:uid="{04B7DF8D-9CF1-461D-994F-E310B7F90CF2}"/>
    <cellStyle name="40% - Accent2 2 7 2 3 2" xfId="38809" xr:uid="{585A5A39-2B67-4019-AF28-1B97501BE390}"/>
    <cellStyle name="40% - Accent2 2 7 2 4" xfId="13468" xr:uid="{3E09CBF1-25DD-4175-927E-3700A46608B1}"/>
    <cellStyle name="40% - Accent2 2 7 2 5" xfId="30362" xr:uid="{59BA07E1-F7AA-472F-8974-F97CCAB3331E}"/>
    <cellStyle name="40% - Accent2 2 7 3" xfId="6214" xr:uid="{00000000-0005-0000-0000-0000AE040000}"/>
    <cellStyle name="40% - Accent2 2 7 3 2" xfId="23987" xr:uid="{02DD158A-15BC-422B-92D0-8DEF1BB6D53F}"/>
    <cellStyle name="40% - Accent2 2 7 3 2 2" xfId="40881" xr:uid="{CD59157F-BF93-4F7A-B0D2-230A8140B809}"/>
    <cellStyle name="40% - Accent2 2 7 3 3" xfId="15540" xr:uid="{6D5596AF-5DD5-4A97-9955-D69406C31AAB}"/>
    <cellStyle name="40% - Accent2 2 7 3 4" xfId="32434" xr:uid="{CCDE00AB-F91D-484E-8818-B5A2B03DBF29}"/>
    <cellStyle name="40% - Accent2 2 7 4" xfId="19770" xr:uid="{4229D109-B90F-4E82-8258-65A7400AA61F}"/>
    <cellStyle name="40% - Accent2 2 7 4 2" xfId="36664" xr:uid="{4A9566A3-470B-4844-8AAE-57D37099897F}"/>
    <cellStyle name="40% - Accent2 2 7 5" xfId="11323" xr:uid="{3610F24A-2ED7-409E-8EDA-12CC409BFAA2}"/>
    <cellStyle name="40% - Accent2 2 7 6" xfId="28217" xr:uid="{E1DDDC8E-BC99-4B6B-B1E9-ADC0BE5DECF5}"/>
    <cellStyle name="40% - Accent2 2 8" xfId="2321" xr:uid="{00000000-0005-0000-0000-0000AF040000}"/>
    <cellStyle name="40% - Accent2 2 8 2" xfId="6627" xr:uid="{00000000-0005-0000-0000-0000B0040000}"/>
    <cellStyle name="40% - Accent2 2 8 2 2" xfId="24400" xr:uid="{5FACCCD9-6BDF-40CE-93A6-434DCAAAA696}"/>
    <cellStyle name="40% - Accent2 2 8 2 2 2" xfId="41294" xr:uid="{184D9F98-FE22-4F04-BFBB-4714E5FCDDC1}"/>
    <cellStyle name="40% - Accent2 2 8 2 3" xfId="15953" xr:uid="{C88AB4F0-BE79-4646-AA6E-15B0140D4E0B}"/>
    <cellStyle name="40% - Accent2 2 8 2 4" xfId="32847" xr:uid="{85FCF1D4-A652-471F-AD49-3C0C0BD1C74C}"/>
    <cellStyle name="40% - Accent2 2 8 3" xfId="20183" xr:uid="{3F2CF0F9-CB57-4691-9945-870A982D99ED}"/>
    <cellStyle name="40% - Accent2 2 8 3 2" xfId="37077" xr:uid="{973DB94F-63F9-4081-AEF9-DD588E1FA527}"/>
    <cellStyle name="40% - Accent2 2 8 4" xfId="11736" xr:uid="{CE677405-CC50-41D8-BC87-651BF26A519B}"/>
    <cellStyle name="40% - Accent2 2 8 5" xfId="28630" xr:uid="{CD446390-FE00-4EA7-ABFA-43EA777FA258}"/>
    <cellStyle name="40% - Accent2 2 9" xfId="4561" xr:uid="{00000000-0005-0000-0000-0000B1040000}"/>
    <cellStyle name="40% - Accent2 2 9 2" xfId="22334" xr:uid="{12B078D2-F455-4FF4-9DDB-8FB7244326DF}"/>
    <cellStyle name="40% - Accent2 2 9 2 2" xfId="39228" xr:uid="{BDB964BB-8D14-44D7-BCA8-560CC1796827}"/>
    <cellStyle name="40% - Accent2 2 9 3" xfId="13887" xr:uid="{321360D2-6BE0-49C6-8A9F-33E16670CE38}"/>
    <cellStyle name="40% - Accent2 2 9 4" xfId="30781" xr:uid="{7C85EB59-F82F-407F-A5AE-3B5619AAD3E8}"/>
    <cellStyle name="40% - Accent2 3" xfId="62" xr:uid="{00000000-0005-0000-0000-0000B2040000}"/>
    <cellStyle name="40% - Accent2 3 10" xfId="9674" xr:uid="{FC232BD1-E8D1-4641-944F-A5E987D00140}"/>
    <cellStyle name="40% - Accent2 3 11" xfId="26568" xr:uid="{E0C423A5-C47A-4B60-AC36-87727B8DB6C2}"/>
    <cellStyle name="40% - Accent2 3 2" xfId="63" xr:uid="{00000000-0005-0000-0000-0000B3040000}"/>
    <cellStyle name="40% - Accent2 3 2 10" xfId="26569" xr:uid="{0ABEFDF1-C742-4DEE-908D-1A6ECD8BE261}"/>
    <cellStyle name="40% - Accent2 3 2 2" xfId="632" xr:uid="{00000000-0005-0000-0000-0000B4040000}"/>
    <cellStyle name="40% - Accent2 3 2 2 2" xfId="2903" xr:uid="{00000000-0005-0000-0000-0000B5040000}"/>
    <cellStyle name="40% - Accent2 3 2 2 2 2" xfId="7125" xr:uid="{00000000-0005-0000-0000-0000B6040000}"/>
    <cellStyle name="40% - Accent2 3 2 2 2 2 2" xfId="24898" xr:uid="{FDF66860-786E-4EE7-8B16-1AA387F6E76F}"/>
    <cellStyle name="40% - Accent2 3 2 2 2 2 2 2" xfId="41792" xr:uid="{15FF5988-FEA1-4B44-892C-B952BDF078D4}"/>
    <cellStyle name="40% - Accent2 3 2 2 2 2 3" xfId="16451" xr:uid="{562730F9-62B0-4DF0-B3C1-68280BE294F5}"/>
    <cellStyle name="40% - Accent2 3 2 2 2 2 4" xfId="33345" xr:uid="{0A50366B-C726-4255-85FA-5252915E945E}"/>
    <cellStyle name="40% - Accent2 3 2 2 2 3" xfId="20681" xr:uid="{666284B8-E88E-49C8-A194-2D47335375F1}"/>
    <cellStyle name="40% - Accent2 3 2 2 2 3 2" xfId="37575" xr:uid="{DD77DAE7-7AA1-4F94-88E2-E1E55999A97D}"/>
    <cellStyle name="40% - Accent2 3 2 2 2 4" xfId="12234" xr:uid="{3D3585D0-D5F6-4016-9013-2922652B235F}"/>
    <cellStyle name="40% - Accent2 3 2 2 2 5" xfId="29128" xr:uid="{D6F4CA81-2BD8-44FA-AD82-991E442E8794}"/>
    <cellStyle name="40% - Accent2 3 2 2 3" xfId="4980" xr:uid="{00000000-0005-0000-0000-0000B7040000}"/>
    <cellStyle name="40% - Accent2 3 2 2 3 2" xfId="22753" xr:uid="{53C6E70A-5D2B-44C1-9CDA-CFBE404EE3BA}"/>
    <cellStyle name="40% - Accent2 3 2 2 3 2 2" xfId="39647" xr:uid="{2E77D0F1-DF32-4B28-ABAC-ECA14030B009}"/>
    <cellStyle name="40% - Accent2 3 2 2 3 3" xfId="14306" xr:uid="{437C957E-C9C2-40ED-80A7-A92FBB2CC4BA}"/>
    <cellStyle name="40% - Accent2 3 2 2 3 4" xfId="31200" xr:uid="{2794066D-EB6B-4C0D-AFB8-4D6E888EDF4D}"/>
    <cellStyle name="40% - Accent2 3 2 2 4" xfId="9496" xr:uid="{700FA1AF-D943-4FDB-BFB1-F903AD1F731A}"/>
    <cellStyle name="40% - Accent2 3 2 2 4 2" xfId="18536" xr:uid="{22562456-BF7F-4303-87EC-D7C9AFBA67EA}"/>
    <cellStyle name="40% - Accent2 3 2 2 4 3" xfId="35430" xr:uid="{3709B4A2-05C6-466D-8064-DA557943C70F}"/>
    <cellStyle name="40% - Accent2 3 2 2 5" xfId="10089" xr:uid="{8AFE3855-4881-4169-8FBE-22E8A07ADCC0}"/>
    <cellStyle name="40% - Accent2 3 2 2 6" xfId="26983" xr:uid="{8D579EF1-1AEF-4D9B-9CAF-E9693F146DC8}"/>
    <cellStyle name="40% - Accent2 3 2 3" xfId="1085" xr:uid="{00000000-0005-0000-0000-0000B8040000}"/>
    <cellStyle name="40% - Accent2 3 2 3 2" xfId="3316" xr:uid="{00000000-0005-0000-0000-0000B9040000}"/>
    <cellStyle name="40% - Accent2 3 2 3 2 2" xfId="7538" xr:uid="{00000000-0005-0000-0000-0000BA040000}"/>
    <cellStyle name="40% - Accent2 3 2 3 2 2 2" xfId="25311" xr:uid="{68C6D582-2F7D-4A53-ADAB-29015F25427D}"/>
    <cellStyle name="40% - Accent2 3 2 3 2 2 2 2" xfId="42205" xr:uid="{A2DADE4B-77A1-4D2C-B78D-D881216DB53C}"/>
    <cellStyle name="40% - Accent2 3 2 3 2 2 3" xfId="16864" xr:uid="{8A631805-13D4-4CBA-9990-A6A6A0E6B9DC}"/>
    <cellStyle name="40% - Accent2 3 2 3 2 2 4" xfId="33758" xr:uid="{7502985A-CBB4-4D6F-B741-75EB3615084F}"/>
    <cellStyle name="40% - Accent2 3 2 3 2 3" xfId="21094" xr:uid="{658BA6EB-0E8A-4D33-AD95-F3F86D94FFC2}"/>
    <cellStyle name="40% - Accent2 3 2 3 2 3 2" xfId="37988" xr:uid="{65EE7E8B-3BAD-4D49-A86F-0C83E7B451B7}"/>
    <cellStyle name="40% - Accent2 3 2 3 2 4" xfId="12647" xr:uid="{48DCE933-1A0F-464B-A3AF-C83DD4FE941C}"/>
    <cellStyle name="40% - Accent2 3 2 3 2 5" xfId="29541" xr:uid="{E0433663-5141-4ABC-B75A-6BEE00037220}"/>
    <cellStyle name="40% - Accent2 3 2 3 3" xfId="5393" xr:uid="{00000000-0005-0000-0000-0000BB040000}"/>
    <cellStyle name="40% - Accent2 3 2 3 3 2" xfId="23166" xr:uid="{8A5B1E2D-0D67-4931-A930-7ECCC1EF9641}"/>
    <cellStyle name="40% - Accent2 3 2 3 3 2 2" xfId="40060" xr:uid="{F2002490-DFDA-4F78-906E-96FE5AFF2FA1}"/>
    <cellStyle name="40% - Accent2 3 2 3 3 3" xfId="14719" xr:uid="{F45A8EF5-6CDC-435D-A642-E82DA55B67FC}"/>
    <cellStyle name="40% - Accent2 3 2 3 3 4" xfId="31613" xr:uid="{9A0C65D4-6DB3-4E4A-ACEC-E75D29F17A02}"/>
    <cellStyle name="40% - Accent2 3 2 3 4" xfId="18949" xr:uid="{208878C9-DA89-4DAE-B8C5-7C355E3DFFD9}"/>
    <cellStyle name="40% - Accent2 3 2 3 4 2" xfId="35843" xr:uid="{26AE1779-3E6E-4BF5-B4F7-1DC1BA75FFBC}"/>
    <cellStyle name="40% - Accent2 3 2 3 5" xfId="10502" xr:uid="{28398784-D812-4E55-8ECE-1BAAC8942CA7}"/>
    <cellStyle name="40% - Accent2 3 2 3 6" xfId="27396" xr:uid="{0286D0A6-CD30-4BCE-ABE9-F2287FE654D6}"/>
    <cellStyle name="40% - Accent2 3 2 4" xfId="1499" xr:uid="{00000000-0005-0000-0000-0000BC040000}"/>
    <cellStyle name="40% - Accent2 3 2 4 2" xfId="3729" xr:uid="{00000000-0005-0000-0000-0000BD040000}"/>
    <cellStyle name="40% - Accent2 3 2 4 2 2" xfId="7951" xr:uid="{00000000-0005-0000-0000-0000BE040000}"/>
    <cellStyle name="40% - Accent2 3 2 4 2 2 2" xfId="25724" xr:uid="{97ED5B67-9C7C-457C-AB50-1374E87B03B7}"/>
    <cellStyle name="40% - Accent2 3 2 4 2 2 2 2" xfId="42618" xr:uid="{C55475EE-7A4E-47B2-AB0D-9F19E9F10D85}"/>
    <cellStyle name="40% - Accent2 3 2 4 2 2 3" xfId="17277" xr:uid="{63588C15-1135-43A0-8631-AF1BE35587F0}"/>
    <cellStyle name="40% - Accent2 3 2 4 2 2 4" xfId="34171" xr:uid="{089E16B6-C4C2-4DD9-98AF-CAA446E069DC}"/>
    <cellStyle name="40% - Accent2 3 2 4 2 3" xfId="21507" xr:uid="{E2DB6506-98C8-4CBA-8C9C-81C4DF0D1575}"/>
    <cellStyle name="40% - Accent2 3 2 4 2 3 2" xfId="38401" xr:uid="{8FC87EEE-6B87-4F1E-836F-7A275A213512}"/>
    <cellStyle name="40% - Accent2 3 2 4 2 4" xfId="13060" xr:uid="{F86F28BD-B772-44A3-A647-F136A67F0659}"/>
    <cellStyle name="40% - Accent2 3 2 4 2 5" xfId="29954" xr:uid="{19122835-239E-4C78-8817-2145FD864626}"/>
    <cellStyle name="40% - Accent2 3 2 4 3" xfId="5806" xr:uid="{00000000-0005-0000-0000-0000BF040000}"/>
    <cellStyle name="40% - Accent2 3 2 4 3 2" xfId="23579" xr:uid="{AA317CAC-5574-4CF3-B9DF-C4D3569A9C13}"/>
    <cellStyle name="40% - Accent2 3 2 4 3 2 2" xfId="40473" xr:uid="{5C099CD8-A36D-4D74-BA0E-CBCDBE4AF124}"/>
    <cellStyle name="40% - Accent2 3 2 4 3 3" xfId="15132" xr:uid="{40AFB2F5-18D2-4854-ABD2-5765C8D1C6E8}"/>
    <cellStyle name="40% - Accent2 3 2 4 3 4" xfId="32026" xr:uid="{BA5D6627-5684-43E5-9DF7-CAE4254001E0}"/>
    <cellStyle name="40% - Accent2 3 2 4 4" xfId="19362" xr:uid="{8766D757-E48D-4F45-971B-1BF84C7F90C0}"/>
    <cellStyle name="40% - Accent2 3 2 4 4 2" xfId="36256" xr:uid="{F8DD91F5-74AE-457E-BD9A-8627C148B80F}"/>
    <cellStyle name="40% - Accent2 3 2 4 5" xfId="10915" xr:uid="{A0A8FB14-FCEB-42BD-8BA9-557727E01C28}"/>
    <cellStyle name="40% - Accent2 3 2 4 6" xfId="27809" xr:uid="{31FEB939-E675-47E3-B6AE-286031568CD2}"/>
    <cellStyle name="40% - Accent2 3 2 5" xfId="1913" xr:uid="{00000000-0005-0000-0000-0000C0040000}"/>
    <cellStyle name="40% - Accent2 3 2 5 2" xfId="4142" xr:uid="{00000000-0005-0000-0000-0000C1040000}"/>
    <cellStyle name="40% - Accent2 3 2 5 2 2" xfId="8364" xr:uid="{00000000-0005-0000-0000-0000C2040000}"/>
    <cellStyle name="40% - Accent2 3 2 5 2 2 2" xfId="26137" xr:uid="{67581A74-57FC-4115-9CF8-3B5FDF4ECF41}"/>
    <cellStyle name="40% - Accent2 3 2 5 2 2 2 2" xfId="43031" xr:uid="{FF9E2800-C300-4EC8-8CFB-E6ADCFBC5A1A}"/>
    <cellStyle name="40% - Accent2 3 2 5 2 2 3" xfId="17690" xr:uid="{C76E1D95-326E-45E2-B317-A73F4DC672D6}"/>
    <cellStyle name="40% - Accent2 3 2 5 2 2 4" xfId="34584" xr:uid="{CF92056B-28C6-4ABC-8903-0D75F05FDC09}"/>
    <cellStyle name="40% - Accent2 3 2 5 2 3" xfId="21920" xr:uid="{B28A30D5-0A14-4640-825E-062CFC6538CD}"/>
    <cellStyle name="40% - Accent2 3 2 5 2 3 2" xfId="38814" xr:uid="{B3C4DF4C-BCFE-4A42-8024-BDF4CD1B8A0C}"/>
    <cellStyle name="40% - Accent2 3 2 5 2 4" xfId="13473" xr:uid="{0E8F5EFA-F498-4066-AEE1-1118C2BC8BED}"/>
    <cellStyle name="40% - Accent2 3 2 5 2 5" xfId="30367" xr:uid="{8D832C34-C280-42FE-9F79-C855767F0420}"/>
    <cellStyle name="40% - Accent2 3 2 5 3" xfId="6219" xr:uid="{00000000-0005-0000-0000-0000C3040000}"/>
    <cellStyle name="40% - Accent2 3 2 5 3 2" xfId="23992" xr:uid="{CE5C50BC-434E-4716-A2D7-628465F2AC5D}"/>
    <cellStyle name="40% - Accent2 3 2 5 3 2 2" xfId="40886" xr:uid="{E53994F3-9D97-4AE0-9009-A87F9F9D9F15}"/>
    <cellStyle name="40% - Accent2 3 2 5 3 3" xfId="15545" xr:uid="{B730A76B-A0B0-47E2-95FF-B11CD4D6B407}"/>
    <cellStyle name="40% - Accent2 3 2 5 3 4" xfId="32439" xr:uid="{E64EC28F-EE5E-46FD-964B-E323536355C1}"/>
    <cellStyle name="40% - Accent2 3 2 5 4" xfId="19775" xr:uid="{0ED445FB-AB9C-41D8-87AB-D1120DC1C64A}"/>
    <cellStyle name="40% - Accent2 3 2 5 4 2" xfId="36669" xr:uid="{07E9820A-ACF4-436A-9EE3-28FB1F8344A3}"/>
    <cellStyle name="40% - Accent2 3 2 5 5" xfId="11328" xr:uid="{C6B7E5B2-994B-4056-ADD1-5AFBAF5C867F}"/>
    <cellStyle name="40% - Accent2 3 2 5 6" xfId="28222" xr:uid="{D8F8F41E-D00B-41A2-8D7F-175CE6DF3E54}"/>
    <cellStyle name="40% - Accent2 3 2 6" xfId="2326" xr:uid="{00000000-0005-0000-0000-0000C4040000}"/>
    <cellStyle name="40% - Accent2 3 2 6 2" xfId="6632" xr:uid="{00000000-0005-0000-0000-0000C5040000}"/>
    <cellStyle name="40% - Accent2 3 2 6 2 2" xfId="24405" xr:uid="{707E78EF-605C-4D7C-BF7D-D6FDE090A351}"/>
    <cellStyle name="40% - Accent2 3 2 6 2 2 2" xfId="41299" xr:uid="{E577EEF8-DCD1-467D-BBFA-F5F95C641A31}"/>
    <cellStyle name="40% - Accent2 3 2 6 2 3" xfId="15958" xr:uid="{3CA86BC5-313B-4409-B69C-46F71D2B8D8C}"/>
    <cellStyle name="40% - Accent2 3 2 6 2 4" xfId="32852" xr:uid="{189108B0-A24B-4F0C-8B48-EFC5675B4BBB}"/>
    <cellStyle name="40% - Accent2 3 2 6 3" xfId="20188" xr:uid="{11C14526-326A-4E6A-B161-9C65AA60EF26}"/>
    <cellStyle name="40% - Accent2 3 2 6 3 2" xfId="37082" xr:uid="{99471D86-1531-422B-957B-2F1AE0E7D71B}"/>
    <cellStyle name="40% - Accent2 3 2 6 4" xfId="11741" xr:uid="{15219912-E31E-4D81-A3BC-66D1B5E9C8EA}"/>
    <cellStyle name="40% - Accent2 3 2 6 5" xfId="28635" xr:uid="{6FC0B800-E7AF-4126-94BC-7D637F6E55F3}"/>
    <cellStyle name="40% - Accent2 3 2 7" xfId="4566" xr:uid="{00000000-0005-0000-0000-0000C6040000}"/>
    <cellStyle name="40% - Accent2 3 2 7 2" xfId="22339" xr:uid="{5284D843-3F30-4278-9808-5443E0850A3B}"/>
    <cellStyle name="40% - Accent2 3 2 7 2 2" xfId="39233" xr:uid="{A8C1E44F-FFDF-4AA7-956D-7B9CD55FC529}"/>
    <cellStyle name="40% - Accent2 3 2 7 3" xfId="13892" xr:uid="{284D00B8-B226-421F-979E-3C30996E21C6}"/>
    <cellStyle name="40% - Accent2 3 2 7 4" xfId="30786" xr:uid="{7333A4AC-AF9B-4002-A1AF-43B17CAB3F0D}"/>
    <cellStyle name="40% - Accent2 3 2 8" xfId="9071" xr:uid="{B5463F05-11FC-4377-B380-DDB549C63AA9}"/>
    <cellStyle name="40% - Accent2 3 2 8 2" xfId="18122" xr:uid="{3208085F-B142-4EE1-A0C9-F34EDFF76A5B}"/>
    <cellStyle name="40% - Accent2 3 2 8 3" xfId="35016" xr:uid="{F11D7637-A8C3-4C11-9027-57C4991B5D16}"/>
    <cellStyle name="40% - Accent2 3 2 9" xfId="9675" xr:uid="{61A28FDA-8B06-4C56-B892-CA6C52284281}"/>
    <cellStyle name="40% - Accent2 3 3" xfId="631" xr:uid="{00000000-0005-0000-0000-0000C7040000}"/>
    <cellStyle name="40% - Accent2 3 3 2" xfId="2902" xr:uid="{00000000-0005-0000-0000-0000C8040000}"/>
    <cellStyle name="40% - Accent2 3 3 2 2" xfId="7124" xr:uid="{00000000-0005-0000-0000-0000C9040000}"/>
    <cellStyle name="40% - Accent2 3 3 2 2 2" xfId="24897" xr:uid="{1D3797AE-D746-44D5-8A61-6CFB88B3C28C}"/>
    <cellStyle name="40% - Accent2 3 3 2 2 2 2" xfId="41791" xr:uid="{14011DC4-0BB5-485D-BDBC-63395476EDC7}"/>
    <cellStyle name="40% - Accent2 3 3 2 2 3" xfId="16450" xr:uid="{28BA55AB-C86F-4DC7-AC0F-AE0F9F365430}"/>
    <cellStyle name="40% - Accent2 3 3 2 2 4" xfId="33344" xr:uid="{EF04B4C7-E664-4783-812B-D1C6E1605B02}"/>
    <cellStyle name="40% - Accent2 3 3 2 3" xfId="20680" xr:uid="{FD0099AE-872E-4E90-B8FE-59B9332A857D}"/>
    <cellStyle name="40% - Accent2 3 3 2 3 2" xfId="37574" xr:uid="{1685664C-85E8-4FAE-9E0C-8E0931DC411B}"/>
    <cellStyle name="40% - Accent2 3 3 2 4" xfId="12233" xr:uid="{BD90ADCB-614A-4ECA-967E-DF5B1BDB24F2}"/>
    <cellStyle name="40% - Accent2 3 3 2 5" xfId="29127" xr:uid="{4019BA98-6B29-4871-B4F7-8EED4995DFCA}"/>
    <cellStyle name="40% - Accent2 3 3 3" xfId="4979" xr:uid="{00000000-0005-0000-0000-0000CA040000}"/>
    <cellStyle name="40% - Accent2 3 3 3 2" xfId="22752" xr:uid="{19E5BAA4-EF02-49BC-8059-4FF9CA67F760}"/>
    <cellStyle name="40% - Accent2 3 3 3 2 2" xfId="39646" xr:uid="{EF06CB25-B6AC-4E7A-8185-F6B62C2774FF}"/>
    <cellStyle name="40% - Accent2 3 3 3 3" xfId="14305" xr:uid="{A751340C-D35C-451F-A026-42E9A6347CF8}"/>
    <cellStyle name="40% - Accent2 3 3 3 4" xfId="31199" xr:uid="{78232942-90DD-4758-B001-879196910837}"/>
    <cellStyle name="40% - Accent2 3 3 4" xfId="9289" xr:uid="{B234EB9F-4AFE-41A2-A17D-ABC1D0F80875}"/>
    <cellStyle name="40% - Accent2 3 3 4 2" xfId="18535" xr:uid="{5EB1C20B-7562-4D42-85A4-08E82629C29D}"/>
    <cellStyle name="40% - Accent2 3 3 4 3" xfId="35429" xr:uid="{7B79DA77-FD30-4B96-85A6-0557C83E76EE}"/>
    <cellStyle name="40% - Accent2 3 3 5" xfId="10088" xr:uid="{85572AEE-E6D6-4B5E-93C8-37E0FB17817D}"/>
    <cellStyle name="40% - Accent2 3 3 6" xfId="26982" xr:uid="{B3EE33FB-723B-4961-BECB-52B25F3AE334}"/>
    <cellStyle name="40% - Accent2 3 4" xfId="1084" xr:uid="{00000000-0005-0000-0000-0000CB040000}"/>
    <cellStyle name="40% - Accent2 3 4 2" xfId="3315" xr:uid="{00000000-0005-0000-0000-0000CC040000}"/>
    <cellStyle name="40% - Accent2 3 4 2 2" xfId="7537" xr:uid="{00000000-0005-0000-0000-0000CD040000}"/>
    <cellStyle name="40% - Accent2 3 4 2 2 2" xfId="25310" xr:uid="{1753C30A-BC7A-4046-8EC9-92B3914ACC96}"/>
    <cellStyle name="40% - Accent2 3 4 2 2 2 2" xfId="42204" xr:uid="{0AC87FC1-390A-456D-A4DA-00BDAAECF338}"/>
    <cellStyle name="40% - Accent2 3 4 2 2 3" xfId="16863" xr:uid="{02AD89B9-774D-485F-BCB7-FF6654CEF044}"/>
    <cellStyle name="40% - Accent2 3 4 2 2 4" xfId="33757" xr:uid="{89EE1101-BD82-4417-8F54-761C8FDBA503}"/>
    <cellStyle name="40% - Accent2 3 4 2 3" xfId="21093" xr:uid="{4955D726-FD0F-458A-843D-22248B70BA20}"/>
    <cellStyle name="40% - Accent2 3 4 2 3 2" xfId="37987" xr:uid="{CCBAD207-B4E2-4CC3-9FA2-5233B8F8FFC5}"/>
    <cellStyle name="40% - Accent2 3 4 2 4" xfId="12646" xr:uid="{2544F9E9-13E8-4AD6-9F72-6CC5C9540631}"/>
    <cellStyle name="40% - Accent2 3 4 2 5" xfId="29540" xr:uid="{21D97B70-59AF-45EF-B32C-DC1E147747A6}"/>
    <cellStyle name="40% - Accent2 3 4 3" xfId="5392" xr:uid="{00000000-0005-0000-0000-0000CE040000}"/>
    <cellStyle name="40% - Accent2 3 4 3 2" xfId="23165" xr:uid="{8649DB37-0ABF-424C-8DF7-04F8BF5754F7}"/>
    <cellStyle name="40% - Accent2 3 4 3 2 2" xfId="40059" xr:uid="{D08E10FB-5432-41BB-A19D-BE6CC65D9FCA}"/>
    <cellStyle name="40% - Accent2 3 4 3 3" xfId="14718" xr:uid="{43CC2800-E30B-4018-852A-B5FB180A3BCF}"/>
    <cellStyle name="40% - Accent2 3 4 3 4" xfId="31612" xr:uid="{2F1BFADF-1F41-40C6-AE20-A98C4806C02E}"/>
    <cellStyle name="40% - Accent2 3 4 4" xfId="18948" xr:uid="{EBD73269-0FC1-40F6-92F0-583A0DC87B30}"/>
    <cellStyle name="40% - Accent2 3 4 4 2" xfId="35842" xr:uid="{138E12AD-A8DB-4B06-B157-C99C8E490B55}"/>
    <cellStyle name="40% - Accent2 3 4 5" xfId="10501" xr:uid="{0DFF29F9-F6C1-4105-9CBA-89CF8EB0CC76}"/>
    <cellStyle name="40% - Accent2 3 4 6" xfId="27395" xr:uid="{B21065B0-DB3C-47E5-9330-EA0742C0EA19}"/>
    <cellStyle name="40% - Accent2 3 5" xfId="1498" xr:uid="{00000000-0005-0000-0000-0000CF040000}"/>
    <cellStyle name="40% - Accent2 3 5 2" xfId="3728" xr:uid="{00000000-0005-0000-0000-0000D0040000}"/>
    <cellStyle name="40% - Accent2 3 5 2 2" xfId="7950" xr:uid="{00000000-0005-0000-0000-0000D1040000}"/>
    <cellStyle name="40% - Accent2 3 5 2 2 2" xfId="25723" xr:uid="{882A1332-A4BC-44E6-8262-07850407FA71}"/>
    <cellStyle name="40% - Accent2 3 5 2 2 2 2" xfId="42617" xr:uid="{3353C7AC-D4B4-4362-987A-70A4868C21DA}"/>
    <cellStyle name="40% - Accent2 3 5 2 2 3" xfId="17276" xr:uid="{6EE5BCAB-2B33-4469-A9B5-0BC631111FA8}"/>
    <cellStyle name="40% - Accent2 3 5 2 2 4" xfId="34170" xr:uid="{8692D4DA-C878-4464-BE1C-A8C00AD71FF7}"/>
    <cellStyle name="40% - Accent2 3 5 2 3" xfId="21506" xr:uid="{ADB106E9-E7B2-4101-9721-7A538433B974}"/>
    <cellStyle name="40% - Accent2 3 5 2 3 2" xfId="38400" xr:uid="{EA48B6DC-8CDD-4A49-B340-F83CB9472FC2}"/>
    <cellStyle name="40% - Accent2 3 5 2 4" xfId="13059" xr:uid="{1809398A-F0B0-4B6D-AA6E-FD999D2E551E}"/>
    <cellStyle name="40% - Accent2 3 5 2 5" xfId="29953" xr:uid="{7ADF1F45-662E-4A95-B305-7A48FDE4FA24}"/>
    <cellStyle name="40% - Accent2 3 5 3" xfId="5805" xr:uid="{00000000-0005-0000-0000-0000D2040000}"/>
    <cellStyle name="40% - Accent2 3 5 3 2" xfId="23578" xr:uid="{09E30C22-3A79-4988-9F30-4F85B8AFEBA2}"/>
    <cellStyle name="40% - Accent2 3 5 3 2 2" xfId="40472" xr:uid="{C72D1C3B-44D6-4C39-A1BB-F193610F0ECC}"/>
    <cellStyle name="40% - Accent2 3 5 3 3" xfId="15131" xr:uid="{B5D81943-E462-4BEC-BA3C-B961A5E0E462}"/>
    <cellStyle name="40% - Accent2 3 5 3 4" xfId="32025" xr:uid="{3D67EE14-D136-45DD-B3DE-F89E193423E3}"/>
    <cellStyle name="40% - Accent2 3 5 4" xfId="19361" xr:uid="{B2786144-B213-4D0A-9330-1AE9E5AA8A5C}"/>
    <cellStyle name="40% - Accent2 3 5 4 2" xfId="36255" xr:uid="{C484CC5F-5934-4E1A-95EA-66ABDADFEA72}"/>
    <cellStyle name="40% - Accent2 3 5 5" xfId="10914" xr:uid="{2455E02B-ACDF-4623-A2FB-0AD11B95514C}"/>
    <cellStyle name="40% - Accent2 3 5 6" xfId="27808" xr:uid="{F63C9882-D4A6-4DF6-89CA-C4203601B39E}"/>
    <cellStyle name="40% - Accent2 3 6" xfId="1912" xr:uid="{00000000-0005-0000-0000-0000D3040000}"/>
    <cellStyle name="40% - Accent2 3 6 2" xfId="4141" xr:uid="{00000000-0005-0000-0000-0000D4040000}"/>
    <cellStyle name="40% - Accent2 3 6 2 2" xfId="8363" xr:uid="{00000000-0005-0000-0000-0000D5040000}"/>
    <cellStyle name="40% - Accent2 3 6 2 2 2" xfId="26136" xr:uid="{FC2309EA-FC27-4BB0-8360-B3516DB0ACE6}"/>
    <cellStyle name="40% - Accent2 3 6 2 2 2 2" xfId="43030" xr:uid="{F6F8EFFD-326A-44DB-939C-537878DF88AF}"/>
    <cellStyle name="40% - Accent2 3 6 2 2 3" xfId="17689" xr:uid="{BE1494CF-6816-4647-9471-ABF951C85C58}"/>
    <cellStyle name="40% - Accent2 3 6 2 2 4" xfId="34583" xr:uid="{714CB133-C854-4565-801E-B45EF0A41F95}"/>
    <cellStyle name="40% - Accent2 3 6 2 3" xfId="21919" xr:uid="{009AB832-0A06-47B4-892C-3A247C4E7BE3}"/>
    <cellStyle name="40% - Accent2 3 6 2 3 2" xfId="38813" xr:uid="{3B2A86E6-B00B-4A25-A841-19CCB4EC673A}"/>
    <cellStyle name="40% - Accent2 3 6 2 4" xfId="13472" xr:uid="{BB89EF1E-C752-429F-9E18-801892A10137}"/>
    <cellStyle name="40% - Accent2 3 6 2 5" xfId="30366" xr:uid="{96880C23-DA07-4C1F-BD73-A98C17B51A2E}"/>
    <cellStyle name="40% - Accent2 3 6 3" xfId="6218" xr:uid="{00000000-0005-0000-0000-0000D6040000}"/>
    <cellStyle name="40% - Accent2 3 6 3 2" xfId="23991" xr:uid="{5787199E-AE0C-4BF7-9B6F-2B453123F9B9}"/>
    <cellStyle name="40% - Accent2 3 6 3 2 2" xfId="40885" xr:uid="{58E81292-93A4-4619-BFE4-22C0187F860E}"/>
    <cellStyle name="40% - Accent2 3 6 3 3" xfId="15544" xr:uid="{B41D0E94-4E78-4B85-8618-3063E5A91DFF}"/>
    <cellStyle name="40% - Accent2 3 6 3 4" xfId="32438" xr:uid="{0D66601A-8780-4AF7-A7BD-6A852656960C}"/>
    <cellStyle name="40% - Accent2 3 6 4" xfId="19774" xr:uid="{B215530C-80BF-4060-A4BA-36A8D1A43192}"/>
    <cellStyle name="40% - Accent2 3 6 4 2" xfId="36668" xr:uid="{1B05C2FF-EA54-4640-8D8D-2F422D0FCFCC}"/>
    <cellStyle name="40% - Accent2 3 6 5" xfId="11327" xr:uid="{CD1D8850-CED7-4742-AE39-C6D2C7A6B7BB}"/>
    <cellStyle name="40% - Accent2 3 6 6" xfId="28221" xr:uid="{F136EA0B-9120-4AB2-B9F6-097AF44BC117}"/>
    <cellStyle name="40% - Accent2 3 7" xfId="2325" xr:uid="{00000000-0005-0000-0000-0000D7040000}"/>
    <cellStyle name="40% - Accent2 3 7 2" xfId="6631" xr:uid="{00000000-0005-0000-0000-0000D8040000}"/>
    <cellStyle name="40% - Accent2 3 7 2 2" xfId="24404" xr:uid="{5D8E79E5-1876-4FA3-A483-BF6FCBCAD024}"/>
    <cellStyle name="40% - Accent2 3 7 2 2 2" xfId="41298" xr:uid="{F526BDDA-1D8B-4100-9DD6-F6B004F251D3}"/>
    <cellStyle name="40% - Accent2 3 7 2 3" xfId="15957" xr:uid="{F902AA23-3944-413A-968A-1191F3B67186}"/>
    <cellStyle name="40% - Accent2 3 7 2 4" xfId="32851" xr:uid="{95040EC4-0362-43A4-8811-68B3CFEC2964}"/>
    <cellStyle name="40% - Accent2 3 7 3" xfId="20187" xr:uid="{B1D5AD37-DCA1-4A75-B32B-7DF6A54C813E}"/>
    <cellStyle name="40% - Accent2 3 7 3 2" xfId="37081" xr:uid="{4E8CDEED-E7C3-4F3E-94E1-82FB8AFB2950}"/>
    <cellStyle name="40% - Accent2 3 7 4" xfId="11740" xr:uid="{CBA39995-EC93-494C-A4A7-3904A2451A74}"/>
    <cellStyle name="40% - Accent2 3 7 5" xfId="28634" xr:uid="{23994AA4-CAF0-47A5-8D40-187EF2AC36E6}"/>
    <cellStyle name="40% - Accent2 3 8" xfId="4565" xr:uid="{00000000-0005-0000-0000-0000D9040000}"/>
    <cellStyle name="40% - Accent2 3 8 2" xfId="22338" xr:uid="{FB2C9C20-BA9C-4599-A12B-BCE34581C25A}"/>
    <cellStyle name="40% - Accent2 3 8 2 2" xfId="39232" xr:uid="{F5B72A61-B6C6-471D-ADB6-9F56CFEB7086}"/>
    <cellStyle name="40% - Accent2 3 8 3" xfId="13891" xr:uid="{A1BAD224-6550-4B26-B4A0-6F736A268D16}"/>
    <cellStyle name="40% - Accent2 3 8 4" xfId="30785" xr:uid="{9FAC2A43-F720-4E96-B551-95FCDB373BA0}"/>
    <cellStyle name="40% - Accent2 3 9" xfId="8864" xr:uid="{311EF031-8CA9-4ACC-8705-6D408E1B50DB}"/>
    <cellStyle name="40% - Accent2 3 9 2" xfId="18121" xr:uid="{BEC19AFD-E9F1-4327-9EB2-97F775B3EB0E}"/>
    <cellStyle name="40% - Accent2 3 9 3" xfId="35015" xr:uid="{96C989A2-1082-4571-B9E8-CC35803B0445}"/>
    <cellStyle name="40% - Accent2 4" xfId="64" xr:uid="{00000000-0005-0000-0000-0000DA040000}"/>
    <cellStyle name="40% - Accent2 4 10" xfId="26570" xr:uid="{FAB55AB5-C336-4892-B9A4-E8D3545ED2F0}"/>
    <cellStyle name="40% - Accent2 4 2" xfId="633" xr:uid="{00000000-0005-0000-0000-0000DB040000}"/>
    <cellStyle name="40% - Accent2 4 2 2" xfId="2904" xr:uid="{00000000-0005-0000-0000-0000DC040000}"/>
    <cellStyle name="40% - Accent2 4 2 2 2" xfId="7126" xr:uid="{00000000-0005-0000-0000-0000DD040000}"/>
    <cellStyle name="40% - Accent2 4 2 2 2 2" xfId="24899" xr:uid="{085298B2-8225-4D7A-83F5-80E0EAD62D49}"/>
    <cellStyle name="40% - Accent2 4 2 2 2 2 2" xfId="41793" xr:uid="{58D33C06-4FEA-4554-BB4B-A3824319C899}"/>
    <cellStyle name="40% - Accent2 4 2 2 2 3" xfId="16452" xr:uid="{2F208474-46AC-4F02-AF27-A0157AD0CD8B}"/>
    <cellStyle name="40% - Accent2 4 2 2 2 4" xfId="33346" xr:uid="{B77BB360-42FD-4EC4-9FA8-06F4522E6575}"/>
    <cellStyle name="40% - Accent2 4 2 2 3" xfId="20682" xr:uid="{644E4700-A9C7-4F00-8EDC-2C94ED732B47}"/>
    <cellStyle name="40% - Accent2 4 2 2 3 2" xfId="37576" xr:uid="{94333B09-8413-476E-A5AD-313B9BED49A6}"/>
    <cellStyle name="40% - Accent2 4 2 2 4" xfId="12235" xr:uid="{BA2C6CB1-AECA-4F13-9726-4A557D12DE7B}"/>
    <cellStyle name="40% - Accent2 4 2 2 5" xfId="29129" xr:uid="{E2539F7E-53B4-40D0-9360-91EFCE0B2D9C}"/>
    <cellStyle name="40% - Accent2 4 2 3" xfId="4981" xr:uid="{00000000-0005-0000-0000-0000DE040000}"/>
    <cellStyle name="40% - Accent2 4 2 3 2" xfId="22754" xr:uid="{33F39467-0F5A-4D2B-A367-42C95BE45E4A}"/>
    <cellStyle name="40% - Accent2 4 2 3 2 2" xfId="39648" xr:uid="{FFAD7C3D-53C7-4C79-93DC-C30C0B1DE97C}"/>
    <cellStyle name="40% - Accent2 4 2 3 3" xfId="14307" xr:uid="{7ECDBA27-FE74-4E43-B195-CDF35FF25A35}"/>
    <cellStyle name="40% - Accent2 4 2 3 4" xfId="31201" xr:uid="{02F5554D-CE4B-4EC4-822F-747A577918C7}"/>
    <cellStyle name="40% - Accent2 4 2 4" xfId="9375" xr:uid="{E0F8B4F7-419E-40A5-89E1-F3F0DF6ADFF8}"/>
    <cellStyle name="40% - Accent2 4 2 4 2" xfId="18537" xr:uid="{C9555FF3-1A8E-4E19-914D-B723A9D44063}"/>
    <cellStyle name="40% - Accent2 4 2 4 3" xfId="35431" xr:uid="{A8F75C81-12E0-467E-BAC0-D94340018916}"/>
    <cellStyle name="40% - Accent2 4 2 5" xfId="10090" xr:uid="{C43D8C98-2797-47E8-A2F5-194EDCD7280E}"/>
    <cellStyle name="40% - Accent2 4 2 6" xfId="26984" xr:uid="{7791AA63-E013-4012-A035-5657186F4E2C}"/>
    <cellStyle name="40% - Accent2 4 3" xfId="1086" xr:uid="{00000000-0005-0000-0000-0000DF040000}"/>
    <cellStyle name="40% - Accent2 4 3 2" xfId="3317" xr:uid="{00000000-0005-0000-0000-0000E0040000}"/>
    <cellStyle name="40% - Accent2 4 3 2 2" xfId="7539" xr:uid="{00000000-0005-0000-0000-0000E1040000}"/>
    <cellStyle name="40% - Accent2 4 3 2 2 2" xfId="25312" xr:uid="{5C9EDD0E-6F95-4BC7-8C7A-E09E48120517}"/>
    <cellStyle name="40% - Accent2 4 3 2 2 2 2" xfId="42206" xr:uid="{44816DEF-D159-4CC9-AC6D-25062A66BB37}"/>
    <cellStyle name="40% - Accent2 4 3 2 2 3" xfId="16865" xr:uid="{7B9EE32D-2006-416C-A3AE-B518E88BDF12}"/>
    <cellStyle name="40% - Accent2 4 3 2 2 4" xfId="33759" xr:uid="{27F63399-7296-4D57-8496-FE6074099857}"/>
    <cellStyle name="40% - Accent2 4 3 2 3" xfId="21095" xr:uid="{BEAB0037-1F7A-4CCF-9619-F60115581AB6}"/>
    <cellStyle name="40% - Accent2 4 3 2 3 2" xfId="37989" xr:uid="{1E1F0152-9FA1-4923-9EF5-E2C4B51CBB6E}"/>
    <cellStyle name="40% - Accent2 4 3 2 4" xfId="12648" xr:uid="{D0CEB6DF-DC33-4483-BE3B-96CEF0E64EB0}"/>
    <cellStyle name="40% - Accent2 4 3 2 5" xfId="29542" xr:uid="{BEF3CE3D-7D0C-4B1C-83EE-6A08928EBEB3}"/>
    <cellStyle name="40% - Accent2 4 3 3" xfId="5394" xr:uid="{00000000-0005-0000-0000-0000E2040000}"/>
    <cellStyle name="40% - Accent2 4 3 3 2" xfId="23167" xr:uid="{90226DFE-FA69-42D8-9215-19528C4FB905}"/>
    <cellStyle name="40% - Accent2 4 3 3 2 2" xfId="40061" xr:uid="{5B9B5500-32BC-435A-BBDC-39BFC0CE509B}"/>
    <cellStyle name="40% - Accent2 4 3 3 3" xfId="14720" xr:uid="{A2DAD620-04D4-463E-9C83-F621243EEBF7}"/>
    <cellStyle name="40% - Accent2 4 3 3 4" xfId="31614" xr:uid="{4E59D75A-7A9A-4F09-B47D-3C43437E85BE}"/>
    <cellStyle name="40% - Accent2 4 3 4" xfId="18950" xr:uid="{93CA0DD1-8719-4E3F-909C-30D2395F324E}"/>
    <cellStyle name="40% - Accent2 4 3 4 2" xfId="35844" xr:uid="{398AA46C-0C33-4A87-B940-4882FCBCC1F6}"/>
    <cellStyle name="40% - Accent2 4 3 5" xfId="10503" xr:uid="{328DCCCF-6F0D-4AC9-A2D3-ACF1E75FE4C8}"/>
    <cellStyle name="40% - Accent2 4 3 6" xfId="27397" xr:uid="{85E6AB03-271F-4AAB-969E-E6E6A0B25695}"/>
    <cellStyle name="40% - Accent2 4 4" xfId="1500" xr:uid="{00000000-0005-0000-0000-0000E3040000}"/>
    <cellStyle name="40% - Accent2 4 4 2" xfId="3730" xr:uid="{00000000-0005-0000-0000-0000E4040000}"/>
    <cellStyle name="40% - Accent2 4 4 2 2" xfId="7952" xr:uid="{00000000-0005-0000-0000-0000E5040000}"/>
    <cellStyle name="40% - Accent2 4 4 2 2 2" xfId="25725" xr:uid="{853E9238-AD85-4410-AD08-7F2F3778D2D8}"/>
    <cellStyle name="40% - Accent2 4 4 2 2 2 2" xfId="42619" xr:uid="{CF3865F6-1D06-4F5A-9543-16A13C2E4839}"/>
    <cellStyle name="40% - Accent2 4 4 2 2 3" xfId="17278" xr:uid="{CAB57EFD-20BE-4582-A823-0C3BE6B5F810}"/>
    <cellStyle name="40% - Accent2 4 4 2 2 4" xfId="34172" xr:uid="{C382A74F-D002-4EBA-95D4-D37C16B5C418}"/>
    <cellStyle name="40% - Accent2 4 4 2 3" xfId="21508" xr:uid="{5F8D6626-EF72-4599-8BA2-1033ACBEFFFD}"/>
    <cellStyle name="40% - Accent2 4 4 2 3 2" xfId="38402" xr:uid="{758B0CA3-3776-4DE2-AB22-C1EAE5F0FCA3}"/>
    <cellStyle name="40% - Accent2 4 4 2 4" xfId="13061" xr:uid="{A9D5431B-1482-4463-9038-9DC79AF0FCF8}"/>
    <cellStyle name="40% - Accent2 4 4 2 5" xfId="29955" xr:uid="{B3E682EA-703C-4B14-B962-A616094DEA0F}"/>
    <cellStyle name="40% - Accent2 4 4 3" xfId="5807" xr:uid="{00000000-0005-0000-0000-0000E6040000}"/>
    <cellStyle name="40% - Accent2 4 4 3 2" xfId="23580" xr:uid="{74116586-A34C-44D7-A156-981B839FB6BB}"/>
    <cellStyle name="40% - Accent2 4 4 3 2 2" xfId="40474" xr:uid="{06105A63-AAC3-430D-BF04-FD2ADE7C7572}"/>
    <cellStyle name="40% - Accent2 4 4 3 3" xfId="15133" xr:uid="{42AF9186-CD13-48B0-94A9-786989DA6075}"/>
    <cellStyle name="40% - Accent2 4 4 3 4" xfId="32027" xr:uid="{CEB95538-975E-4E9F-A8B1-248C84992E9B}"/>
    <cellStyle name="40% - Accent2 4 4 4" xfId="19363" xr:uid="{9F453B93-388B-49F1-A29A-66CC40FCEED2}"/>
    <cellStyle name="40% - Accent2 4 4 4 2" xfId="36257" xr:uid="{A791550C-3BD3-4451-A44B-2FF487B144F0}"/>
    <cellStyle name="40% - Accent2 4 4 5" xfId="10916" xr:uid="{2F274482-AB91-48EE-BEDC-22EB2CAAB41A}"/>
    <cellStyle name="40% - Accent2 4 4 6" xfId="27810" xr:uid="{72F0F5F0-EC0F-4356-A068-6C6AB002803A}"/>
    <cellStyle name="40% - Accent2 4 5" xfId="1914" xr:uid="{00000000-0005-0000-0000-0000E7040000}"/>
    <cellStyle name="40% - Accent2 4 5 2" xfId="4143" xr:uid="{00000000-0005-0000-0000-0000E8040000}"/>
    <cellStyle name="40% - Accent2 4 5 2 2" xfId="8365" xr:uid="{00000000-0005-0000-0000-0000E9040000}"/>
    <cellStyle name="40% - Accent2 4 5 2 2 2" xfId="26138" xr:uid="{2F6B5D1C-306C-424C-82E0-0CFA3B911824}"/>
    <cellStyle name="40% - Accent2 4 5 2 2 2 2" xfId="43032" xr:uid="{BBA80B1E-FDC5-4186-8A2C-18991DA80169}"/>
    <cellStyle name="40% - Accent2 4 5 2 2 3" xfId="17691" xr:uid="{8C8E0CA9-71B8-488E-A720-37FA0532D318}"/>
    <cellStyle name="40% - Accent2 4 5 2 2 4" xfId="34585" xr:uid="{0CA9F3B4-0191-4FA8-98EB-37BEF19DAA28}"/>
    <cellStyle name="40% - Accent2 4 5 2 3" xfId="21921" xr:uid="{26ED45C1-0086-440F-A18F-5410ACC2EE30}"/>
    <cellStyle name="40% - Accent2 4 5 2 3 2" xfId="38815" xr:uid="{61852E54-BF19-41D2-A86A-5E55D7111CAA}"/>
    <cellStyle name="40% - Accent2 4 5 2 4" xfId="13474" xr:uid="{E58DBBD2-16D3-4119-9BF4-3F4F2782221C}"/>
    <cellStyle name="40% - Accent2 4 5 2 5" xfId="30368" xr:uid="{3AE28D1D-6896-4C1C-95B9-D366BC56143E}"/>
    <cellStyle name="40% - Accent2 4 5 3" xfId="6220" xr:uid="{00000000-0005-0000-0000-0000EA040000}"/>
    <cellStyle name="40% - Accent2 4 5 3 2" xfId="23993" xr:uid="{43866DFD-0C47-462F-B4E6-CD4FA09BAE00}"/>
    <cellStyle name="40% - Accent2 4 5 3 2 2" xfId="40887" xr:uid="{762C178F-B4CA-4BDA-A6C1-DF59CAD0650F}"/>
    <cellStyle name="40% - Accent2 4 5 3 3" xfId="15546" xr:uid="{1325E272-A6B4-46E4-BE8C-A9E5D86D9942}"/>
    <cellStyle name="40% - Accent2 4 5 3 4" xfId="32440" xr:uid="{A9DE6300-F6F9-4EF2-96F7-B3C3A368A432}"/>
    <cellStyle name="40% - Accent2 4 5 4" xfId="19776" xr:uid="{EC25F78C-7101-4CF0-B95E-FA7032ADC2F0}"/>
    <cellStyle name="40% - Accent2 4 5 4 2" xfId="36670" xr:uid="{6C3BB833-CE0E-4448-B331-7DB65032B0D3}"/>
    <cellStyle name="40% - Accent2 4 5 5" xfId="11329" xr:uid="{BC0A1804-1DDC-4D96-B2D3-01AD1E16312F}"/>
    <cellStyle name="40% - Accent2 4 5 6" xfId="28223" xr:uid="{10DE9368-F6A2-4A01-9397-165FA03371F2}"/>
    <cellStyle name="40% - Accent2 4 6" xfId="2327" xr:uid="{00000000-0005-0000-0000-0000EB040000}"/>
    <cellStyle name="40% - Accent2 4 6 2" xfId="6633" xr:uid="{00000000-0005-0000-0000-0000EC040000}"/>
    <cellStyle name="40% - Accent2 4 6 2 2" xfId="24406" xr:uid="{3F692517-51FE-4146-B376-12818E9F2164}"/>
    <cellStyle name="40% - Accent2 4 6 2 2 2" xfId="41300" xr:uid="{44934CA2-3568-42C7-9584-403E32A017F7}"/>
    <cellStyle name="40% - Accent2 4 6 2 3" xfId="15959" xr:uid="{CD792E18-5A2E-4B36-A39B-50CCF41DD46F}"/>
    <cellStyle name="40% - Accent2 4 6 2 4" xfId="32853" xr:uid="{EC07D4A2-0354-4CE1-BBD5-C655436E61BA}"/>
    <cellStyle name="40% - Accent2 4 6 3" xfId="20189" xr:uid="{5B26F6E9-0E97-42E1-B53E-671648599F34}"/>
    <cellStyle name="40% - Accent2 4 6 3 2" xfId="37083" xr:uid="{8FA9AABE-CAB7-4BEE-A2C4-89966015B90C}"/>
    <cellStyle name="40% - Accent2 4 6 4" xfId="11742" xr:uid="{7B0E59A1-B99C-472C-BF2E-044A62CFFCC2}"/>
    <cellStyle name="40% - Accent2 4 6 5" xfId="28636" xr:uid="{00ECA1EC-F775-4FD6-96CB-229AD56BB83A}"/>
    <cellStyle name="40% - Accent2 4 7" xfId="4567" xr:uid="{00000000-0005-0000-0000-0000ED040000}"/>
    <cellStyle name="40% - Accent2 4 7 2" xfId="22340" xr:uid="{C402EBFB-2642-48F5-988F-B6077BB5F317}"/>
    <cellStyle name="40% - Accent2 4 7 2 2" xfId="39234" xr:uid="{384D8C1A-9891-48F0-98DD-DB794E8A5A0C}"/>
    <cellStyle name="40% - Accent2 4 7 3" xfId="13893" xr:uid="{46FB74D6-0367-4F7E-8C37-71CD9F3A9AC5}"/>
    <cellStyle name="40% - Accent2 4 7 4" xfId="30787" xr:uid="{F39B6CD3-F160-430B-83E9-931557C3D046}"/>
    <cellStyle name="40% - Accent2 4 8" xfId="8950" xr:uid="{02FCA414-0598-4779-8636-7B176A3552C0}"/>
    <cellStyle name="40% - Accent2 4 8 2" xfId="18123" xr:uid="{6FC3852C-DF3A-4F22-87BF-946365333BDD}"/>
    <cellStyle name="40% - Accent2 4 8 3" xfId="35017" xr:uid="{DCD5D368-BAD7-41B5-B2A2-F93793534799}"/>
    <cellStyle name="40% - Accent2 4 9" xfId="9676" xr:uid="{AE0239FA-AA74-4B6B-A11C-63DA21B63756}"/>
    <cellStyle name="40% - Accent2 5" xfId="626" xr:uid="{00000000-0005-0000-0000-0000EE040000}"/>
    <cellStyle name="40% - Accent2 5 2" xfId="2897" xr:uid="{00000000-0005-0000-0000-0000EF040000}"/>
    <cellStyle name="40% - Accent2 5 2 2" xfId="7119" xr:uid="{00000000-0005-0000-0000-0000F0040000}"/>
    <cellStyle name="40% - Accent2 5 2 2 2" xfId="24892" xr:uid="{37509721-C206-49BD-9683-DB92CCDBCE24}"/>
    <cellStyle name="40% - Accent2 5 2 2 2 2" xfId="41786" xr:uid="{31D29072-2139-4473-89E4-64F1BC8EF681}"/>
    <cellStyle name="40% - Accent2 5 2 2 3" xfId="16445" xr:uid="{E610B16B-A498-46E1-BC5E-F2CCA2163F40}"/>
    <cellStyle name="40% - Accent2 5 2 2 4" xfId="33339" xr:uid="{AAF4DB94-38AA-4BE1-BA74-84FB6257033F}"/>
    <cellStyle name="40% - Accent2 5 2 3" xfId="20675" xr:uid="{14E4DE23-EAA6-4888-95C3-9D320B30FD59}"/>
    <cellStyle name="40% - Accent2 5 2 3 2" xfId="37569" xr:uid="{ED65A0CB-B22C-4AF3-B7C5-D2F3A0133933}"/>
    <cellStyle name="40% - Accent2 5 2 4" xfId="12228" xr:uid="{E4601D52-459C-45ED-ACE7-BB4071E1334A}"/>
    <cellStyle name="40% - Accent2 5 2 5" xfId="29122" xr:uid="{2A961259-C373-44D0-B996-7D90A9BE8FE1}"/>
    <cellStyle name="40% - Accent2 5 3" xfId="4974" xr:uid="{00000000-0005-0000-0000-0000F1040000}"/>
    <cellStyle name="40% - Accent2 5 3 2" xfId="22747" xr:uid="{B6670046-C03B-4CB4-8D6F-2631FB1CB174}"/>
    <cellStyle name="40% - Accent2 5 3 2 2" xfId="39641" xr:uid="{C3CFA1DE-C8DE-45BB-AD0C-875DA8646F13}"/>
    <cellStyle name="40% - Accent2 5 3 3" xfId="14300" xr:uid="{297D2A45-9631-4428-A6CB-6BB4F43AC75F}"/>
    <cellStyle name="40% - Accent2 5 3 4" xfId="31194" xr:uid="{7551E039-0751-435A-ABC0-290A24013E5E}"/>
    <cellStyle name="40% - Accent2 5 4" xfId="9183" xr:uid="{071EDB8E-9FD1-4063-BCEF-70B734E5ECF1}"/>
    <cellStyle name="40% - Accent2 5 4 2" xfId="18530" xr:uid="{DE08E644-2A77-40AF-826C-6B970D5FD479}"/>
    <cellStyle name="40% - Accent2 5 4 3" xfId="35424" xr:uid="{C7B4A641-18BB-41AF-B0DF-82697C315016}"/>
    <cellStyle name="40% - Accent2 5 5" xfId="10083" xr:uid="{D450678B-BB77-4977-8568-A0D8433D9907}"/>
    <cellStyle name="40% - Accent2 5 6" xfId="26977" xr:uid="{3052CFFB-F78E-4994-BC97-F4B27DC987B9}"/>
    <cellStyle name="40% - Accent2 6" xfId="1079" xr:uid="{00000000-0005-0000-0000-0000F2040000}"/>
    <cellStyle name="40% - Accent2 6 2" xfId="3310" xr:uid="{00000000-0005-0000-0000-0000F3040000}"/>
    <cellStyle name="40% - Accent2 6 2 2" xfId="7532" xr:uid="{00000000-0005-0000-0000-0000F4040000}"/>
    <cellStyle name="40% - Accent2 6 2 2 2" xfId="25305" xr:uid="{C5EC79BD-98E4-4C0C-9C01-26F51170068B}"/>
    <cellStyle name="40% - Accent2 6 2 2 2 2" xfId="42199" xr:uid="{B6A3C568-5795-4414-8384-3522D05D1B17}"/>
    <cellStyle name="40% - Accent2 6 2 2 3" xfId="16858" xr:uid="{29F93133-32C9-4B39-BD91-474155BE36CA}"/>
    <cellStyle name="40% - Accent2 6 2 2 4" xfId="33752" xr:uid="{86B008CD-FAFF-492D-89C8-0D1E9EBB126D}"/>
    <cellStyle name="40% - Accent2 6 2 3" xfId="21088" xr:uid="{FE22789A-E632-4B6D-B906-F39568A3DC97}"/>
    <cellStyle name="40% - Accent2 6 2 3 2" xfId="37982" xr:uid="{7720D6CE-5A8B-43A1-B6B3-A37A19618CBE}"/>
    <cellStyle name="40% - Accent2 6 2 4" xfId="12641" xr:uid="{9A3A5707-0FD3-4F17-A4AF-CC3680A92AD1}"/>
    <cellStyle name="40% - Accent2 6 2 5" xfId="29535" xr:uid="{3D413620-75D0-4654-84D8-D02E7A5615AF}"/>
    <cellStyle name="40% - Accent2 6 3" xfId="5387" xr:uid="{00000000-0005-0000-0000-0000F5040000}"/>
    <cellStyle name="40% - Accent2 6 3 2" xfId="23160" xr:uid="{EB75534D-CCB8-4290-98B9-F925567C9E4E}"/>
    <cellStyle name="40% - Accent2 6 3 2 2" xfId="40054" xr:uid="{0142B5C6-D325-46FD-BFEF-90E5ECE13A7E}"/>
    <cellStyle name="40% - Accent2 6 3 3" xfId="14713" xr:uid="{303EB912-AA59-456B-AB2F-21F3EF4F94DF}"/>
    <cellStyle name="40% - Accent2 6 3 4" xfId="31607" xr:uid="{A07235DF-5E8B-4A92-8FF2-A70163513C86}"/>
    <cellStyle name="40% - Accent2 6 4" xfId="18943" xr:uid="{9E412B1E-F713-4CBF-8B73-2AD5998C5E53}"/>
    <cellStyle name="40% - Accent2 6 4 2" xfId="35837" xr:uid="{D4390895-8166-41FD-81E8-56D7F41D846F}"/>
    <cellStyle name="40% - Accent2 6 5" xfId="10496" xr:uid="{CB0C717E-471E-489C-85E4-83E9A946C92A}"/>
    <cellStyle name="40% - Accent2 6 6" xfId="27390" xr:uid="{B4658542-1D25-40EF-A0B6-7485CCCD37E7}"/>
    <cellStyle name="40% - Accent2 7" xfId="1493" xr:uid="{00000000-0005-0000-0000-0000F6040000}"/>
    <cellStyle name="40% - Accent2 7 2" xfId="3723" xr:uid="{00000000-0005-0000-0000-0000F7040000}"/>
    <cellStyle name="40% - Accent2 7 2 2" xfId="7945" xr:uid="{00000000-0005-0000-0000-0000F8040000}"/>
    <cellStyle name="40% - Accent2 7 2 2 2" xfId="25718" xr:uid="{0A59CB18-57FF-407C-BBA4-8E6897FDEF45}"/>
    <cellStyle name="40% - Accent2 7 2 2 2 2" xfId="42612" xr:uid="{A74A327C-A9F2-490B-A8DB-7A0D4341F410}"/>
    <cellStyle name="40% - Accent2 7 2 2 3" xfId="17271" xr:uid="{6AE68154-A145-49B5-B562-7180C9A86EF3}"/>
    <cellStyle name="40% - Accent2 7 2 2 4" xfId="34165" xr:uid="{1DA2C640-EADF-4BBA-935E-16180331DF34}"/>
    <cellStyle name="40% - Accent2 7 2 3" xfId="21501" xr:uid="{18489E36-CB99-488C-92DB-BA4677DB4EB0}"/>
    <cellStyle name="40% - Accent2 7 2 3 2" xfId="38395" xr:uid="{544BDB82-5F6F-4139-B0E5-D0C2B3C22B26}"/>
    <cellStyle name="40% - Accent2 7 2 4" xfId="13054" xr:uid="{5A6FA9EB-AC10-42C3-8501-6DED30BE6950}"/>
    <cellStyle name="40% - Accent2 7 2 5" xfId="29948" xr:uid="{1C7283FB-506B-4BCD-A9EA-4EED888C5AAA}"/>
    <cellStyle name="40% - Accent2 7 3" xfId="5800" xr:uid="{00000000-0005-0000-0000-0000F9040000}"/>
    <cellStyle name="40% - Accent2 7 3 2" xfId="23573" xr:uid="{73D7C654-D247-4294-B3DF-63788FF55EAC}"/>
    <cellStyle name="40% - Accent2 7 3 2 2" xfId="40467" xr:uid="{50561B3E-4E7D-4CC5-AEE4-40965133372C}"/>
    <cellStyle name="40% - Accent2 7 3 3" xfId="15126" xr:uid="{84691228-768D-4ECF-BBDB-8E7C9DAB3242}"/>
    <cellStyle name="40% - Accent2 7 3 4" xfId="32020" xr:uid="{10FC2195-5E39-4378-A1D0-CEA551DF9D2D}"/>
    <cellStyle name="40% - Accent2 7 4" xfId="19356" xr:uid="{77664636-EBBD-42A9-A43B-AE016FE2ED07}"/>
    <cellStyle name="40% - Accent2 7 4 2" xfId="36250" xr:uid="{55EADEAE-DC0C-417B-BF90-79C163CA6462}"/>
    <cellStyle name="40% - Accent2 7 5" xfId="10909" xr:uid="{CB79523B-1217-41DF-B7A4-D616A3A4F1DF}"/>
    <cellStyle name="40% - Accent2 7 6" xfId="27803" xr:uid="{9A4712F9-786D-429F-9E15-A6A1744F2DA9}"/>
    <cellStyle name="40% - Accent2 8" xfId="1907" xr:uid="{00000000-0005-0000-0000-0000FA040000}"/>
    <cellStyle name="40% - Accent2 8 2" xfId="4136" xr:uid="{00000000-0005-0000-0000-0000FB040000}"/>
    <cellStyle name="40% - Accent2 8 2 2" xfId="8358" xr:uid="{00000000-0005-0000-0000-0000FC040000}"/>
    <cellStyle name="40% - Accent2 8 2 2 2" xfId="26131" xr:uid="{1813F3AB-6960-4C5B-815F-F911CE4C7582}"/>
    <cellStyle name="40% - Accent2 8 2 2 2 2" xfId="43025" xr:uid="{4EC12E02-3BAB-4815-AB15-072748DD428A}"/>
    <cellStyle name="40% - Accent2 8 2 2 3" xfId="17684" xr:uid="{C86583B6-430D-413A-AE26-0DC23378230B}"/>
    <cellStyle name="40% - Accent2 8 2 2 4" xfId="34578" xr:uid="{D6246D69-A0E3-43EB-8557-8388B0E9AF6F}"/>
    <cellStyle name="40% - Accent2 8 2 3" xfId="21914" xr:uid="{441D2503-ADFB-4FF2-A5F8-4274DF0B1C20}"/>
    <cellStyle name="40% - Accent2 8 2 3 2" xfId="38808" xr:uid="{1DBB8C49-0E72-4A85-A2D9-9699C348D57F}"/>
    <cellStyle name="40% - Accent2 8 2 4" xfId="13467" xr:uid="{93C289A5-FB00-4D32-834F-FEA8AC51D4BF}"/>
    <cellStyle name="40% - Accent2 8 2 5" xfId="30361" xr:uid="{D1B1658A-DE7C-4EBF-8112-1430605E3684}"/>
    <cellStyle name="40% - Accent2 8 3" xfId="6213" xr:uid="{00000000-0005-0000-0000-0000FD040000}"/>
    <cellStyle name="40% - Accent2 8 3 2" xfId="23986" xr:uid="{B36BCC34-61E9-4A9B-8E46-455B5CA4DD63}"/>
    <cellStyle name="40% - Accent2 8 3 2 2" xfId="40880" xr:uid="{9DDB1B5C-912B-49A2-BF90-31B8F2930EBB}"/>
    <cellStyle name="40% - Accent2 8 3 3" xfId="15539" xr:uid="{9E995682-0EA7-4DA1-80D8-DF4A873DE9BA}"/>
    <cellStyle name="40% - Accent2 8 3 4" xfId="32433" xr:uid="{44321097-BB9F-4CC1-96A5-9E5BB4BF2F80}"/>
    <cellStyle name="40% - Accent2 8 4" xfId="19769" xr:uid="{E359FFCE-7C5B-4F10-BB5E-77470D52C18D}"/>
    <cellStyle name="40% - Accent2 8 4 2" xfId="36663" xr:uid="{D176F924-7A8E-4B71-8DF0-651F31F72F26}"/>
    <cellStyle name="40% - Accent2 8 5" xfId="11322" xr:uid="{9F6B4CC7-7C6E-4FFC-914A-5B043186355E}"/>
    <cellStyle name="40% - Accent2 8 6" xfId="28216" xr:uid="{423A39AD-0EA6-4F8D-A28D-4EF64DCB0498}"/>
    <cellStyle name="40% - Accent2 9" xfId="2320" xr:uid="{00000000-0005-0000-0000-0000FE040000}"/>
    <cellStyle name="40% - Accent2 9 2" xfId="6626" xr:uid="{00000000-0005-0000-0000-0000FF040000}"/>
    <cellStyle name="40% - Accent2 9 2 2" xfId="24399" xr:uid="{19560B68-6050-41AE-AC6D-B4888F0B1104}"/>
    <cellStyle name="40% - Accent2 9 2 2 2" xfId="41293" xr:uid="{22583723-AE25-4B2B-BCF0-71C16AF8AFCF}"/>
    <cellStyle name="40% - Accent2 9 2 3" xfId="15952" xr:uid="{F768BCEC-1962-4222-89BB-45C9C4D05699}"/>
    <cellStyle name="40% - Accent2 9 2 4" xfId="32846" xr:uid="{2FD455DE-3DC5-4497-AE86-585082496E3D}"/>
    <cellStyle name="40% - Accent2 9 3" xfId="20182" xr:uid="{876A2BD2-F98A-4968-AF78-CFE7A80904CF}"/>
    <cellStyle name="40% - Accent2 9 3 2" xfId="37076" xr:uid="{84EA2E1C-637B-4BD6-AEC5-F98A1B8F2EC9}"/>
    <cellStyle name="40% - Accent2 9 4" xfId="11735" xr:uid="{1522837B-5E85-4A79-98F7-EAD10F7ECC36}"/>
    <cellStyle name="40% - Accent2 9 5" xfId="28629" xr:uid="{87093C03-7FB3-4BC1-A390-EC28C51289B4}"/>
    <cellStyle name="40% - Accent3" xfId="65" builtinId="39" customBuiltin="1"/>
    <cellStyle name="40% - Accent3 10" xfId="4568" xr:uid="{00000000-0005-0000-0000-000001050000}"/>
    <cellStyle name="40% - Accent3 10 2" xfId="22341" xr:uid="{AF1835EC-5B1D-40DB-9C0E-97802A57C4FD}"/>
    <cellStyle name="40% - Accent3 10 2 2" xfId="39235" xr:uid="{20F7C1D9-A73A-4729-A9C0-36FA39531D12}"/>
    <cellStyle name="40% - Accent3 10 3" xfId="13894" xr:uid="{1385D254-9B0B-41F5-A987-B865DBCD2A46}"/>
    <cellStyle name="40% - Accent3 10 4" xfId="30788" xr:uid="{A3DF0F77-E8D8-4C20-9007-F416320D1A81}"/>
    <cellStyle name="40% - Accent3 11" xfId="8763" xr:uid="{CEFBFA85-5B68-4AEB-BF0D-8E604938B05F}"/>
    <cellStyle name="40% - Accent3 11 2" xfId="18124" xr:uid="{0B3FD642-CC58-4EA6-A011-197EB8FF99C8}"/>
    <cellStyle name="40% - Accent3 11 3" xfId="35018" xr:uid="{F1AE5B1F-533B-4671-BCD3-A82954FB622B}"/>
    <cellStyle name="40% - Accent3 12" xfId="9677" xr:uid="{B4C8E18B-1722-4DC9-8457-0242F25F1DBD}"/>
    <cellStyle name="40% - Accent3 13" xfId="26571" xr:uid="{89ECC7A9-0133-431F-9791-F4884B953A1A}"/>
    <cellStyle name="40% - Accent3 2" xfId="66" xr:uid="{00000000-0005-0000-0000-000002050000}"/>
    <cellStyle name="40% - Accent3 2 10" xfId="8800" xr:uid="{00FF2AAD-7D96-45B5-8981-0BB923A3505B}"/>
    <cellStyle name="40% - Accent3 2 10 2" xfId="18125" xr:uid="{A6BFD117-5940-487B-9450-1E30A11CA9D7}"/>
    <cellStyle name="40% - Accent3 2 10 3" xfId="35019" xr:uid="{36AB0E76-93D9-4CC7-B0B7-9EFA86958EE8}"/>
    <cellStyle name="40% - Accent3 2 11" xfId="9678" xr:uid="{7AD505BF-8AAE-434C-BCCE-20D9442FD1BE}"/>
    <cellStyle name="40% - Accent3 2 12" xfId="26572" xr:uid="{307FDD37-7B54-4F27-B991-D1A9315685BC}"/>
    <cellStyle name="40% - Accent3 2 2" xfId="67" xr:uid="{00000000-0005-0000-0000-000003050000}"/>
    <cellStyle name="40% - Accent3 2 2 10" xfId="9679" xr:uid="{2160A12D-F76D-4E09-A63A-663F5A9E76CE}"/>
    <cellStyle name="40% - Accent3 2 2 11" xfId="26573" xr:uid="{C76C179C-5299-4F56-8279-528F51533848}"/>
    <cellStyle name="40% - Accent3 2 2 2" xfId="68" xr:uid="{00000000-0005-0000-0000-000004050000}"/>
    <cellStyle name="40% - Accent3 2 2 2 10" xfId="26574" xr:uid="{0B89D83A-DCE5-4193-A212-A31604592709}"/>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2 2 2" xfId="24903" xr:uid="{DABB24FF-9322-469F-BAF2-7D4637E10A78}"/>
    <cellStyle name="40% - Accent3 2 2 2 2 2 2 2 2" xfId="41797" xr:uid="{9D289951-D6A3-4CC8-B2EF-D2552830B8C3}"/>
    <cellStyle name="40% - Accent3 2 2 2 2 2 2 3" xfId="16456" xr:uid="{79CC6423-5077-4DE9-8398-29089CC806AA}"/>
    <cellStyle name="40% - Accent3 2 2 2 2 2 2 4" xfId="33350" xr:uid="{5B8D5857-1315-4CE1-9784-075BCDD15E14}"/>
    <cellStyle name="40% - Accent3 2 2 2 2 2 3" xfId="20686" xr:uid="{4C4D2694-5650-493E-9ED4-39696E8BE3E7}"/>
    <cellStyle name="40% - Accent3 2 2 2 2 2 3 2" xfId="37580" xr:uid="{D28BF7D8-06AA-4377-AD89-DAAF268E3A24}"/>
    <cellStyle name="40% - Accent3 2 2 2 2 2 4" xfId="12239" xr:uid="{265A00EC-F521-4991-ADDD-5F8261168A8B}"/>
    <cellStyle name="40% - Accent3 2 2 2 2 2 5" xfId="29133" xr:uid="{5EE4BE0D-9C43-4EEF-888F-1D64EDF01B4C}"/>
    <cellStyle name="40% - Accent3 2 2 2 2 3" xfId="4985" xr:uid="{00000000-0005-0000-0000-000008050000}"/>
    <cellStyle name="40% - Accent3 2 2 2 2 3 2" xfId="22758" xr:uid="{2DC34309-CCAF-4A59-937D-6793B0368EA2}"/>
    <cellStyle name="40% - Accent3 2 2 2 2 3 2 2" xfId="39652" xr:uid="{DA9E3550-A1CA-48B2-B91D-05CC6636BB5A}"/>
    <cellStyle name="40% - Accent3 2 2 2 2 3 3" xfId="14311" xr:uid="{A575E741-9A27-407E-BBA8-1F7AD45159FC}"/>
    <cellStyle name="40% - Accent3 2 2 2 2 3 4" xfId="31205" xr:uid="{AFBE4BC2-1EA5-4C83-A2F8-50E12BA7F82D}"/>
    <cellStyle name="40% - Accent3 2 2 2 2 4" xfId="9535" xr:uid="{3AC66435-D4C7-42EF-A799-3DC81A57BDF4}"/>
    <cellStyle name="40% - Accent3 2 2 2 2 4 2" xfId="18541" xr:uid="{01EDF19B-093A-48E7-8431-081DC69EE432}"/>
    <cellStyle name="40% - Accent3 2 2 2 2 4 3" xfId="35435" xr:uid="{B1542A9A-6639-45B7-814D-E8B787C25E07}"/>
    <cellStyle name="40% - Accent3 2 2 2 2 5" xfId="10094" xr:uid="{6C437D0C-CE5D-41AF-A6A5-FF83B155D4B0}"/>
    <cellStyle name="40% - Accent3 2 2 2 2 6" xfId="26988" xr:uid="{673070D6-05D6-453E-B5FC-36A1222E7086}"/>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2 2 2" xfId="25316" xr:uid="{EC9DB11A-3FE4-43B3-82D8-36548BB563F5}"/>
    <cellStyle name="40% - Accent3 2 2 2 3 2 2 2 2" xfId="42210" xr:uid="{D1219861-4750-4786-989E-F8E2A46889A7}"/>
    <cellStyle name="40% - Accent3 2 2 2 3 2 2 3" xfId="16869" xr:uid="{7BD8E483-6E86-46D8-A2E2-4E63A383E4C2}"/>
    <cellStyle name="40% - Accent3 2 2 2 3 2 2 4" xfId="33763" xr:uid="{51D615E7-251F-4C3D-B56E-D12789BF2F1D}"/>
    <cellStyle name="40% - Accent3 2 2 2 3 2 3" xfId="21099" xr:uid="{128C04BF-58A8-4F65-A8C4-13753EAE12A3}"/>
    <cellStyle name="40% - Accent3 2 2 2 3 2 3 2" xfId="37993" xr:uid="{2422BAB9-0776-4253-9597-E0B422A425C4}"/>
    <cellStyle name="40% - Accent3 2 2 2 3 2 4" xfId="12652" xr:uid="{CF165475-7B28-4DAF-A0AD-45CFDA200BF1}"/>
    <cellStyle name="40% - Accent3 2 2 2 3 2 5" xfId="29546" xr:uid="{78FF5279-DFEC-485E-900C-1071D09EDCF8}"/>
    <cellStyle name="40% - Accent3 2 2 2 3 3" xfId="5398" xr:uid="{00000000-0005-0000-0000-00000C050000}"/>
    <cellStyle name="40% - Accent3 2 2 2 3 3 2" xfId="23171" xr:uid="{43C4CF60-5294-4C96-87E2-AE0EF278B8F5}"/>
    <cellStyle name="40% - Accent3 2 2 2 3 3 2 2" xfId="40065" xr:uid="{FCF0C18F-A207-4DAA-A83A-25A11B1E3CB3}"/>
    <cellStyle name="40% - Accent3 2 2 2 3 3 3" xfId="14724" xr:uid="{99289AEF-6141-4523-BDD6-7D4F46EA4840}"/>
    <cellStyle name="40% - Accent3 2 2 2 3 3 4" xfId="31618" xr:uid="{7BC858F7-3CD7-4B0A-9524-DB0EA7A6DABE}"/>
    <cellStyle name="40% - Accent3 2 2 2 3 4" xfId="18954" xr:uid="{6F0E0D62-F22B-42C4-82DD-D1E696FE3815}"/>
    <cellStyle name="40% - Accent3 2 2 2 3 4 2" xfId="35848" xr:uid="{EBF72D6A-825A-45E1-9769-B42787D7CAD6}"/>
    <cellStyle name="40% - Accent3 2 2 2 3 5" xfId="10507" xr:uid="{D6276966-97FF-4687-9490-A38EDA66375F}"/>
    <cellStyle name="40% - Accent3 2 2 2 3 6" xfId="27401" xr:uid="{0FFA7D08-BF35-4C3D-A172-10B3034B4806}"/>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2 2 2" xfId="25729" xr:uid="{4BDE051B-F937-46CB-BACA-1859E77F16C5}"/>
    <cellStyle name="40% - Accent3 2 2 2 4 2 2 2 2" xfId="42623" xr:uid="{1A66857D-25C8-45D2-96B8-AE75506F0732}"/>
    <cellStyle name="40% - Accent3 2 2 2 4 2 2 3" xfId="17282" xr:uid="{C9762BF2-CDA7-4C6F-8509-FF21015B4766}"/>
    <cellStyle name="40% - Accent3 2 2 2 4 2 2 4" xfId="34176" xr:uid="{A9AE2A7D-7460-467A-8A89-B0EC3F3FBEFE}"/>
    <cellStyle name="40% - Accent3 2 2 2 4 2 3" xfId="21512" xr:uid="{8689219A-27D6-4597-B3B9-622C9735D1DB}"/>
    <cellStyle name="40% - Accent3 2 2 2 4 2 3 2" xfId="38406" xr:uid="{DA4B7F25-441D-4E93-90F5-4D09D6DADDFB}"/>
    <cellStyle name="40% - Accent3 2 2 2 4 2 4" xfId="13065" xr:uid="{6DCD9FF6-33FE-4C64-8E0C-ABA1FAA00547}"/>
    <cellStyle name="40% - Accent3 2 2 2 4 2 5" xfId="29959" xr:uid="{09A9D8F0-E0D3-4170-A553-53D9653FBFDD}"/>
    <cellStyle name="40% - Accent3 2 2 2 4 3" xfId="5811" xr:uid="{00000000-0005-0000-0000-000010050000}"/>
    <cellStyle name="40% - Accent3 2 2 2 4 3 2" xfId="23584" xr:uid="{AE7AA608-4A89-4D93-83B3-4CE0C8F3D07B}"/>
    <cellStyle name="40% - Accent3 2 2 2 4 3 2 2" xfId="40478" xr:uid="{C97EA77B-DA56-4B53-8619-C1AC9555CA19}"/>
    <cellStyle name="40% - Accent3 2 2 2 4 3 3" xfId="15137" xr:uid="{529813B2-B643-45E4-B866-826E7052F81A}"/>
    <cellStyle name="40% - Accent3 2 2 2 4 3 4" xfId="32031" xr:uid="{EE419F78-6595-45E6-A44B-B91AFB7B4A59}"/>
    <cellStyle name="40% - Accent3 2 2 2 4 4" xfId="19367" xr:uid="{18B56B77-AC43-4947-ACAD-C94646AB5256}"/>
    <cellStyle name="40% - Accent3 2 2 2 4 4 2" xfId="36261" xr:uid="{57554C7B-ABEF-4CEF-9A79-85830F49AF97}"/>
    <cellStyle name="40% - Accent3 2 2 2 4 5" xfId="10920" xr:uid="{D3D0283F-0AD8-4C17-A900-7400F3CE7E8E}"/>
    <cellStyle name="40% - Accent3 2 2 2 4 6" xfId="27814" xr:uid="{54385C04-CEE5-4998-B175-E848C5E6F78E}"/>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2 2 2" xfId="26142" xr:uid="{C3B77E65-221A-49B5-A15B-8E20691C0DD0}"/>
    <cellStyle name="40% - Accent3 2 2 2 5 2 2 2 2" xfId="43036" xr:uid="{365A8DCE-AFCA-444D-8F41-4A173BB03B91}"/>
    <cellStyle name="40% - Accent3 2 2 2 5 2 2 3" xfId="17695" xr:uid="{97C5C6C8-F55A-4749-B1E2-EE61950DB655}"/>
    <cellStyle name="40% - Accent3 2 2 2 5 2 2 4" xfId="34589" xr:uid="{983837CE-6005-4F8E-87DE-6F512CB12DB0}"/>
    <cellStyle name="40% - Accent3 2 2 2 5 2 3" xfId="21925" xr:uid="{8A3475FE-49B7-444A-A901-8B92AFA8CE3A}"/>
    <cellStyle name="40% - Accent3 2 2 2 5 2 3 2" xfId="38819" xr:uid="{BBD394D8-E3B0-49FA-B5F1-1F770949B52B}"/>
    <cellStyle name="40% - Accent3 2 2 2 5 2 4" xfId="13478" xr:uid="{439521DC-29D1-473B-A577-A3AAC453DA99}"/>
    <cellStyle name="40% - Accent3 2 2 2 5 2 5" xfId="30372" xr:uid="{4FEDA275-0110-46BD-A0CE-44BFA24D2244}"/>
    <cellStyle name="40% - Accent3 2 2 2 5 3" xfId="6224" xr:uid="{00000000-0005-0000-0000-000014050000}"/>
    <cellStyle name="40% - Accent3 2 2 2 5 3 2" xfId="23997" xr:uid="{D28E8CF8-5E13-4CDC-826E-6D3C3DC27D9F}"/>
    <cellStyle name="40% - Accent3 2 2 2 5 3 2 2" xfId="40891" xr:uid="{86E732F2-D138-41BF-9389-8B544FC81414}"/>
    <cellStyle name="40% - Accent3 2 2 2 5 3 3" xfId="15550" xr:uid="{6CD0C8C4-0004-4E8C-A3BF-24737EC3CE99}"/>
    <cellStyle name="40% - Accent3 2 2 2 5 3 4" xfId="32444" xr:uid="{329B35C5-F878-400F-BD77-587CA3597EB6}"/>
    <cellStyle name="40% - Accent3 2 2 2 5 4" xfId="19780" xr:uid="{BC20DB9D-0199-4C0C-A5BA-F2B6BFC3C640}"/>
    <cellStyle name="40% - Accent3 2 2 2 5 4 2" xfId="36674" xr:uid="{DE21F36A-500F-48D7-8623-649601796335}"/>
    <cellStyle name="40% - Accent3 2 2 2 5 5" xfId="11333" xr:uid="{1E9AC105-72F5-4A5E-AC1D-780593B054A8}"/>
    <cellStyle name="40% - Accent3 2 2 2 5 6" xfId="28227" xr:uid="{9D061B10-9C0A-46B4-A3AB-94042EE84A17}"/>
    <cellStyle name="40% - Accent3 2 2 2 6" xfId="2331" xr:uid="{00000000-0005-0000-0000-000015050000}"/>
    <cellStyle name="40% - Accent3 2 2 2 6 2" xfId="6637" xr:uid="{00000000-0005-0000-0000-000016050000}"/>
    <cellStyle name="40% - Accent3 2 2 2 6 2 2" xfId="24410" xr:uid="{D8BC3E89-BEDA-4063-A945-29601783E288}"/>
    <cellStyle name="40% - Accent3 2 2 2 6 2 2 2" xfId="41304" xr:uid="{D6A78EE6-0821-443E-9275-23686696BA1A}"/>
    <cellStyle name="40% - Accent3 2 2 2 6 2 3" xfId="15963" xr:uid="{B4CF74D2-4C54-4326-B12B-318DD27D0D85}"/>
    <cellStyle name="40% - Accent3 2 2 2 6 2 4" xfId="32857" xr:uid="{2B0B89F5-E27F-4B83-BB6C-1A1D0209C083}"/>
    <cellStyle name="40% - Accent3 2 2 2 6 3" xfId="20193" xr:uid="{1F3CF97C-0062-4E38-8CE4-248D551C629A}"/>
    <cellStyle name="40% - Accent3 2 2 2 6 3 2" xfId="37087" xr:uid="{24187106-76F4-4616-AB05-EF615FF0DFA5}"/>
    <cellStyle name="40% - Accent3 2 2 2 6 4" xfId="11746" xr:uid="{321D3456-1FCF-4003-BC6E-7705E579C53F}"/>
    <cellStyle name="40% - Accent3 2 2 2 6 5" xfId="28640" xr:uid="{AFEB7E13-D2D9-4890-A7F3-490818231DDB}"/>
    <cellStyle name="40% - Accent3 2 2 2 7" xfId="4571" xr:uid="{00000000-0005-0000-0000-000017050000}"/>
    <cellStyle name="40% - Accent3 2 2 2 7 2" xfId="22344" xr:uid="{3F8078AC-2D42-4856-812B-B84E137B8F40}"/>
    <cellStyle name="40% - Accent3 2 2 2 7 2 2" xfId="39238" xr:uid="{63B0CE1D-FB83-44DD-AE71-D4D49C49307E}"/>
    <cellStyle name="40% - Accent3 2 2 2 7 3" xfId="13897" xr:uid="{ECA3E30A-C287-4CE2-B666-ED160F4EFE1E}"/>
    <cellStyle name="40% - Accent3 2 2 2 7 4" xfId="30791" xr:uid="{9833C68E-C40E-4B54-B9C5-3C796531AF4B}"/>
    <cellStyle name="40% - Accent3 2 2 2 8" xfId="9110" xr:uid="{E41CBEF9-86F8-44B9-895F-532A7BDC9A2A}"/>
    <cellStyle name="40% - Accent3 2 2 2 8 2" xfId="18127" xr:uid="{BB27FF28-713F-4FC2-93DF-112A37EBBF80}"/>
    <cellStyle name="40% - Accent3 2 2 2 8 3" xfId="35021" xr:uid="{C265D30D-0CE3-4F09-9ABF-DC8693EBCE71}"/>
    <cellStyle name="40% - Accent3 2 2 2 9" xfId="9680" xr:uid="{A436A2BD-05D4-407B-AA29-69EF1F6819CC}"/>
    <cellStyle name="40% - Accent3 2 2 3" xfId="636" xr:uid="{00000000-0005-0000-0000-000018050000}"/>
    <cellStyle name="40% - Accent3 2 2 3 2" xfId="2907" xr:uid="{00000000-0005-0000-0000-000019050000}"/>
    <cellStyle name="40% - Accent3 2 2 3 2 2" xfId="7129" xr:uid="{00000000-0005-0000-0000-00001A050000}"/>
    <cellStyle name="40% - Accent3 2 2 3 2 2 2" xfId="24902" xr:uid="{900E1ED0-A180-43A5-AD98-B4F26DDCAD64}"/>
    <cellStyle name="40% - Accent3 2 2 3 2 2 2 2" xfId="41796" xr:uid="{BF8B91CE-E633-4C47-A720-C92B3904DA40}"/>
    <cellStyle name="40% - Accent3 2 2 3 2 2 3" xfId="16455" xr:uid="{BA33275E-A9A1-46BF-8F1D-5B03C437A485}"/>
    <cellStyle name="40% - Accent3 2 2 3 2 2 4" xfId="33349" xr:uid="{F036B33C-FFB4-4CF0-9E2E-40E3A0AD9085}"/>
    <cellStyle name="40% - Accent3 2 2 3 2 3" xfId="20685" xr:uid="{5FEE0776-653E-4111-AA52-D41D7881D60C}"/>
    <cellStyle name="40% - Accent3 2 2 3 2 3 2" xfId="37579" xr:uid="{596882A4-462B-4FB1-A173-264867363A57}"/>
    <cellStyle name="40% - Accent3 2 2 3 2 4" xfId="12238" xr:uid="{41E12ECA-178D-4589-B6EB-F845822314EC}"/>
    <cellStyle name="40% - Accent3 2 2 3 2 5" xfId="29132" xr:uid="{38D48A57-0ED5-4055-9D95-F605A3FDA339}"/>
    <cellStyle name="40% - Accent3 2 2 3 3" xfId="4984" xr:uid="{00000000-0005-0000-0000-00001B050000}"/>
    <cellStyle name="40% - Accent3 2 2 3 3 2" xfId="22757" xr:uid="{45775EEE-7E9D-4BF6-9ADC-B72A7A05BD41}"/>
    <cellStyle name="40% - Accent3 2 2 3 3 2 2" xfId="39651" xr:uid="{3E82CEA7-0CF3-4BD7-90CD-43CE263B6886}"/>
    <cellStyle name="40% - Accent3 2 2 3 3 3" xfId="14310" xr:uid="{84C2B9A2-1F76-4F46-847C-63CE99738D09}"/>
    <cellStyle name="40% - Accent3 2 2 3 3 4" xfId="31204" xr:uid="{A6045DA3-ACB4-4796-A48A-BC66D5121DEF}"/>
    <cellStyle name="40% - Accent3 2 2 3 4" xfId="9328" xr:uid="{1DAEB9B9-01CE-426D-A8F1-CE08999D7264}"/>
    <cellStyle name="40% - Accent3 2 2 3 4 2" xfId="18540" xr:uid="{A9EFD65A-BADA-4FC6-9F49-59A185BAC683}"/>
    <cellStyle name="40% - Accent3 2 2 3 4 3" xfId="35434" xr:uid="{9E8394F4-32A3-46DC-B032-6D98A9B679CA}"/>
    <cellStyle name="40% - Accent3 2 2 3 5" xfId="10093" xr:uid="{3FDCBA5C-FCCF-41F6-8182-D9C69745CC8B}"/>
    <cellStyle name="40% - Accent3 2 2 3 6" xfId="26987" xr:uid="{8A1EF33E-3148-4BF9-B4B2-28EE42219DAC}"/>
    <cellStyle name="40% - Accent3 2 2 4" xfId="1089" xr:uid="{00000000-0005-0000-0000-00001C050000}"/>
    <cellStyle name="40% - Accent3 2 2 4 2" xfId="3320" xr:uid="{00000000-0005-0000-0000-00001D050000}"/>
    <cellStyle name="40% - Accent3 2 2 4 2 2" xfId="7542" xr:uid="{00000000-0005-0000-0000-00001E050000}"/>
    <cellStyle name="40% - Accent3 2 2 4 2 2 2" xfId="25315" xr:uid="{699C1590-AEA8-404F-AC5C-7D9F4766AF6E}"/>
    <cellStyle name="40% - Accent3 2 2 4 2 2 2 2" xfId="42209" xr:uid="{8CE79731-6CB7-48E2-A630-76FB6CE6F08E}"/>
    <cellStyle name="40% - Accent3 2 2 4 2 2 3" xfId="16868" xr:uid="{C780BE78-1B02-4362-A650-E50CCE01BBDB}"/>
    <cellStyle name="40% - Accent3 2 2 4 2 2 4" xfId="33762" xr:uid="{56394573-0434-425A-B576-CBF7AE46C291}"/>
    <cellStyle name="40% - Accent3 2 2 4 2 3" xfId="21098" xr:uid="{DF072000-2FA3-4A58-A91B-93D609A7E38E}"/>
    <cellStyle name="40% - Accent3 2 2 4 2 3 2" xfId="37992" xr:uid="{33EA8B6D-AAA6-4CF7-AA9D-4147F218BDF0}"/>
    <cellStyle name="40% - Accent3 2 2 4 2 4" xfId="12651" xr:uid="{A2265F82-DD8C-4E07-9A71-57D365894429}"/>
    <cellStyle name="40% - Accent3 2 2 4 2 5" xfId="29545" xr:uid="{0ABBADA3-FDBC-4466-8D47-5DB0B7AB3A8E}"/>
    <cellStyle name="40% - Accent3 2 2 4 3" xfId="5397" xr:uid="{00000000-0005-0000-0000-00001F050000}"/>
    <cellStyle name="40% - Accent3 2 2 4 3 2" xfId="23170" xr:uid="{8E3E6619-213B-4F91-9FD5-1F1A1BBD3988}"/>
    <cellStyle name="40% - Accent3 2 2 4 3 2 2" xfId="40064" xr:uid="{A2A1D9C0-21A1-4329-9042-320DFF1CB2E4}"/>
    <cellStyle name="40% - Accent3 2 2 4 3 3" xfId="14723" xr:uid="{77B368FB-B200-4B52-B966-2F583CEC5A8F}"/>
    <cellStyle name="40% - Accent3 2 2 4 3 4" xfId="31617" xr:uid="{6B2F4588-7799-4157-AF6D-26043620FCCB}"/>
    <cellStyle name="40% - Accent3 2 2 4 4" xfId="18953" xr:uid="{5008E37F-B2C8-4822-A239-30A1F1D548F4}"/>
    <cellStyle name="40% - Accent3 2 2 4 4 2" xfId="35847" xr:uid="{52E8C708-CDAE-4775-B7FC-06067E8C3C57}"/>
    <cellStyle name="40% - Accent3 2 2 4 5" xfId="10506" xr:uid="{56D2016C-6EA8-4C0E-961C-ABAF908094CC}"/>
    <cellStyle name="40% - Accent3 2 2 4 6" xfId="27400" xr:uid="{F5D1E8EB-D5B9-4486-B15D-FC0554B20BF7}"/>
    <cellStyle name="40% - Accent3 2 2 5" xfId="1503" xr:uid="{00000000-0005-0000-0000-000020050000}"/>
    <cellStyle name="40% - Accent3 2 2 5 2" xfId="3733" xr:uid="{00000000-0005-0000-0000-000021050000}"/>
    <cellStyle name="40% - Accent3 2 2 5 2 2" xfId="7955" xr:uid="{00000000-0005-0000-0000-000022050000}"/>
    <cellStyle name="40% - Accent3 2 2 5 2 2 2" xfId="25728" xr:uid="{B6E926C2-5121-46B7-8E78-BA9E0F92A154}"/>
    <cellStyle name="40% - Accent3 2 2 5 2 2 2 2" xfId="42622" xr:uid="{35F11DCA-9A23-444C-A304-0396B8446300}"/>
    <cellStyle name="40% - Accent3 2 2 5 2 2 3" xfId="17281" xr:uid="{F31B4048-5202-4193-B1F5-7CACAA861459}"/>
    <cellStyle name="40% - Accent3 2 2 5 2 2 4" xfId="34175" xr:uid="{338CC171-7D73-47FD-AFA3-D52836B09B49}"/>
    <cellStyle name="40% - Accent3 2 2 5 2 3" xfId="21511" xr:uid="{F624EF87-B1B5-4DDC-B963-E2040BB3567E}"/>
    <cellStyle name="40% - Accent3 2 2 5 2 3 2" xfId="38405" xr:uid="{98511DC7-DCB1-47A6-A7DE-C25FE9C65F73}"/>
    <cellStyle name="40% - Accent3 2 2 5 2 4" xfId="13064" xr:uid="{FF804666-1E9D-4B11-9E18-95B4676B4480}"/>
    <cellStyle name="40% - Accent3 2 2 5 2 5" xfId="29958" xr:uid="{E43D3AA1-A822-4479-B500-207BB7AD511F}"/>
    <cellStyle name="40% - Accent3 2 2 5 3" xfId="5810" xr:uid="{00000000-0005-0000-0000-000023050000}"/>
    <cellStyle name="40% - Accent3 2 2 5 3 2" xfId="23583" xr:uid="{1EB7C0C2-976F-4093-9F61-46C6CEC20CB3}"/>
    <cellStyle name="40% - Accent3 2 2 5 3 2 2" xfId="40477" xr:uid="{DB0C6D30-8A49-4A17-806B-81474E30FE69}"/>
    <cellStyle name="40% - Accent3 2 2 5 3 3" xfId="15136" xr:uid="{150CC30C-5D65-4D34-B47D-3E3F60E815AA}"/>
    <cellStyle name="40% - Accent3 2 2 5 3 4" xfId="32030" xr:uid="{6CF2E9F4-115D-454A-8B31-44D7BCBAE7E3}"/>
    <cellStyle name="40% - Accent3 2 2 5 4" xfId="19366" xr:uid="{BA010FB0-46DA-42A5-93C0-5BF15B3E5AF0}"/>
    <cellStyle name="40% - Accent3 2 2 5 4 2" xfId="36260" xr:uid="{7557F021-C17F-4ADC-862E-EB2F5652C7E3}"/>
    <cellStyle name="40% - Accent3 2 2 5 5" xfId="10919" xr:uid="{A4429E04-8E53-4E47-854B-47ABC08044D4}"/>
    <cellStyle name="40% - Accent3 2 2 5 6" xfId="27813" xr:uid="{EE014630-CA65-4A15-86F4-1F87E96DB060}"/>
    <cellStyle name="40% - Accent3 2 2 6" xfId="1917" xr:uid="{00000000-0005-0000-0000-000024050000}"/>
    <cellStyle name="40% - Accent3 2 2 6 2" xfId="4146" xr:uid="{00000000-0005-0000-0000-000025050000}"/>
    <cellStyle name="40% - Accent3 2 2 6 2 2" xfId="8368" xr:uid="{00000000-0005-0000-0000-000026050000}"/>
    <cellStyle name="40% - Accent3 2 2 6 2 2 2" xfId="26141" xr:uid="{1737C2EE-3ACB-498B-8625-F6B3E26933BA}"/>
    <cellStyle name="40% - Accent3 2 2 6 2 2 2 2" xfId="43035" xr:uid="{3D2D3016-E7B5-41E1-8001-B12D3E290697}"/>
    <cellStyle name="40% - Accent3 2 2 6 2 2 3" xfId="17694" xr:uid="{42A619BB-1A4D-4FB9-9ABD-93DA38D15BBC}"/>
    <cellStyle name="40% - Accent3 2 2 6 2 2 4" xfId="34588" xr:uid="{9FA46D93-94E0-4570-B4AE-D56DEAEA4C7A}"/>
    <cellStyle name="40% - Accent3 2 2 6 2 3" xfId="21924" xr:uid="{5687DDBF-0431-4B22-9AED-F3E302B1B1A5}"/>
    <cellStyle name="40% - Accent3 2 2 6 2 3 2" xfId="38818" xr:uid="{8FC6CDD3-3F15-44A8-B71F-2F89167652A6}"/>
    <cellStyle name="40% - Accent3 2 2 6 2 4" xfId="13477" xr:uid="{4599D223-54E7-4756-B7AC-9F41D69AC99B}"/>
    <cellStyle name="40% - Accent3 2 2 6 2 5" xfId="30371" xr:uid="{2D5D5D7B-3414-4DAB-AA2A-5B7386AF846B}"/>
    <cellStyle name="40% - Accent3 2 2 6 3" xfId="6223" xr:uid="{00000000-0005-0000-0000-000027050000}"/>
    <cellStyle name="40% - Accent3 2 2 6 3 2" xfId="23996" xr:uid="{9B3E2D42-5B8D-4271-A7E3-485D74BB684B}"/>
    <cellStyle name="40% - Accent3 2 2 6 3 2 2" xfId="40890" xr:uid="{5B415F86-4D8F-4BB8-A4B3-79015AE697FC}"/>
    <cellStyle name="40% - Accent3 2 2 6 3 3" xfId="15549" xr:uid="{4BBDD316-4A93-4994-86F1-4E13501D24F3}"/>
    <cellStyle name="40% - Accent3 2 2 6 3 4" xfId="32443" xr:uid="{DF8C03E3-F624-445A-9112-481214D8FF82}"/>
    <cellStyle name="40% - Accent3 2 2 6 4" xfId="19779" xr:uid="{4FF9B381-DBA4-4364-B6F1-C245505CD23D}"/>
    <cellStyle name="40% - Accent3 2 2 6 4 2" xfId="36673" xr:uid="{CC8BEA61-6EC7-428A-86FE-2A3F0F82C678}"/>
    <cellStyle name="40% - Accent3 2 2 6 5" xfId="11332" xr:uid="{41BBEA02-D4CE-48E3-93CE-87FB591FDC40}"/>
    <cellStyle name="40% - Accent3 2 2 6 6" xfId="28226" xr:uid="{DD729839-8722-4969-A240-427D2C128423}"/>
    <cellStyle name="40% - Accent3 2 2 7" xfId="2330" xr:uid="{00000000-0005-0000-0000-000028050000}"/>
    <cellStyle name="40% - Accent3 2 2 7 2" xfId="6636" xr:uid="{00000000-0005-0000-0000-000029050000}"/>
    <cellStyle name="40% - Accent3 2 2 7 2 2" xfId="24409" xr:uid="{D47CD3B4-FED0-432D-A25D-3C4590447811}"/>
    <cellStyle name="40% - Accent3 2 2 7 2 2 2" xfId="41303" xr:uid="{355F433E-E5F2-46EF-9650-E7009CE89837}"/>
    <cellStyle name="40% - Accent3 2 2 7 2 3" xfId="15962" xr:uid="{91C0534A-F312-42EF-9FBB-30A433DFD031}"/>
    <cellStyle name="40% - Accent3 2 2 7 2 4" xfId="32856" xr:uid="{96FED617-8A7D-4B3E-AEA4-AB4A0C4B1539}"/>
    <cellStyle name="40% - Accent3 2 2 7 3" xfId="20192" xr:uid="{369997D8-5DE4-4E96-BCE2-45FB51392FD6}"/>
    <cellStyle name="40% - Accent3 2 2 7 3 2" xfId="37086" xr:uid="{B1766C77-D1C2-46C3-BFE0-D8A00AA88A51}"/>
    <cellStyle name="40% - Accent3 2 2 7 4" xfId="11745" xr:uid="{EFE73444-A7C2-460B-8F9D-0545B6A16396}"/>
    <cellStyle name="40% - Accent3 2 2 7 5" xfId="28639" xr:uid="{61600334-28CA-4FF9-A32F-4B40770005DD}"/>
    <cellStyle name="40% - Accent3 2 2 8" xfId="4570" xr:uid="{00000000-0005-0000-0000-00002A050000}"/>
    <cellStyle name="40% - Accent3 2 2 8 2" xfId="22343" xr:uid="{DBC99024-211D-4418-AB39-0FCD7DBD66C1}"/>
    <cellStyle name="40% - Accent3 2 2 8 2 2" xfId="39237" xr:uid="{0C430619-F2DC-481D-BE62-02DCBA62ADD0}"/>
    <cellStyle name="40% - Accent3 2 2 8 3" xfId="13896" xr:uid="{89C783E1-ED41-4A48-8E57-E8AD309E35BC}"/>
    <cellStyle name="40% - Accent3 2 2 8 4" xfId="30790" xr:uid="{60EEEA5C-DECB-48A8-BD9A-3F1D60DA64DF}"/>
    <cellStyle name="40% - Accent3 2 2 9" xfId="8903" xr:uid="{D9C85917-26AE-466C-8B98-905BCDA9E329}"/>
    <cellStyle name="40% - Accent3 2 2 9 2" xfId="18126" xr:uid="{5AEF8852-D23D-4A3C-A36E-8AE2E558DE71}"/>
    <cellStyle name="40% - Accent3 2 2 9 3" xfId="35020" xr:uid="{8B6A0BE6-40C5-4977-8833-7DB6711FCCF0}"/>
    <cellStyle name="40% - Accent3 2 3" xfId="69" xr:uid="{00000000-0005-0000-0000-00002B050000}"/>
    <cellStyle name="40% - Accent3 2 3 10" xfId="26575" xr:uid="{B1170AE8-AC91-45F1-A092-13E98A345370}"/>
    <cellStyle name="40% - Accent3 2 3 2" xfId="638" xr:uid="{00000000-0005-0000-0000-00002C050000}"/>
    <cellStyle name="40% - Accent3 2 3 2 2" xfId="2909" xr:uid="{00000000-0005-0000-0000-00002D050000}"/>
    <cellStyle name="40% - Accent3 2 3 2 2 2" xfId="7131" xr:uid="{00000000-0005-0000-0000-00002E050000}"/>
    <cellStyle name="40% - Accent3 2 3 2 2 2 2" xfId="24904" xr:uid="{8BB0EE7B-7E2D-48CB-BAC1-791FA10F4716}"/>
    <cellStyle name="40% - Accent3 2 3 2 2 2 2 2" xfId="41798" xr:uid="{8483ACD1-B8C6-455B-BE2F-503544020404}"/>
    <cellStyle name="40% - Accent3 2 3 2 2 2 3" xfId="16457" xr:uid="{0F17C64C-1663-4573-AD6E-6C17A1A2D00A}"/>
    <cellStyle name="40% - Accent3 2 3 2 2 2 4" xfId="33351" xr:uid="{08D69C13-CAFC-488B-85C5-196435821753}"/>
    <cellStyle name="40% - Accent3 2 3 2 2 3" xfId="20687" xr:uid="{0AB05FC6-FBAD-4CFD-9BBF-756DD08DB384}"/>
    <cellStyle name="40% - Accent3 2 3 2 2 3 2" xfId="37581" xr:uid="{41A9D7B5-0B10-4C6F-81E7-31CCBFB3FBAB}"/>
    <cellStyle name="40% - Accent3 2 3 2 2 4" xfId="12240" xr:uid="{97C58CCD-DF8C-464B-A64D-1102FDD593F9}"/>
    <cellStyle name="40% - Accent3 2 3 2 2 5" xfId="29134" xr:uid="{05B3E11C-3ACC-4150-9E46-C14F5D02C56D}"/>
    <cellStyle name="40% - Accent3 2 3 2 3" xfId="4986" xr:uid="{00000000-0005-0000-0000-00002F050000}"/>
    <cellStyle name="40% - Accent3 2 3 2 3 2" xfId="22759" xr:uid="{9DC72924-9057-42B2-B585-35849505F26E}"/>
    <cellStyle name="40% - Accent3 2 3 2 3 2 2" xfId="39653" xr:uid="{5E7A9619-D731-4090-B238-A39C0B139377}"/>
    <cellStyle name="40% - Accent3 2 3 2 3 3" xfId="14312" xr:uid="{D62827B4-51A8-4C94-B9E2-737D1FABA91D}"/>
    <cellStyle name="40% - Accent3 2 3 2 3 4" xfId="31206" xr:uid="{BB1FC4DD-BF10-4603-96A5-F92316657E9E}"/>
    <cellStyle name="40% - Accent3 2 3 2 4" xfId="9432" xr:uid="{54D6848B-0200-4F42-820D-262A8F9A2C0F}"/>
    <cellStyle name="40% - Accent3 2 3 2 4 2" xfId="18542" xr:uid="{E2358057-D62D-4448-A400-4B1979370DF0}"/>
    <cellStyle name="40% - Accent3 2 3 2 4 3" xfId="35436" xr:uid="{7B54FFF7-F874-4A0D-B13D-6BB8D0D60EDF}"/>
    <cellStyle name="40% - Accent3 2 3 2 5" xfId="10095" xr:uid="{9BA9C41E-1E16-4DD6-909F-7A32A5F76186}"/>
    <cellStyle name="40% - Accent3 2 3 2 6" xfId="26989" xr:uid="{26E05250-155A-4EBA-98EC-D1A913460F32}"/>
    <cellStyle name="40% - Accent3 2 3 3" xfId="1091" xr:uid="{00000000-0005-0000-0000-000030050000}"/>
    <cellStyle name="40% - Accent3 2 3 3 2" xfId="3322" xr:uid="{00000000-0005-0000-0000-000031050000}"/>
    <cellStyle name="40% - Accent3 2 3 3 2 2" xfId="7544" xr:uid="{00000000-0005-0000-0000-000032050000}"/>
    <cellStyle name="40% - Accent3 2 3 3 2 2 2" xfId="25317" xr:uid="{FD375D79-D8B8-48E9-AB4D-FFBF451AAE72}"/>
    <cellStyle name="40% - Accent3 2 3 3 2 2 2 2" xfId="42211" xr:uid="{CCC99503-8037-4BC3-880F-DCCDBDE77675}"/>
    <cellStyle name="40% - Accent3 2 3 3 2 2 3" xfId="16870" xr:uid="{5EDD45CC-611F-49B3-926D-1E91E772DF9A}"/>
    <cellStyle name="40% - Accent3 2 3 3 2 2 4" xfId="33764" xr:uid="{3C5909F4-C684-4B70-8BBF-17C6AB8DA8C2}"/>
    <cellStyle name="40% - Accent3 2 3 3 2 3" xfId="21100" xr:uid="{41670FA0-8049-4BA7-874D-B3D2B89C6807}"/>
    <cellStyle name="40% - Accent3 2 3 3 2 3 2" xfId="37994" xr:uid="{376F546B-35CB-4882-83BA-AAD6FF71A4DD}"/>
    <cellStyle name="40% - Accent3 2 3 3 2 4" xfId="12653" xr:uid="{BA28494A-3BCC-4FB8-8FED-C07861F13618}"/>
    <cellStyle name="40% - Accent3 2 3 3 2 5" xfId="29547" xr:uid="{6F9768C9-8868-4EEC-BDCA-10A9631D6DAD}"/>
    <cellStyle name="40% - Accent3 2 3 3 3" xfId="5399" xr:uid="{00000000-0005-0000-0000-000033050000}"/>
    <cellStyle name="40% - Accent3 2 3 3 3 2" xfId="23172" xr:uid="{09B35534-035C-4255-B2C4-7A634406A4E1}"/>
    <cellStyle name="40% - Accent3 2 3 3 3 2 2" xfId="40066" xr:uid="{841442A4-66A7-406D-A21D-A59CE55BC177}"/>
    <cellStyle name="40% - Accent3 2 3 3 3 3" xfId="14725" xr:uid="{4612BE23-8DD4-445A-B180-5DED53AC0AC9}"/>
    <cellStyle name="40% - Accent3 2 3 3 3 4" xfId="31619" xr:uid="{71DF4E29-F855-4A87-8ACF-E8058EB5BDD0}"/>
    <cellStyle name="40% - Accent3 2 3 3 4" xfId="18955" xr:uid="{F6BE11C8-4E37-4AFC-AE81-929F7FC3ABEA}"/>
    <cellStyle name="40% - Accent3 2 3 3 4 2" xfId="35849" xr:uid="{BA5F22A1-67AC-48F6-9F40-22F1C6D14F69}"/>
    <cellStyle name="40% - Accent3 2 3 3 5" xfId="10508" xr:uid="{51E6FCDC-9090-4ECC-9835-2B98D13610E2}"/>
    <cellStyle name="40% - Accent3 2 3 3 6" xfId="27402" xr:uid="{D8BBD4A2-55E3-41A3-9088-E16818F4B241}"/>
    <cellStyle name="40% - Accent3 2 3 4" xfId="1505" xr:uid="{00000000-0005-0000-0000-000034050000}"/>
    <cellStyle name="40% - Accent3 2 3 4 2" xfId="3735" xr:uid="{00000000-0005-0000-0000-000035050000}"/>
    <cellStyle name="40% - Accent3 2 3 4 2 2" xfId="7957" xr:uid="{00000000-0005-0000-0000-000036050000}"/>
    <cellStyle name="40% - Accent3 2 3 4 2 2 2" xfId="25730" xr:uid="{3EA61A93-F644-43A2-A1BE-29A18FA5B42E}"/>
    <cellStyle name="40% - Accent3 2 3 4 2 2 2 2" xfId="42624" xr:uid="{534B6A3E-2E8A-47D5-969B-453D9EE39176}"/>
    <cellStyle name="40% - Accent3 2 3 4 2 2 3" xfId="17283" xr:uid="{BE898B91-7116-453F-9051-725BEEFEEA99}"/>
    <cellStyle name="40% - Accent3 2 3 4 2 2 4" xfId="34177" xr:uid="{8633E003-3FFC-41C3-A377-0783242F76C4}"/>
    <cellStyle name="40% - Accent3 2 3 4 2 3" xfId="21513" xr:uid="{2D237607-D24A-4F84-837F-D56440BCCFEE}"/>
    <cellStyle name="40% - Accent3 2 3 4 2 3 2" xfId="38407" xr:uid="{E9324550-898D-4F66-A838-B21C1E80FC7C}"/>
    <cellStyle name="40% - Accent3 2 3 4 2 4" xfId="13066" xr:uid="{2973E99A-0369-4C00-A86A-CCD7A59CD7DD}"/>
    <cellStyle name="40% - Accent3 2 3 4 2 5" xfId="29960" xr:uid="{33C1F183-89A7-409B-9011-54ED9F51AA21}"/>
    <cellStyle name="40% - Accent3 2 3 4 3" xfId="5812" xr:uid="{00000000-0005-0000-0000-000037050000}"/>
    <cellStyle name="40% - Accent3 2 3 4 3 2" xfId="23585" xr:uid="{4AB7C9B2-DA49-4D26-9785-F996DEDE5BBB}"/>
    <cellStyle name="40% - Accent3 2 3 4 3 2 2" xfId="40479" xr:uid="{88E65DE9-2DE5-4339-9434-5F42D42A0DBC}"/>
    <cellStyle name="40% - Accent3 2 3 4 3 3" xfId="15138" xr:uid="{313A5A7C-6B0E-4534-B4FF-D38A5BA0527C}"/>
    <cellStyle name="40% - Accent3 2 3 4 3 4" xfId="32032" xr:uid="{0C901218-C9E3-46B6-94B4-380A4C1E60CA}"/>
    <cellStyle name="40% - Accent3 2 3 4 4" xfId="19368" xr:uid="{45002D11-3631-4E6B-94AA-1566B1BA3556}"/>
    <cellStyle name="40% - Accent3 2 3 4 4 2" xfId="36262" xr:uid="{5467978A-08A0-43BD-A1BD-26C092A6CAD0}"/>
    <cellStyle name="40% - Accent3 2 3 4 5" xfId="10921" xr:uid="{D8CC402F-6674-43B2-A17B-3A1CFD3BCEA6}"/>
    <cellStyle name="40% - Accent3 2 3 4 6" xfId="27815" xr:uid="{5DD5CF3F-2573-4634-A086-896CAD7FF75E}"/>
    <cellStyle name="40% - Accent3 2 3 5" xfId="1919" xr:uid="{00000000-0005-0000-0000-000038050000}"/>
    <cellStyle name="40% - Accent3 2 3 5 2" xfId="4148" xr:uid="{00000000-0005-0000-0000-000039050000}"/>
    <cellStyle name="40% - Accent3 2 3 5 2 2" xfId="8370" xr:uid="{00000000-0005-0000-0000-00003A050000}"/>
    <cellStyle name="40% - Accent3 2 3 5 2 2 2" xfId="26143" xr:uid="{06B6C74E-F7D8-4DE3-9F19-5A684BCFA450}"/>
    <cellStyle name="40% - Accent3 2 3 5 2 2 2 2" xfId="43037" xr:uid="{A101CD77-766D-4A94-8D43-00E436FD8324}"/>
    <cellStyle name="40% - Accent3 2 3 5 2 2 3" xfId="17696" xr:uid="{50E7B570-766A-4480-8981-402B6961CA75}"/>
    <cellStyle name="40% - Accent3 2 3 5 2 2 4" xfId="34590" xr:uid="{3E6A0A0B-3095-4848-814D-960DA03AB97D}"/>
    <cellStyle name="40% - Accent3 2 3 5 2 3" xfId="21926" xr:uid="{82ECB38A-EA6E-4DD7-B7A6-0A5D9799A06E}"/>
    <cellStyle name="40% - Accent3 2 3 5 2 3 2" xfId="38820" xr:uid="{A0D50555-E34F-4BE7-84C6-197B5FD08B08}"/>
    <cellStyle name="40% - Accent3 2 3 5 2 4" xfId="13479" xr:uid="{584103D8-FC12-486F-940B-A42D0C9C4B1E}"/>
    <cellStyle name="40% - Accent3 2 3 5 2 5" xfId="30373" xr:uid="{BE440B2A-ACA7-46F3-A0CA-FBFBC014B247}"/>
    <cellStyle name="40% - Accent3 2 3 5 3" xfId="6225" xr:uid="{00000000-0005-0000-0000-00003B050000}"/>
    <cellStyle name="40% - Accent3 2 3 5 3 2" xfId="23998" xr:uid="{2663F87B-51AB-4A94-90F9-B290108A65A8}"/>
    <cellStyle name="40% - Accent3 2 3 5 3 2 2" xfId="40892" xr:uid="{48F2B150-DA25-419E-B26F-1AFA6D6EFCC0}"/>
    <cellStyle name="40% - Accent3 2 3 5 3 3" xfId="15551" xr:uid="{31CDEA4E-B6AF-4D04-B6C2-4B3F910B1D66}"/>
    <cellStyle name="40% - Accent3 2 3 5 3 4" xfId="32445" xr:uid="{8F12987D-BC1A-4561-9E00-6ED58172E775}"/>
    <cellStyle name="40% - Accent3 2 3 5 4" xfId="19781" xr:uid="{A3659A91-E895-4F75-B062-772CB8C6CD44}"/>
    <cellStyle name="40% - Accent3 2 3 5 4 2" xfId="36675" xr:uid="{5E3438A3-FDFB-4531-BA55-9D80F7E2FF6E}"/>
    <cellStyle name="40% - Accent3 2 3 5 5" xfId="11334" xr:uid="{037E7791-56B9-4D61-979A-2453136B8275}"/>
    <cellStyle name="40% - Accent3 2 3 5 6" xfId="28228" xr:uid="{6CFE2352-99CF-4B23-AFCD-E5911D47240D}"/>
    <cellStyle name="40% - Accent3 2 3 6" xfId="2332" xr:uid="{00000000-0005-0000-0000-00003C050000}"/>
    <cellStyle name="40% - Accent3 2 3 6 2" xfId="6638" xr:uid="{00000000-0005-0000-0000-00003D050000}"/>
    <cellStyle name="40% - Accent3 2 3 6 2 2" xfId="24411" xr:uid="{7CDD3628-B609-4895-86A8-EF007A51BE94}"/>
    <cellStyle name="40% - Accent3 2 3 6 2 2 2" xfId="41305" xr:uid="{BE1AB005-83D0-4555-835F-CB579E38A21D}"/>
    <cellStyle name="40% - Accent3 2 3 6 2 3" xfId="15964" xr:uid="{276A629D-4344-4816-A087-C67C621CC9E0}"/>
    <cellStyle name="40% - Accent3 2 3 6 2 4" xfId="32858" xr:uid="{11F4D333-8801-4C64-93D7-1E3EF4ED3CBA}"/>
    <cellStyle name="40% - Accent3 2 3 6 3" xfId="20194" xr:uid="{5E0DEB14-B8A4-44B5-A633-40FFB83F0FB0}"/>
    <cellStyle name="40% - Accent3 2 3 6 3 2" xfId="37088" xr:uid="{CC78BE48-0632-478F-BB9E-3C3615114807}"/>
    <cellStyle name="40% - Accent3 2 3 6 4" xfId="11747" xr:uid="{18163CC4-45D3-49F7-A2C2-89533C2429B4}"/>
    <cellStyle name="40% - Accent3 2 3 6 5" xfId="28641" xr:uid="{204BB5FC-61E3-42AE-A646-51F728DEFD42}"/>
    <cellStyle name="40% - Accent3 2 3 7" xfId="4572" xr:uid="{00000000-0005-0000-0000-00003E050000}"/>
    <cellStyle name="40% - Accent3 2 3 7 2" xfId="22345" xr:uid="{B6ACCA31-D3EC-41CC-89A9-D00BB7C44ED9}"/>
    <cellStyle name="40% - Accent3 2 3 7 2 2" xfId="39239" xr:uid="{5DD467FD-1890-45E3-9F25-C14A83FFBF45}"/>
    <cellStyle name="40% - Accent3 2 3 7 3" xfId="13898" xr:uid="{93FA715A-BBAC-470E-AB54-478D8EC9C75E}"/>
    <cellStyle name="40% - Accent3 2 3 7 4" xfId="30792" xr:uid="{C651C287-BAA0-4457-BC00-923B77D9698B}"/>
    <cellStyle name="40% - Accent3 2 3 8" xfId="9007" xr:uid="{2DEFD82C-2A62-4C1E-AA8D-7F2606BD9091}"/>
    <cellStyle name="40% - Accent3 2 3 8 2" xfId="18128" xr:uid="{F3C15878-1FD0-4846-8ED2-09EE615E5C58}"/>
    <cellStyle name="40% - Accent3 2 3 8 3" xfId="35022" xr:uid="{B831F7B2-556D-4093-B36E-020A77C2DC51}"/>
    <cellStyle name="40% - Accent3 2 3 9" xfId="9681" xr:uid="{2638C24F-2FBA-4BDA-9EA2-BDA5C25BDB1A}"/>
    <cellStyle name="40% - Accent3 2 4" xfId="635" xr:uid="{00000000-0005-0000-0000-00003F050000}"/>
    <cellStyle name="40% - Accent3 2 4 2" xfId="2906" xr:uid="{00000000-0005-0000-0000-000040050000}"/>
    <cellStyle name="40% - Accent3 2 4 2 2" xfId="7128" xr:uid="{00000000-0005-0000-0000-000041050000}"/>
    <cellStyle name="40% - Accent3 2 4 2 2 2" xfId="24901" xr:uid="{D1CC1DEB-0206-444B-93FF-BE5DB01B7725}"/>
    <cellStyle name="40% - Accent3 2 4 2 2 2 2" xfId="41795" xr:uid="{01FCE5C7-2954-4E04-825F-167FB9804B81}"/>
    <cellStyle name="40% - Accent3 2 4 2 2 3" xfId="16454" xr:uid="{5684B029-23BF-451D-BE9D-DBC472A2326C}"/>
    <cellStyle name="40% - Accent3 2 4 2 2 4" xfId="33348" xr:uid="{3D63873C-A04E-4925-8C9A-26A610BC09E3}"/>
    <cellStyle name="40% - Accent3 2 4 2 3" xfId="20684" xr:uid="{B9AAB06A-CDC0-4455-A14A-B4F67791ED3A}"/>
    <cellStyle name="40% - Accent3 2 4 2 3 2" xfId="37578" xr:uid="{7CB25FFD-B78C-45D9-AC74-D67516372F69}"/>
    <cellStyle name="40% - Accent3 2 4 2 4" xfId="12237" xr:uid="{1A047858-5A17-499C-92D5-97B322C1C683}"/>
    <cellStyle name="40% - Accent3 2 4 2 5" xfId="29131" xr:uid="{DFC39CD3-8B46-4695-BAC7-998AB2AA2EE7}"/>
    <cellStyle name="40% - Accent3 2 4 3" xfId="4983" xr:uid="{00000000-0005-0000-0000-000042050000}"/>
    <cellStyle name="40% - Accent3 2 4 3 2" xfId="22756" xr:uid="{942A7B41-45AF-40FB-B20F-36A410A37BC8}"/>
    <cellStyle name="40% - Accent3 2 4 3 2 2" xfId="39650" xr:uid="{FEDDED63-D0BB-4D84-8727-6EDB05B8DDD0}"/>
    <cellStyle name="40% - Accent3 2 4 3 3" xfId="14309" xr:uid="{7AA83092-4301-4D48-8EB6-95E59257C1C7}"/>
    <cellStyle name="40% - Accent3 2 4 3 4" xfId="31203" xr:uid="{A7894E32-1B93-43A8-9AE0-A4E3ED639867}"/>
    <cellStyle name="40% - Accent3 2 4 4" xfId="9224" xr:uid="{6B91012A-BFF2-4F1F-901C-A91F06F80031}"/>
    <cellStyle name="40% - Accent3 2 4 4 2" xfId="18539" xr:uid="{07438AAC-3A82-49AC-9181-ECDD4C6B297A}"/>
    <cellStyle name="40% - Accent3 2 4 4 3" xfId="35433" xr:uid="{4517A375-DF9B-4C56-8018-69EC30770FAE}"/>
    <cellStyle name="40% - Accent3 2 4 5" xfId="10092" xr:uid="{0E7508A1-C2BA-4579-B58F-565CAA5E7037}"/>
    <cellStyle name="40% - Accent3 2 4 6" xfId="26986" xr:uid="{DB1934D7-B5A1-489D-BC94-A1E52F3FCA62}"/>
    <cellStyle name="40% - Accent3 2 5" xfId="1088" xr:uid="{00000000-0005-0000-0000-000043050000}"/>
    <cellStyle name="40% - Accent3 2 5 2" xfId="3319" xr:uid="{00000000-0005-0000-0000-000044050000}"/>
    <cellStyle name="40% - Accent3 2 5 2 2" xfId="7541" xr:uid="{00000000-0005-0000-0000-000045050000}"/>
    <cellStyle name="40% - Accent3 2 5 2 2 2" xfId="25314" xr:uid="{4513B516-7EB9-463C-AD9F-95FCAAB42DD9}"/>
    <cellStyle name="40% - Accent3 2 5 2 2 2 2" xfId="42208" xr:uid="{1E5C8B53-60D5-4FE3-B9B3-55699B7E6558}"/>
    <cellStyle name="40% - Accent3 2 5 2 2 3" xfId="16867" xr:uid="{609EB8C0-381C-4239-A2F0-CFEB8A9E58B8}"/>
    <cellStyle name="40% - Accent3 2 5 2 2 4" xfId="33761" xr:uid="{C1481F2F-7456-44C6-9A5B-9C07322A8F01}"/>
    <cellStyle name="40% - Accent3 2 5 2 3" xfId="21097" xr:uid="{B0EF7B28-9581-4D21-86DF-A847F61A4018}"/>
    <cellStyle name="40% - Accent3 2 5 2 3 2" xfId="37991" xr:uid="{82708B53-FAB3-4429-8408-C744E88FCBC1}"/>
    <cellStyle name="40% - Accent3 2 5 2 4" xfId="12650" xr:uid="{0DF488C5-4623-4E9D-9EC4-329D9344B7B4}"/>
    <cellStyle name="40% - Accent3 2 5 2 5" xfId="29544" xr:uid="{1C79B44D-0176-49F1-9A9E-D130055A19A1}"/>
    <cellStyle name="40% - Accent3 2 5 3" xfId="5396" xr:uid="{00000000-0005-0000-0000-000046050000}"/>
    <cellStyle name="40% - Accent3 2 5 3 2" xfId="23169" xr:uid="{09169446-E636-4544-8EE3-DC0292AE9EDE}"/>
    <cellStyle name="40% - Accent3 2 5 3 2 2" xfId="40063" xr:uid="{87B764FB-A364-4807-BB48-F34FB722F9BE}"/>
    <cellStyle name="40% - Accent3 2 5 3 3" xfId="14722" xr:uid="{30F24766-188B-43CF-ADA1-F529113F0408}"/>
    <cellStyle name="40% - Accent3 2 5 3 4" xfId="31616" xr:uid="{F42236EA-3D07-4664-81F7-58B6EA9BF02D}"/>
    <cellStyle name="40% - Accent3 2 5 4" xfId="18952" xr:uid="{2E818C11-3EB9-46D1-8753-76F0E085FB7E}"/>
    <cellStyle name="40% - Accent3 2 5 4 2" xfId="35846" xr:uid="{5A9F4E6E-2ADD-4F04-9320-CED0DFE13CFB}"/>
    <cellStyle name="40% - Accent3 2 5 5" xfId="10505" xr:uid="{5BF8EDAB-B46D-47A7-AC5C-41288CBD4D84}"/>
    <cellStyle name="40% - Accent3 2 5 6" xfId="27399" xr:uid="{97E766BA-3566-4A49-8965-B2832AB61639}"/>
    <cellStyle name="40% - Accent3 2 6" xfId="1502" xr:uid="{00000000-0005-0000-0000-000047050000}"/>
    <cellStyle name="40% - Accent3 2 6 2" xfId="3732" xr:uid="{00000000-0005-0000-0000-000048050000}"/>
    <cellStyle name="40% - Accent3 2 6 2 2" xfId="7954" xr:uid="{00000000-0005-0000-0000-000049050000}"/>
    <cellStyle name="40% - Accent3 2 6 2 2 2" xfId="25727" xr:uid="{8237E0C9-CDB7-4B7D-AD4A-B1474C943F93}"/>
    <cellStyle name="40% - Accent3 2 6 2 2 2 2" xfId="42621" xr:uid="{AE883CA7-2008-4078-94C8-EA4CE95A61D2}"/>
    <cellStyle name="40% - Accent3 2 6 2 2 3" xfId="17280" xr:uid="{D32F0C4C-F1CE-4C72-BEE7-3323CA36B320}"/>
    <cellStyle name="40% - Accent3 2 6 2 2 4" xfId="34174" xr:uid="{1F825474-F781-4D3D-995D-6068C8E7D72D}"/>
    <cellStyle name="40% - Accent3 2 6 2 3" xfId="21510" xr:uid="{0699B1BD-A296-45D1-88A6-2217E583515F}"/>
    <cellStyle name="40% - Accent3 2 6 2 3 2" xfId="38404" xr:uid="{01C38E67-136F-4C1B-89C0-5B796C9254A1}"/>
    <cellStyle name="40% - Accent3 2 6 2 4" xfId="13063" xr:uid="{BD40D72E-B156-41C0-B78D-C114C7B75767}"/>
    <cellStyle name="40% - Accent3 2 6 2 5" xfId="29957" xr:uid="{162804D2-C245-4456-8E2B-9D3E6DED934C}"/>
    <cellStyle name="40% - Accent3 2 6 3" xfId="5809" xr:uid="{00000000-0005-0000-0000-00004A050000}"/>
    <cellStyle name="40% - Accent3 2 6 3 2" xfId="23582" xr:uid="{D2D12BB7-391F-4BB3-9169-69CF905A6070}"/>
    <cellStyle name="40% - Accent3 2 6 3 2 2" xfId="40476" xr:uid="{59F13F45-3D59-425D-A86E-32288DDC8574}"/>
    <cellStyle name="40% - Accent3 2 6 3 3" xfId="15135" xr:uid="{A23EDF01-8E0C-4723-A9CD-D4220D2C9683}"/>
    <cellStyle name="40% - Accent3 2 6 3 4" xfId="32029" xr:uid="{7F7929E2-64D2-4AE7-BF5E-DB643D9D94BA}"/>
    <cellStyle name="40% - Accent3 2 6 4" xfId="19365" xr:uid="{0B4B11C2-0839-4591-B304-C7D9D17F43E0}"/>
    <cellStyle name="40% - Accent3 2 6 4 2" xfId="36259" xr:uid="{639FF0FC-EF56-4887-80BB-7BFF62B3C604}"/>
    <cellStyle name="40% - Accent3 2 6 5" xfId="10918" xr:uid="{B576700A-35EF-47C8-ACF4-B0C46B2B5D7B}"/>
    <cellStyle name="40% - Accent3 2 6 6" xfId="27812" xr:uid="{668D68D8-D672-438A-BD07-068903F574C1}"/>
    <cellStyle name="40% - Accent3 2 7" xfId="1916" xr:uid="{00000000-0005-0000-0000-00004B050000}"/>
    <cellStyle name="40% - Accent3 2 7 2" xfId="4145" xr:uid="{00000000-0005-0000-0000-00004C050000}"/>
    <cellStyle name="40% - Accent3 2 7 2 2" xfId="8367" xr:uid="{00000000-0005-0000-0000-00004D050000}"/>
    <cellStyle name="40% - Accent3 2 7 2 2 2" xfId="26140" xr:uid="{FE7AD4F2-B57C-44F2-ABE7-F9F7EC920FAE}"/>
    <cellStyle name="40% - Accent3 2 7 2 2 2 2" xfId="43034" xr:uid="{E31B1D07-6056-4020-8438-194F5E520B83}"/>
    <cellStyle name="40% - Accent3 2 7 2 2 3" xfId="17693" xr:uid="{BFDD2736-5020-44DC-B072-FB5D36694DB3}"/>
    <cellStyle name="40% - Accent3 2 7 2 2 4" xfId="34587" xr:uid="{D544DB72-8A1D-4B8F-8A97-A83DD7559450}"/>
    <cellStyle name="40% - Accent3 2 7 2 3" xfId="21923" xr:uid="{745C980D-6552-4A6B-9528-E1B18205CFA6}"/>
    <cellStyle name="40% - Accent3 2 7 2 3 2" xfId="38817" xr:uid="{532A93C1-FAE3-4F50-8120-31A123A539F9}"/>
    <cellStyle name="40% - Accent3 2 7 2 4" xfId="13476" xr:uid="{BAC9B052-59B6-4E07-8BE3-F520DFB31172}"/>
    <cellStyle name="40% - Accent3 2 7 2 5" xfId="30370" xr:uid="{E3A8DBD3-5F46-4FC1-9232-F42B12418C74}"/>
    <cellStyle name="40% - Accent3 2 7 3" xfId="6222" xr:uid="{00000000-0005-0000-0000-00004E050000}"/>
    <cellStyle name="40% - Accent3 2 7 3 2" xfId="23995" xr:uid="{84E7213A-5830-4C0B-9FCE-BF5964112DD1}"/>
    <cellStyle name="40% - Accent3 2 7 3 2 2" xfId="40889" xr:uid="{7CCA797F-DBDB-489C-9EC5-8F3F872654B7}"/>
    <cellStyle name="40% - Accent3 2 7 3 3" xfId="15548" xr:uid="{59618CC3-655C-4646-BDE5-67B006ABB5E8}"/>
    <cellStyle name="40% - Accent3 2 7 3 4" xfId="32442" xr:uid="{3A00E7AB-B176-4DAC-AD37-D6D02BB44B4B}"/>
    <cellStyle name="40% - Accent3 2 7 4" xfId="19778" xr:uid="{047BE2B1-6B5A-485D-8ECC-56B2ED7E45E7}"/>
    <cellStyle name="40% - Accent3 2 7 4 2" xfId="36672" xr:uid="{4D717EE9-4277-453E-935D-309B9BCEA7E0}"/>
    <cellStyle name="40% - Accent3 2 7 5" xfId="11331" xr:uid="{989119AB-186B-4647-AE37-27B0CBD6E769}"/>
    <cellStyle name="40% - Accent3 2 7 6" xfId="28225" xr:uid="{66750997-BB50-425C-8EA8-73EEF03786A3}"/>
    <cellStyle name="40% - Accent3 2 8" xfId="2329" xr:uid="{00000000-0005-0000-0000-00004F050000}"/>
    <cellStyle name="40% - Accent3 2 8 2" xfId="6635" xr:uid="{00000000-0005-0000-0000-000050050000}"/>
    <cellStyle name="40% - Accent3 2 8 2 2" xfId="24408" xr:uid="{BC55DA5F-A5FD-41C9-B779-FD49F3879793}"/>
    <cellStyle name="40% - Accent3 2 8 2 2 2" xfId="41302" xr:uid="{65A2A747-A2C3-47C0-A40B-5239A0ECE514}"/>
    <cellStyle name="40% - Accent3 2 8 2 3" xfId="15961" xr:uid="{F103150D-01D3-46DA-A51D-8686D9B2913B}"/>
    <cellStyle name="40% - Accent3 2 8 2 4" xfId="32855" xr:uid="{42F3DEF1-5C73-4FD0-BD88-39CA3CC3257F}"/>
    <cellStyle name="40% - Accent3 2 8 3" xfId="20191" xr:uid="{8BD12196-3F6A-4D5C-9994-F3ED9AEFEAB9}"/>
    <cellStyle name="40% - Accent3 2 8 3 2" xfId="37085" xr:uid="{F3753F10-5B35-430A-917D-3D1C6B6D8D5B}"/>
    <cellStyle name="40% - Accent3 2 8 4" xfId="11744" xr:uid="{93A5E5BD-CAB2-4CE0-9836-3E48B6196783}"/>
    <cellStyle name="40% - Accent3 2 8 5" xfId="28638" xr:uid="{4FDBA835-C25A-459E-BD96-8FE6435C1504}"/>
    <cellStyle name="40% - Accent3 2 9" xfId="4569" xr:uid="{00000000-0005-0000-0000-000051050000}"/>
    <cellStyle name="40% - Accent3 2 9 2" xfId="22342" xr:uid="{F1858E3C-9BF1-49FA-8A51-534417FEF636}"/>
    <cellStyle name="40% - Accent3 2 9 2 2" xfId="39236" xr:uid="{5C3EFD19-C51B-4872-8E3F-6946126E8D53}"/>
    <cellStyle name="40% - Accent3 2 9 3" xfId="13895" xr:uid="{F264F7DC-616C-4CF5-BE45-78678FEAF262}"/>
    <cellStyle name="40% - Accent3 2 9 4" xfId="30789" xr:uid="{5CA8EA1C-729C-4BA7-8540-853D8A82BB94}"/>
    <cellStyle name="40% - Accent3 3" xfId="70" xr:uid="{00000000-0005-0000-0000-000052050000}"/>
    <cellStyle name="40% - Accent3 3 10" xfId="9682" xr:uid="{7C415B8C-F1A9-42D3-89A8-192AFF49901F}"/>
    <cellStyle name="40% - Accent3 3 11" xfId="26576" xr:uid="{9E97A56B-FB56-47C4-AA3E-90B649E10C7B}"/>
    <cellStyle name="40% - Accent3 3 2" xfId="71" xr:uid="{00000000-0005-0000-0000-000053050000}"/>
    <cellStyle name="40% - Accent3 3 2 10" xfId="26577" xr:uid="{9420AC51-9250-4284-8E58-E3DFDC0D6FB2}"/>
    <cellStyle name="40% - Accent3 3 2 2" xfId="640" xr:uid="{00000000-0005-0000-0000-000054050000}"/>
    <cellStyle name="40% - Accent3 3 2 2 2" xfId="2911" xr:uid="{00000000-0005-0000-0000-000055050000}"/>
    <cellStyle name="40% - Accent3 3 2 2 2 2" xfId="7133" xr:uid="{00000000-0005-0000-0000-000056050000}"/>
    <cellStyle name="40% - Accent3 3 2 2 2 2 2" xfId="24906" xr:uid="{56FBE849-E101-4012-8187-83C176047D77}"/>
    <cellStyle name="40% - Accent3 3 2 2 2 2 2 2" xfId="41800" xr:uid="{B6EC7662-9618-4E8E-A9AA-F1815CE40FD7}"/>
    <cellStyle name="40% - Accent3 3 2 2 2 2 3" xfId="16459" xr:uid="{9B0FB19F-3200-4E3D-8A0F-912B641A1EBC}"/>
    <cellStyle name="40% - Accent3 3 2 2 2 2 4" xfId="33353" xr:uid="{20986DB1-9CA8-4D3D-9AC4-41CC4B1510EF}"/>
    <cellStyle name="40% - Accent3 3 2 2 2 3" xfId="20689" xr:uid="{B4A99DC6-7732-4861-AA73-FE382D18A2CB}"/>
    <cellStyle name="40% - Accent3 3 2 2 2 3 2" xfId="37583" xr:uid="{85254A01-9AC9-457B-867F-01752ABA0E12}"/>
    <cellStyle name="40% - Accent3 3 2 2 2 4" xfId="12242" xr:uid="{7BF1508F-6ACB-4AD8-BF87-A7AAD6651E5E}"/>
    <cellStyle name="40% - Accent3 3 2 2 2 5" xfId="29136" xr:uid="{48336A1F-7668-426C-A97F-0693EA2C72CB}"/>
    <cellStyle name="40% - Accent3 3 2 2 3" xfId="4988" xr:uid="{00000000-0005-0000-0000-000057050000}"/>
    <cellStyle name="40% - Accent3 3 2 2 3 2" xfId="22761" xr:uid="{D1532ADD-CFEC-4F80-8828-A084EF1CD4FD}"/>
    <cellStyle name="40% - Accent3 3 2 2 3 2 2" xfId="39655" xr:uid="{22338B2D-7C41-4CA8-BDD2-13B056333DF7}"/>
    <cellStyle name="40% - Accent3 3 2 2 3 3" xfId="14314" xr:uid="{8E5719A8-DB70-4A20-BDBD-F55D45781EBA}"/>
    <cellStyle name="40% - Accent3 3 2 2 3 4" xfId="31208" xr:uid="{66E41AE7-9266-4A8A-8BE3-0E38E1317200}"/>
    <cellStyle name="40% - Accent3 3 2 2 4" xfId="9498" xr:uid="{7C43CF58-5AE0-4BAA-9D2B-CAB92F3612F1}"/>
    <cellStyle name="40% - Accent3 3 2 2 4 2" xfId="18544" xr:uid="{F5EDB610-722B-4CA2-82C8-558B2766A474}"/>
    <cellStyle name="40% - Accent3 3 2 2 4 3" xfId="35438" xr:uid="{99B93D72-281C-4BC4-886C-C951FE0F3286}"/>
    <cellStyle name="40% - Accent3 3 2 2 5" xfId="10097" xr:uid="{F35473A2-3A74-4834-B84D-A49AC9AE01BD}"/>
    <cellStyle name="40% - Accent3 3 2 2 6" xfId="26991" xr:uid="{1B95F3BC-1C75-4432-BF62-71BC65294B75}"/>
    <cellStyle name="40% - Accent3 3 2 3" xfId="1093" xr:uid="{00000000-0005-0000-0000-000058050000}"/>
    <cellStyle name="40% - Accent3 3 2 3 2" xfId="3324" xr:uid="{00000000-0005-0000-0000-000059050000}"/>
    <cellStyle name="40% - Accent3 3 2 3 2 2" xfId="7546" xr:uid="{00000000-0005-0000-0000-00005A050000}"/>
    <cellStyle name="40% - Accent3 3 2 3 2 2 2" xfId="25319" xr:uid="{8A03D052-2380-464F-AD57-6324B08BA9A7}"/>
    <cellStyle name="40% - Accent3 3 2 3 2 2 2 2" xfId="42213" xr:uid="{88579D25-7D02-444D-BBE8-56789E4008EF}"/>
    <cellStyle name="40% - Accent3 3 2 3 2 2 3" xfId="16872" xr:uid="{5650F2AB-1FF0-4EC4-9D43-ABA9E1FE6A7B}"/>
    <cellStyle name="40% - Accent3 3 2 3 2 2 4" xfId="33766" xr:uid="{19EF93B2-C700-4EDD-B6FE-D336AC9D8DCC}"/>
    <cellStyle name="40% - Accent3 3 2 3 2 3" xfId="21102" xr:uid="{FC386C50-9963-4F70-B496-E812DE1B5738}"/>
    <cellStyle name="40% - Accent3 3 2 3 2 3 2" xfId="37996" xr:uid="{B06E763B-1BB6-4A57-BCC5-18A266FC63E5}"/>
    <cellStyle name="40% - Accent3 3 2 3 2 4" xfId="12655" xr:uid="{0B629B2C-8979-4484-BCA6-80C4E910D404}"/>
    <cellStyle name="40% - Accent3 3 2 3 2 5" xfId="29549" xr:uid="{395103D4-6D5A-48CE-B6D7-5A3006066B1E}"/>
    <cellStyle name="40% - Accent3 3 2 3 3" xfId="5401" xr:uid="{00000000-0005-0000-0000-00005B050000}"/>
    <cellStyle name="40% - Accent3 3 2 3 3 2" xfId="23174" xr:uid="{959C5797-83CE-4642-ACD3-7B067DA8845D}"/>
    <cellStyle name="40% - Accent3 3 2 3 3 2 2" xfId="40068" xr:uid="{FB7538F6-B6A6-407D-AA98-E604FA865931}"/>
    <cellStyle name="40% - Accent3 3 2 3 3 3" xfId="14727" xr:uid="{FAAD200D-9618-4F32-8F6C-6A8D743D1C2B}"/>
    <cellStyle name="40% - Accent3 3 2 3 3 4" xfId="31621" xr:uid="{2F7DEED6-F07E-40D1-A597-7D93A898AEE4}"/>
    <cellStyle name="40% - Accent3 3 2 3 4" xfId="18957" xr:uid="{7B1FF276-1C4F-49AE-A302-0E75C90918B0}"/>
    <cellStyle name="40% - Accent3 3 2 3 4 2" xfId="35851" xr:uid="{AF41E7F4-2B85-402B-9CF8-7F8C582D18D3}"/>
    <cellStyle name="40% - Accent3 3 2 3 5" xfId="10510" xr:uid="{EBA2AF2B-28DC-49D0-AB90-8CF9D0C080D5}"/>
    <cellStyle name="40% - Accent3 3 2 3 6" xfId="27404" xr:uid="{76EA7267-BBCA-4E49-B67C-ACF63955E0F0}"/>
    <cellStyle name="40% - Accent3 3 2 4" xfId="1507" xr:uid="{00000000-0005-0000-0000-00005C050000}"/>
    <cellStyle name="40% - Accent3 3 2 4 2" xfId="3737" xr:uid="{00000000-0005-0000-0000-00005D050000}"/>
    <cellStyle name="40% - Accent3 3 2 4 2 2" xfId="7959" xr:uid="{00000000-0005-0000-0000-00005E050000}"/>
    <cellStyle name="40% - Accent3 3 2 4 2 2 2" xfId="25732" xr:uid="{6B1AE110-9B61-4487-B0F2-C447F54ECA6A}"/>
    <cellStyle name="40% - Accent3 3 2 4 2 2 2 2" xfId="42626" xr:uid="{44009BC0-2DF4-4DCB-810A-2FAEFAF407D4}"/>
    <cellStyle name="40% - Accent3 3 2 4 2 2 3" xfId="17285" xr:uid="{6B9306EF-9796-4973-9AA7-98DF339DA05E}"/>
    <cellStyle name="40% - Accent3 3 2 4 2 2 4" xfId="34179" xr:uid="{71045F23-35B1-40F5-B5A0-F0C3CEC65B0D}"/>
    <cellStyle name="40% - Accent3 3 2 4 2 3" xfId="21515" xr:uid="{E4AEA6DE-4B99-4C15-8C84-3F70EE7F55A7}"/>
    <cellStyle name="40% - Accent3 3 2 4 2 3 2" xfId="38409" xr:uid="{82BA2468-989E-4113-892F-8A1E99C19909}"/>
    <cellStyle name="40% - Accent3 3 2 4 2 4" xfId="13068" xr:uid="{932BD6C3-4C91-46F1-B5B2-A73E08429A22}"/>
    <cellStyle name="40% - Accent3 3 2 4 2 5" xfId="29962" xr:uid="{90D8AFE0-E53D-49C5-9246-D78156F615B1}"/>
    <cellStyle name="40% - Accent3 3 2 4 3" xfId="5814" xr:uid="{00000000-0005-0000-0000-00005F050000}"/>
    <cellStyle name="40% - Accent3 3 2 4 3 2" xfId="23587" xr:uid="{B2F7F9A4-E737-4DC8-BECC-4F4EE2C54430}"/>
    <cellStyle name="40% - Accent3 3 2 4 3 2 2" xfId="40481" xr:uid="{BA0CAC70-14CD-4292-87B5-3136248C101E}"/>
    <cellStyle name="40% - Accent3 3 2 4 3 3" xfId="15140" xr:uid="{4CC81463-84E4-4D28-A47C-5FF236FED085}"/>
    <cellStyle name="40% - Accent3 3 2 4 3 4" xfId="32034" xr:uid="{7ABD184F-5C35-4E5E-94ED-DBCEC4F5BB08}"/>
    <cellStyle name="40% - Accent3 3 2 4 4" xfId="19370" xr:uid="{3FE04990-D818-4987-909F-D282609C25D1}"/>
    <cellStyle name="40% - Accent3 3 2 4 4 2" xfId="36264" xr:uid="{F98B4B15-32C8-4267-BBAE-695C6979C8D4}"/>
    <cellStyle name="40% - Accent3 3 2 4 5" xfId="10923" xr:uid="{406B1C29-4440-420E-9D52-2BD24B23D563}"/>
    <cellStyle name="40% - Accent3 3 2 4 6" xfId="27817" xr:uid="{0CA68954-B12C-440B-93E6-C852CAE5D227}"/>
    <cellStyle name="40% - Accent3 3 2 5" xfId="1921" xr:uid="{00000000-0005-0000-0000-000060050000}"/>
    <cellStyle name="40% - Accent3 3 2 5 2" xfId="4150" xr:uid="{00000000-0005-0000-0000-000061050000}"/>
    <cellStyle name="40% - Accent3 3 2 5 2 2" xfId="8372" xr:uid="{00000000-0005-0000-0000-000062050000}"/>
    <cellStyle name="40% - Accent3 3 2 5 2 2 2" xfId="26145" xr:uid="{B5A3C054-386C-4302-A238-CD996723A679}"/>
    <cellStyle name="40% - Accent3 3 2 5 2 2 2 2" xfId="43039" xr:uid="{65658471-6520-4F52-A12A-3503C88FECAF}"/>
    <cellStyle name="40% - Accent3 3 2 5 2 2 3" xfId="17698" xr:uid="{2160FDFD-EA83-4E00-B23B-B1E13D7F0D36}"/>
    <cellStyle name="40% - Accent3 3 2 5 2 2 4" xfId="34592" xr:uid="{5919D517-B779-4286-91A0-A31F320A3625}"/>
    <cellStyle name="40% - Accent3 3 2 5 2 3" xfId="21928" xr:uid="{7CB86D80-FD9F-4494-A2C9-577F7D2CC5F5}"/>
    <cellStyle name="40% - Accent3 3 2 5 2 3 2" xfId="38822" xr:uid="{B590FC46-9F94-4DF9-AA9D-B4EEF97E48B8}"/>
    <cellStyle name="40% - Accent3 3 2 5 2 4" xfId="13481" xr:uid="{EF4AC9CE-6665-4E7D-BA87-6332DBF6A188}"/>
    <cellStyle name="40% - Accent3 3 2 5 2 5" xfId="30375" xr:uid="{2A82FC86-07B1-4275-B896-E12432A6D657}"/>
    <cellStyle name="40% - Accent3 3 2 5 3" xfId="6227" xr:uid="{00000000-0005-0000-0000-000063050000}"/>
    <cellStyle name="40% - Accent3 3 2 5 3 2" xfId="24000" xr:uid="{E24CD038-E2D6-46ED-B82A-DCD02B958CAC}"/>
    <cellStyle name="40% - Accent3 3 2 5 3 2 2" xfId="40894" xr:uid="{826CE846-5B5B-49FE-A6C1-381C034A35E5}"/>
    <cellStyle name="40% - Accent3 3 2 5 3 3" xfId="15553" xr:uid="{F7FA03E2-8557-4BE8-9481-FFF44EAE1A7A}"/>
    <cellStyle name="40% - Accent3 3 2 5 3 4" xfId="32447" xr:uid="{18CCFDB6-F23C-40EB-97CB-82FFFFCF7782}"/>
    <cellStyle name="40% - Accent3 3 2 5 4" xfId="19783" xr:uid="{15712FDA-3FEE-49E9-B4E9-A5546F213141}"/>
    <cellStyle name="40% - Accent3 3 2 5 4 2" xfId="36677" xr:uid="{9920915B-7A40-4C56-9454-1AAC0F7C6FC3}"/>
    <cellStyle name="40% - Accent3 3 2 5 5" xfId="11336" xr:uid="{80598997-9FC6-455A-99D1-AD569A151AC6}"/>
    <cellStyle name="40% - Accent3 3 2 5 6" xfId="28230" xr:uid="{AAA629F6-06FB-4144-98E5-999F84B82435}"/>
    <cellStyle name="40% - Accent3 3 2 6" xfId="2334" xr:uid="{00000000-0005-0000-0000-000064050000}"/>
    <cellStyle name="40% - Accent3 3 2 6 2" xfId="6640" xr:uid="{00000000-0005-0000-0000-000065050000}"/>
    <cellStyle name="40% - Accent3 3 2 6 2 2" xfId="24413" xr:uid="{82A1CCAD-43EC-4A89-AAC7-EE4A3CC2FD56}"/>
    <cellStyle name="40% - Accent3 3 2 6 2 2 2" xfId="41307" xr:uid="{5BBB05A6-3031-442A-8FA0-3E54713DAA37}"/>
    <cellStyle name="40% - Accent3 3 2 6 2 3" xfId="15966" xr:uid="{0A5039B0-4024-4FE8-BCD6-B070BFC98B4D}"/>
    <cellStyle name="40% - Accent3 3 2 6 2 4" xfId="32860" xr:uid="{D3643AAF-4457-4DF2-B477-37D0B3E0BA92}"/>
    <cellStyle name="40% - Accent3 3 2 6 3" xfId="20196" xr:uid="{AAA499B1-DE78-4D8A-AB3E-74D3F457E21F}"/>
    <cellStyle name="40% - Accent3 3 2 6 3 2" xfId="37090" xr:uid="{C190BCA0-4292-4A38-9C9F-222AC35610E4}"/>
    <cellStyle name="40% - Accent3 3 2 6 4" xfId="11749" xr:uid="{E2A660A1-A34F-452A-8FB0-ACB949493C03}"/>
    <cellStyle name="40% - Accent3 3 2 6 5" xfId="28643" xr:uid="{1815A4AA-56CF-4E77-824E-8E7DE8DEC0ED}"/>
    <cellStyle name="40% - Accent3 3 2 7" xfId="4574" xr:uid="{00000000-0005-0000-0000-000066050000}"/>
    <cellStyle name="40% - Accent3 3 2 7 2" xfId="22347" xr:uid="{CBE7FD1F-F07C-45A5-88D9-9F67C2249501}"/>
    <cellStyle name="40% - Accent3 3 2 7 2 2" xfId="39241" xr:uid="{6E02CE5C-07A1-4057-840F-13848B0AB5C5}"/>
    <cellStyle name="40% - Accent3 3 2 7 3" xfId="13900" xr:uid="{E194E032-38DE-4E63-AC42-191707092F6B}"/>
    <cellStyle name="40% - Accent3 3 2 7 4" xfId="30794" xr:uid="{9D47F42F-2BA6-4C37-AC75-94AEEC96A3E4}"/>
    <cellStyle name="40% - Accent3 3 2 8" xfId="9073" xr:uid="{0E71C752-2CF0-411D-A05E-4DA4A73CFC34}"/>
    <cellStyle name="40% - Accent3 3 2 8 2" xfId="18130" xr:uid="{C4214A73-D7B2-4BB8-82E5-70CB85AA71B0}"/>
    <cellStyle name="40% - Accent3 3 2 8 3" xfId="35024" xr:uid="{A03126A8-3493-41D8-AE18-D7BE1FF72BF3}"/>
    <cellStyle name="40% - Accent3 3 2 9" xfId="9683" xr:uid="{ED674C07-A0E7-4268-8AF1-A4A79A02192A}"/>
    <cellStyle name="40% - Accent3 3 3" xfId="639" xr:uid="{00000000-0005-0000-0000-000067050000}"/>
    <cellStyle name="40% - Accent3 3 3 2" xfId="2910" xr:uid="{00000000-0005-0000-0000-000068050000}"/>
    <cellStyle name="40% - Accent3 3 3 2 2" xfId="7132" xr:uid="{00000000-0005-0000-0000-000069050000}"/>
    <cellStyle name="40% - Accent3 3 3 2 2 2" xfId="24905" xr:uid="{4988BBC0-13E9-4AA5-8E37-026FE8A78E0E}"/>
    <cellStyle name="40% - Accent3 3 3 2 2 2 2" xfId="41799" xr:uid="{A3C7E35C-8C68-4427-9067-A1245300EB91}"/>
    <cellStyle name="40% - Accent3 3 3 2 2 3" xfId="16458" xr:uid="{C30C2500-168E-4099-B8D1-A351EAB6410A}"/>
    <cellStyle name="40% - Accent3 3 3 2 2 4" xfId="33352" xr:uid="{993237EE-0574-44C8-B811-D2B287497EBF}"/>
    <cellStyle name="40% - Accent3 3 3 2 3" xfId="20688" xr:uid="{BC7E6B96-E6B2-4EF2-B2E1-D03D49C72699}"/>
    <cellStyle name="40% - Accent3 3 3 2 3 2" xfId="37582" xr:uid="{3661D6D5-49B3-4B1D-91D9-E3493967A408}"/>
    <cellStyle name="40% - Accent3 3 3 2 4" xfId="12241" xr:uid="{141F8E4C-0FA7-4C8B-A656-ED45C8C1AE91}"/>
    <cellStyle name="40% - Accent3 3 3 2 5" xfId="29135" xr:uid="{90203190-679B-4B10-A8A8-A5F1D1F31D90}"/>
    <cellStyle name="40% - Accent3 3 3 3" xfId="4987" xr:uid="{00000000-0005-0000-0000-00006A050000}"/>
    <cellStyle name="40% - Accent3 3 3 3 2" xfId="22760" xr:uid="{AF28CE05-B4D1-454D-863B-81DE37B177F4}"/>
    <cellStyle name="40% - Accent3 3 3 3 2 2" xfId="39654" xr:uid="{8D944B1B-FBE3-4124-8CFD-3C368084FD0B}"/>
    <cellStyle name="40% - Accent3 3 3 3 3" xfId="14313" xr:uid="{95FABD23-1878-4B5C-8B1C-094639010A03}"/>
    <cellStyle name="40% - Accent3 3 3 3 4" xfId="31207" xr:uid="{AF5B9260-B777-43BA-8E6C-7AB6BD6EFA86}"/>
    <cellStyle name="40% - Accent3 3 3 4" xfId="9291" xr:uid="{59AB3F6D-A8C6-4A37-A8E3-967850079A77}"/>
    <cellStyle name="40% - Accent3 3 3 4 2" xfId="18543" xr:uid="{C446F02E-A600-4562-A5B9-D0EA13FFB13F}"/>
    <cellStyle name="40% - Accent3 3 3 4 3" xfId="35437" xr:uid="{B63A88A5-8087-4C00-B8DC-20BA3765E4DC}"/>
    <cellStyle name="40% - Accent3 3 3 5" xfId="10096" xr:uid="{171E5F22-0475-45FC-8759-1045C44B3FF9}"/>
    <cellStyle name="40% - Accent3 3 3 6" xfId="26990" xr:uid="{07442039-A87F-4589-A5A1-2D4ECB006329}"/>
    <cellStyle name="40% - Accent3 3 4" xfId="1092" xr:uid="{00000000-0005-0000-0000-00006B050000}"/>
    <cellStyle name="40% - Accent3 3 4 2" xfId="3323" xr:uid="{00000000-0005-0000-0000-00006C050000}"/>
    <cellStyle name="40% - Accent3 3 4 2 2" xfId="7545" xr:uid="{00000000-0005-0000-0000-00006D050000}"/>
    <cellStyle name="40% - Accent3 3 4 2 2 2" xfId="25318" xr:uid="{B3AB6051-2029-4783-AD8E-6EACA3933537}"/>
    <cellStyle name="40% - Accent3 3 4 2 2 2 2" xfId="42212" xr:uid="{B5657A80-479A-4EB6-A896-34CF876792A2}"/>
    <cellStyle name="40% - Accent3 3 4 2 2 3" xfId="16871" xr:uid="{8A0D4186-7676-492C-99E0-8E51713349FD}"/>
    <cellStyle name="40% - Accent3 3 4 2 2 4" xfId="33765" xr:uid="{AB0A8F82-17E3-4072-AD99-C597498EBA15}"/>
    <cellStyle name="40% - Accent3 3 4 2 3" xfId="21101" xr:uid="{D0E8D111-31DC-40D2-A40F-47A9882F1B7A}"/>
    <cellStyle name="40% - Accent3 3 4 2 3 2" xfId="37995" xr:uid="{6AC18E40-7E42-4132-BB65-CB0B57DF03B6}"/>
    <cellStyle name="40% - Accent3 3 4 2 4" xfId="12654" xr:uid="{A7E27309-9EAF-4EAD-9275-63069CEEB6C7}"/>
    <cellStyle name="40% - Accent3 3 4 2 5" xfId="29548" xr:uid="{BF260736-24AF-4A13-9BB8-C51186337400}"/>
    <cellStyle name="40% - Accent3 3 4 3" xfId="5400" xr:uid="{00000000-0005-0000-0000-00006E050000}"/>
    <cellStyle name="40% - Accent3 3 4 3 2" xfId="23173" xr:uid="{0E8D4B1E-577B-4C59-9E58-FDBCF74E1B4F}"/>
    <cellStyle name="40% - Accent3 3 4 3 2 2" xfId="40067" xr:uid="{1B12BF5D-4994-43A4-B2F3-77FB8F0E1268}"/>
    <cellStyle name="40% - Accent3 3 4 3 3" xfId="14726" xr:uid="{3CE284CD-AC2A-4165-B8E1-DEA9EB638B91}"/>
    <cellStyle name="40% - Accent3 3 4 3 4" xfId="31620" xr:uid="{EF998B81-C41D-4EE6-B13C-AF85A04FC776}"/>
    <cellStyle name="40% - Accent3 3 4 4" xfId="18956" xr:uid="{254EA8F1-530D-46D7-BE77-F9A024B1E1E6}"/>
    <cellStyle name="40% - Accent3 3 4 4 2" xfId="35850" xr:uid="{60DEC91B-CC3D-4E5A-AEE8-77140C25B225}"/>
    <cellStyle name="40% - Accent3 3 4 5" xfId="10509" xr:uid="{0B197417-FCA8-4977-8999-94F2F5BA1F5B}"/>
    <cellStyle name="40% - Accent3 3 4 6" xfId="27403" xr:uid="{8245A212-6548-41DC-B759-32EA7EC01A46}"/>
    <cellStyle name="40% - Accent3 3 5" xfId="1506" xr:uid="{00000000-0005-0000-0000-00006F050000}"/>
    <cellStyle name="40% - Accent3 3 5 2" xfId="3736" xr:uid="{00000000-0005-0000-0000-000070050000}"/>
    <cellStyle name="40% - Accent3 3 5 2 2" xfId="7958" xr:uid="{00000000-0005-0000-0000-000071050000}"/>
    <cellStyle name="40% - Accent3 3 5 2 2 2" xfId="25731" xr:uid="{F5A51EEF-309D-43C5-97BD-E8CD869A8664}"/>
    <cellStyle name="40% - Accent3 3 5 2 2 2 2" xfId="42625" xr:uid="{A5159846-6A93-466D-96B9-8B1B73AC998A}"/>
    <cellStyle name="40% - Accent3 3 5 2 2 3" xfId="17284" xr:uid="{EF8DF40C-859A-402D-847D-21C52D64BE3F}"/>
    <cellStyle name="40% - Accent3 3 5 2 2 4" xfId="34178" xr:uid="{74538424-4914-4881-9259-D82A40AF8B77}"/>
    <cellStyle name="40% - Accent3 3 5 2 3" xfId="21514" xr:uid="{9B186F65-AA04-4233-A9F1-1991686B5094}"/>
    <cellStyle name="40% - Accent3 3 5 2 3 2" xfId="38408" xr:uid="{25A3FF46-8CFB-4FBB-B0CF-C58355F29A77}"/>
    <cellStyle name="40% - Accent3 3 5 2 4" xfId="13067" xr:uid="{D1F18CD4-D077-4987-8BC9-2421A8B29A7A}"/>
    <cellStyle name="40% - Accent3 3 5 2 5" xfId="29961" xr:uid="{F867EFD5-E8E9-4133-AF4B-FCF6FFE82059}"/>
    <cellStyle name="40% - Accent3 3 5 3" xfId="5813" xr:uid="{00000000-0005-0000-0000-000072050000}"/>
    <cellStyle name="40% - Accent3 3 5 3 2" xfId="23586" xr:uid="{213D40F7-B8B5-4D7A-84C5-76EF277B7271}"/>
    <cellStyle name="40% - Accent3 3 5 3 2 2" xfId="40480" xr:uid="{48FE473B-6D48-4EDF-890E-120F83108CD3}"/>
    <cellStyle name="40% - Accent3 3 5 3 3" xfId="15139" xr:uid="{6C1BD905-764D-441D-8F93-CB1D65EBB037}"/>
    <cellStyle name="40% - Accent3 3 5 3 4" xfId="32033" xr:uid="{21ADCE14-D36D-4556-A386-4275A263B657}"/>
    <cellStyle name="40% - Accent3 3 5 4" xfId="19369" xr:uid="{00BEDEE3-16EF-4B7B-B007-4C9C077F59EB}"/>
    <cellStyle name="40% - Accent3 3 5 4 2" xfId="36263" xr:uid="{9D1CB167-0E0E-4309-923D-4C7B650E0783}"/>
    <cellStyle name="40% - Accent3 3 5 5" xfId="10922" xr:uid="{2A35BE96-DF54-4383-B1B5-230FEC4FA79E}"/>
    <cellStyle name="40% - Accent3 3 5 6" xfId="27816" xr:uid="{B001420C-C63B-49D1-A86F-F3F95FC1AAB3}"/>
    <cellStyle name="40% - Accent3 3 6" xfId="1920" xr:uid="{00000000-0005-0000-0000-000073050000}"/>
    <cellStyle name="40% - Accent3 3 6 2" xfId="4149" xr:uid="{00000000-0005-0000-0000-000074050000}"/>
    <cellStyle name="40% - Accent3 3 6 2 2" xfId="8371" xr:uid="{00000000-0005-0000-0000-000075050000}"/>
    <cellStyle name="40% - Accent3 3 6 2 2 2" xfId="26144" xr:uid="{34E8953E-0F80-4731-97AA-8129E32A4D89}"/>
    <cellStyle name="40% - Accent3 3 6 2 2 2 2" xfId="43038" xr:uid="{CC7DC5D9-C5BC-48AD-9F98-238B7D6BEF3C}"/>
    <cellStyle name="40% - Accent3 3 6 2 2 3" xfId="17697" xr:uid="{7CEA72FF-8109-4843-A8CA-8019F7B4E00F}"/>
    <cellStyle name="40% - Accent3 3 6 2 2 4" xfId="34591" xr:uid="{6ED41DA5-FA7F-4C5B-A29E-858AA02685E5}"/>
    <cellStyle name="40% - Accent3 3 6 2 3" xfId="21927" xr:uid="{CDA8BCB4-60E9-4562-A45C-36F9110C1556}"/>
    <cellStyle name="40% - Accent3 3 6 2 3 2" xfId="38821" xr:uid="{7CED2713-80A6-453F-981C-950B68B8BB80}"/>
    <cellStyle name="40% - Accent3 3 6 2 4" xfId="13480" xr:uid="{2AD1E656-D90F-4205-963A-19C672DCF971}"/>
    <cellStyle name="40% - Accent3 3 6 2 5" xfId="30374" xr:uid="{0EBA5197-57E5-4CBE-90E8-232B1B04B951}"/>
    <cellStyle name="40% - Accent3 3 6 3" xfId="6226" xr:uid="{00000000-0005-0000-0000-000076050000}"/>
    <cellStyle name="40% - Accent3 3 6 3 2" xfId="23999" xr:uid="{86CEBD9B-A472-41F3-B004-1F43E6524C41}"/>
    <cellStyle name="40% - Accent3 3 6 3 2 2" xfId="40893" xr:uid="{D2731E9D-20F1-4AF4-A325-D49C42CD6F44}"/>
    <cellStyle name="40% - Accent3 3 6 3 3" xfId="15552" xr:uid="{C4379A38-E2EE-4FE2-AB31-AEC0AAE5ACA1}"/>
    <cellStyle name="40% - Accent3 3 6 3 4" xfId="32446" xr:uid="{F270BC0C-9EB0-43F5-94AB-0224AD509B97}"/>
    <cellStyle name="40% - Accent3 3 6 4" xfId="19782" xr:uid="{38F48882-F2C4-4F98-8D53-2051A34A5F4C}"/>
    <cellStyle name="40% - Accent3 3 6 4 2" xfId="36676" xr:uid="{779BC540-D3F2-4525-8D4E-D6903A85B2A6}"/>
    <cellStyle name="40% - Accent3 3 6 5" xfId="11335" xr:uid="{BD1F9327-50D5-4960-991D-CECB3805409F}"/>
    <cellStyle name="40% - Accent3 3 6 6" xfId="28229" xr:uid="{1C1E2E89-9119-4749-AC1B-D7B6E2FAC922}"/>
    <cellStyle name="40% - Accent3 3 7" xfId="2333" xr:uid="{00000000-0005-0000-0000-000077050000}"/>
    <cellStyle name="40% - Accent3 3 7 2" xfId="6639" xr:uid="{00000000-0005-0000-0000-000078050000}"/>
    <cellStyle name="40% - Accent3 3 7 2 2" xfId="24412" xr:uid="{020B824F-5599-4026-8394-7C78F6BF93C9}"/>
    <cellStyle name="40% - Accent3 3 7 2 2 2" xfId="41306" xr:uid="{59B583BC-E376-4B71-821B-BA862258D3C4}"/>
    <cellStyle name="40% - Accent3 3 7 2 3" xfId="15965" xr:uid="{EC0ECB59-E3A7-4F13-BBB5-D7BFEA4F7629}"/>
    <cellStyle name="40% - Accent3 3 7 2 4" xfId="32859" xr:uid="{2597C636-E446-46EB-AD1A-C1739B94E742}"/>
    <cellStyle name="40% - Accent3 3 7 3" xfId="20195" xr:uid="{7387A7F6-D387-4657-8323-659BDE639959}"/>
    <cellStyle name="40% - Accent3 3 7 3 2" xfId="37089" xr:uid="{F55DD096-BE4B-41E1-88D9-D39E22427108}"/>
    <cellStyle name="40% - Accent3 3 7 4" xfId="11748" xr:uid="{92AE8ACD-D743-47A8-9213-9D2937E6294F}"/>
    <cellStyle name="40% - Accent3 3 7 5" xfId="28642" xr:uid="{3371AB0C-BC30-42A1-97AD-7B5A79ED6373}"/>
    <cellStyle name="40% - Accent3 3 8" xfId="4573" xr:uid="{00000000-0005-0000-0000-000079050000}"/>
    <cellStyle name="40% - Accent3 3 8 2" xfId="22346" xr:uid="{49E83CB3-12DE-4FF2-B888-59653ED65AB3}"/>
    <cellStyle name="40% - Accent3 3 8 2 2" xfId="39240" xr:uid="{51967438-2E13-4C1C-B753-8EABAF69E8C3}"/>
    <cellStyle name="40% - Accent3 3 8 3" xfId="13899" xr:uid="{BE1F33CF-12EA-43C2-A541-EC0B45D7DFC4}"/>
    <cellStyle name="40% - Accent3 3 8 4" xfId="30793" xr:uid="{EC104818-0086-44B7-AED2-4172DE7432B8}"/>
    <cellStyle name="40% - Accent3 3 9" xfId="8866" xr:uid="{1A1EF43E-4A2B-42A8-98A3-CEC34DD3B00D}"/>
    <cellStyle name="40% - Accent3 3 9 2" xfId="18129" xr:uid="{7E61CD20-303B-473A-B179-4ED333A5666A}"/>
    <cellStyle name="40% - Accent3 3 9 3" xfId="35023" xr:uid="{0AA89058-6CC0-4360-A1C9-34EC5BD8EACF}"/>
    <cellStyle name="40% - Accent3 4" xfId="72" xr:uid="{00000000-0005-0000-0000-00007A050000}"/>
    <cellStyle name="40% - Accent3 4 10" xfId="26578" xr:uid="{4B4E146A-DFF2-410D-B6DC-E852EF00BA3C}"/>
    <cellStyle name="40% - Accent3 4 2" xfId="641" xr:uid="{00000000-0005-0000-0000-00007B050000}"/>
    <cellStyle name="40% - Accent3 4 2 2" xfId="2912" xr:uid="{00000000-0005-0000-0000-00007C050000}"/>
    <cellStyle name="40% - Accent3 4 2 2 2" xfId="7134" xr:uid="{00000000-0005-0000-0000-00007D050000}"/>
    <cellStyle name="40% - Accent3 4 2 2 2 2" xfId="24907" xr:uid="{C536C5FE-2030-4AF3-BE8B-FA3F161419DE}"/>
    <cellStyle name="40% - Accent3 4 2 2 2 2 2" xfId="41801" xr:uid="{3AEE32F3-8B33-4D6F-9BBF-A6B4D3AD770B}"/>
    <cellStyle name="40% - Accent3 4 2 2 2 3" xfId="16460" xr:uid="{113BC5CA-8661-4658-8D72-D6DCF3430EA7}"/>
    <cellStyle name="40% - Accent3 4 2 2 2 4" xfId="33354" xr:uid="{44F3359D-CC5D-4B99-83B9-E66F01DF5C30}"/>
    <cellStyle name="40% - Accent3 4 2 2 3" xfId="20690" xr:uid="{F2E1F27E-5C8C-4146-A8DC-C841520517EB}"/>
    <cellStyle name="40% - Accent3 4 2 2 3 2" xfId="37584" xr:uid="{329AFEE1-19F0-4A81-B301-7ABEBF016C36}"/>
    <cellStyle name="40% - Accent3 4 2 2 4" xfId="12243" xr:uid="{81B6F503-453E-4F0C-A798-F0A65958DF1F}"/>
    <cellStyle name="40% - Accent3 4 2 2 5" xfId="29137" xr:uid="{428B2A54-056D-4737-A8E7-C68E7E691A84}"/>
    <cellStyle name="40% - Accent3 4 2 3" xfId="4989" xr:uid="{00000000-0005-0000-0000-00007E050000}"/>
    <cellStyle name="40% - Accent3 4 2 3 2" xfId="22762" xr:uid="{EED852B5-7F8D-4A06-B6D3-2C66D0DC43EB}"/>
    <cellStyle name="40% - Accent3 4 2 3 2 2" xfId="39656" xr:uid="{6B117B5F-9DD6-4B52-A8E6-FA372564192B}"/>
    <cellStyle name="40% - Accent3 4 2 3 3" xfId="14315" xr:uid="{53FC0974-E849-4E33-B53E-5222BB254A9C}"/>
    <cellStyle name="40% - Accent3 4 2 3 4" xfId="31209" xr:uid="{9BED4174-5CA7-45DC-BCBB-95BEA9504366}"/>
    <cellStyle name="40% - Accent3 4 2 4" xfId="9377" xr:uid="{F4393833-4E73-4685-9332-CF918D5239A9}"/>
    <cellStyle name="40% - Accent3 4 2 4 2" xfId="18545" xr:uid="{FCE9D1A6-433C-4A95-AFC1-2DB240387E12}"/>
    <cellStyle name="40% - Accent3 4 2 4 3" xfId="35439" xr:uid="{E8D4E29B-5795-4E08-983D-AE4FB92236A1}"/>
    <cellStyle name="40% - Accent3 4 2 5" xfId="10098" xr:uid="{8308E624-D42F-4FB3-993D-3C09C25DE650}"/>
    <cellStyle name="40% - Accent3 4 2 6" xfId="26992" xr:uid="{BD11C675-AB2D-4FCB-AF8A-1C13E55888DE}"/>
    <cellStyle name="40% - Accent3 4 3" xfId="1094" xr:uid="{00000000-0005-0000-0000-00007F050000}"/>
    <cellStyle name="40% - Accent3 4 3 2" xfId="3325" xr:uid="{00000000-0005-0000-0000-000080050000}"/>
    <cellStyle name="40% - Accent3 4 3 2 2" xfId="7547" xr:uid="{00000000-0005-0000-0000-000081050000}"/>
    <cellStyle name="40% - Accent3 4 3 2 2 2" xfId="25320" xr:uid="{A7A54164-3C21-4D9D-A511-5D9B37399299}"/>
    <cellStyle name="40% - Accent3 4 3 2 2 2 2" xfId="42214" xr:uid="{57FA483D-1A7B-421A-9EDF-99094163C383}"/>
    <cellStyle name="40% - Accent3 4 3 2 2 3" xfId="16873" xr:uid="{FFBD590B-A5D5-4048-A160-5CE6C98EA1C5}"/>
    <cellStyle name="40% - Accent3 4 3 2 2 4" xfId="33767" xr:uid="{E9D8ABBF-000A-4464-99E6-2E8D9AB41443}"/>
    <cellStyle name="40% - Accent3 4 3 2 3" xfId="21103" xr:uid="{8E29C6A6-B19A-40D2-994E-8941B36EE37C}"/>
    <cellStyle name="40% - Accent3 4 3 2 3 2" xfId="37997" xr:uid="{E985AE82-6673-40A0-805A-9C6430F32D7C}"/>
    <cellStyle name="40% - Accent3 4 3 2 4" xfId="12656" xr:uid="{5A2FF5F3-E78C-4017-A5B7-471A8CC5BA26}"/>
    <cellStyle name="40% - Accent3 4 3 2 5" xfId="29550" xr:uid="{2C019E53-0CFC-4BC9-9214-522A783109E9}"/>
    <cellStyle name="40% - Accent3 4 3 3" xfId="5402" xr:uid="{00000000-0005-0000-0000-000082050000}"/>
    <cellStyle name="40% - Accent3 4 3 3 2" xfId="23175" xr:uid="{173F7042-A134-4C0A-BDB9-5B01F226B21E}"/>
    <cellStyle name="40% - Accent3 4 3 3 2 2" xfId="40069" xr:uid="{DFFCF6A7-F71E-4336-9E68-A4DC72245707}"/>
    <cellStyle name="40% - Accent3 4 3 3 3" xfId="14728" xr:uid="{1EE3F1BD-C09B-48ED-A0B7-9578B765B482}"/>
    <cellStyle name="40% - Accent3 4 3 3 4" xfId="31622" xr:uid="{12898AC9-10BC-48CE-B7DB-CC471C65CC8D}"/>
    <cellStyle name="40% - Accent3 4 3 4" xfId="18958" xr:uid="{4115A8FA-15E6-42E5-B469-A956F9F77EFE}"/>
    <cellStyle name="40% - Accent3 4 3 4 2" xfId="35852" xr:uid="{31148A03-E037-4EF3-A80A-1E6643C3F6D5}"/>
    <cellStyle name="40% - Accent3 4 3 5" xfId="10511" xr:uid="{59A8B4CC-B311-43A7-AB19-077A6B06F9FA}"/>
    <cellStyle name="40% - Accent3 4 3 6" xfId="27405" xr:uid="{42927B39-70C5-42BE-B692-A9DDA05348CF}"/>
    <cellStyle name="40% - Accent3 4 4" xfId="1508" xr:uid="{00000000-0005-0000-0000-000083050000}"/>
    <cellStyle name="40% - Accent3 4 4 2" xfId="3738" xr:uid="{00000000-0005-0000-0000-000084050000}"/>
    <cellStyle name="40% - Accent3 4 4 2 2" xfId="7960" xr:uid="{00000000-0005-0000-0000-000085050000}"/>
    <cellStyle name="40% - Accent3 4 4 2 2 2" xfId="25733" xr:uid="{88AC10B9-ADB4-46C9-8843-D671E88E4814}"/>
    <cellStyle name="40% - Accent3 4 4 2 2 2 2" xfId="42627" xr:uid="{15CC9C0C-4F50-4447-8385-02DE63DB2FAD}"/>
    <cellStyle name="40% - Accent3 4 4 2 2 3" xfId="17286" xr:uid="{DACB4443-5194-404E-B279-0BCEB8915398}"/>
    <cellStyle name="40% - Accent3 4 4 2 2 4" xfId="34180" xr:uid="{83742CF6-05DD-4C4F-8ECD-00C0040B44E7}"/>
    <cellStyle name="40% - Accent3 4 4 2 3" xfId="21516" xr:uid="{9792790F-40F0-4FA3-9391-EDBB0C2B3698}"/>
    <cellStyle name="40% - Accent3 4 4 2 3 2" xfId="38410" xr:uid="{8AD1F609-5123-41FB-8265-41B51345E88F}"/>
    <cellStyle name="40% - Accent3 4 4 2 4" xfId="13069" xr:uid="{E44C2092-040F-44D0-B5F3-82B8E6BD8582}"/>
    <cellStyle name="40% - Accent3 4 4 2 5" xfId="29963" xr:uid="{F3DB029C-7C54-407F-A401-E918610573C4}"/>
    <cellStyle name="40% - Accent3 4 4 3" xfId="5815" xr:uid="{00000000-0005-0000-0000-000086050000}"/>
    <cellStyle name="40% - Accent3 4 4 3 2" xfId="23588" xr:uid="{F85D8470-20FC-408E-A664-97FB8CE8837A}"/>
    <cellStyle name="40% - Accent3 4 4 3 2 2" xfId="40482" xr:uid="{85972384-998E-474F-B5CA-CD20D24C57A7}"/>
    <cellStyle name="40% - Accent3 4 4 3 3" xfId="15141" xr:uid="{B40689CC-E180-4F5C-815B-AA47DAA19A6C}"/>
    <cellStyle name="40% - Accent3 4 4 3 4" xfId="32035" xr:uid="{0CB4D3BD-3E80-4870-9D5F-AE26189BF44F}"/>
    <cellStyle name="40% - Accent3 4 4 4" xfId="19371" xr:uid="{C851A992-E83F-4E12-8942-EABFAA13D7C2}"/>
    <cellStyle name="40% - Accent3 4 4 4 2" xfId="36265" xr:uid="{072092DB-12E8-411E-B27B-90B36F2F6BF1}"/>
    <cellStyle name="40% - Accent3 4 4 5" xfId="10924" xr:uid="{A0B4B89B-167C-48A7-AC16-335483AA9CE6}"/>
    <cellStyle name="40% - Accent3 4 4 6" xfId="27818" xr:uid="{7F04F743-D7B7-4822-83FE-BC92919DD826}"/>
    <cellStyle name="40% - Accent3 4 5" xfId="1922" xr:uid="{00000000-0005-0000-0000-000087050000}"/>
    <cellStyle name="40% - Accent3 4 5 2" xfId="4151" xr:uid="{00000000-0005-0000-0000-000088050000}"/>
    <cellStyle name="40% - Accent3 4 5 2 2" xfId="8373" xr:uid="{00000000-0005-0000-0000-000089050000}"/>
    <cellStyle name="40% - Accent3 4 5 2 2 2" xfId="26146" xr:uid="{580D5013-19E8-45F3-8C09-6D9CE0052B38}"/>
    <cellStyle name="40% - Accent3 4 5 2 2 2 2" xfId="43040" xr:uid="{64FD1B40-F08E-4783-BB7A-3E3CD93AF734}"/>
    <cellStyle name="40% - Accent3 4 5 2 2 3" xfId="17699" xr:uid="{B2B8E830-4886-4816-9127-76D8A084671F}"/>
    <cellStyle name="40% - Accent3 4 5 2 2 4" xfId="34593" xr:uid="{F928064C-5C51-454C-AB25-AC74B93B2A47}"/>
    <cellStyle name="40% - Accent3 4 5 2 3" xfId="21929" xr:uid="{3FFACC6E-A88E-472A-B816-A953CE8B2839}"/>
    <cellStyle name="40% - Accent3 4 5 2 3 2" xfId="38823" xr:uid="{6C907443-DE90-4FB2-AB22-3EF054791607}"/>
    <cellStyle name="40% - Accent3 4 5 2 4" xfId="13482" xr:uid="{891048A6-76E0-4FA8-9691-68165A6E361E}"/>
    <cellStyle name="40% - Accent3 4 5 2 5" xfId="30376" xr:uid="{F9090605-A53A-4874-BF5E-128F68340576}"/>
    <cellStyle name="40% - Accent3 4 5 3" xfId="6228" xr:uid="{00000000-0005-0000-0000-00008A050000}"/>
    <cellStyle name="40% - Accent3 4 5 3 2" xfId="24001" xr:uid="{4942B9DA-7EFB-4682-AF03-E679681226DC}"/>
    <cellStyle name="40% - Accent3 4 5 3 2 2" xfId="40895" xr:uid="{B3EE31CE-A197-4593-A5A1-979B36341B19}"/>
    <cellStyle name="40% - Accent3 4 5 3 3" xfId="15554" xr:uid="{9A1F2944-7784-4874-9DE8-53E139BCC6E4}"/>
    <cellStyle name="40% - Accent3 4 5 3 4" xfId="32448" xr:uid="{6586FB88-EA12-434B-95D0-7781AD3C3535}"/>
    <cellStyle name="40% - Accent3 4 5 4" xfId="19784" xr:uid="{A6D70C58-EA56-4F2A-A205-448E2AD676D3}"/>
    <cellStyle name="40% - Accent3 4 5 4 2" xfId="36678" xr:uid="{81E4A424-8A9C-492C-BD72-6DC30D0CF86E}"/>
    <cellStyle name="40% - Accent3 4 5 5" xfId="11337" xr:uid="{3A012440-98D9-49D8-86D7-6182A3F1B111}"/>
    <cellStyle name="40% - Accent3 4 5 6" xfId="28231" xr:uid="{43A71C0C-AFAD-43E7-9C6C-08E6D986EBB4}"/>
    <cellStyle name="40% - Accent3 4 6" xfId="2335" xr:uid="{00000000-0005-0000-0000-00008B050000}"/>
    <cellStyle name="40% - Accent3 4 6 2" xfId="6641" xr:uid="{00000000-0005-0000-0000-00008C050000}"/>
    <cellStyle name="40% - Accent3 4 6 2 2" xfId="24414" xr:uid="{67945136-E228-49CA-8C98-0EC9B2666596}"/>
    <cellStyle name="40% - Accent3 4 6 2 2 2" xfId="41308" xr:uid="{F7D83032-3138-480F-822A-4E77F0B0E439}"/>
    <cellStyle name="40% - Accent3 4 6 2 3" xfId="15967" xr:uid="{092236FC-7F0B-4777-A367-C1B1BFC05AA1}"/>
    <cellStyle name="40% - Accent3 4 6 2 4" xfId="32861" xr:uid="{DFA97C75-82F9-4C1B-BECF-6C5059C88D9B}"/>
    <cellStyle name="40% - Accent3 4 6 3" xfId="20197" xr:uid="{480CE02D-9FD6-47D8-9911-EF00459A6B7E}"/>
    <cellStyle name="40% - Accent3 4 6 3 2" xfId="37091" xr:uid="{79B450D0-62E3-463C-A1FC-C4518ADA68A7}"/>
    <cellStyle name="40% - Accent3 4 6 4" xfId="11750" xr:uid="{B61E47C5-B1C4-40F9-A4A1-ED2A766E210C}"/>
    <cellStyle name="40% - Accent3 4 6 5" xfId="28644" xr:uid="{74F53927-BD08-4868-A71A-25839DDE1D32}"/>
    <cellStyle name="40% - Accent3 4 7" xfId="4575" xr:uid="{00000000-0005-0000-0000-00008D050000}"/>
    <cellStyle name="40% - Accent3 4 7 2" xfId="22348" xr:uid="{83A0C828-AF49-4B5D-834F-EDBF987FB4C1}"/>
    <cellStyle name="40% - Accent3 4 7 2 2" xfId="39242" xr:uid="{3E755694-8F5F-4075-8F8C-79F037BEF4EB}"/>
    <cellStyle name="40% - Accent3 4 7 3" xfId="13901" xr:uid="{CC19928A-F22C-448F-87E3-BA001E3335B8}"/>
    <cellStyle name="40% - Accent3 4 7 4" xfId="30795" xr:uid="{056EE346-C992-4424-96BC-B4DEC451669B}"/>
    <cellStyle name="40% - Accent3 4 8" xfId="8952" xr:uid="{74BF8F1E-4A34-4787-9BA1-0B97E446635F}"/>
    <cellStyle name="40% - Accent3 4 8 2" xfId="18131" xr:uid="{DBB94591-C754-4678-AD79-F3958DEE0FF5}"/>
    <cellStyle name="40% - Accent3 4 8 3" xfId="35025" xr:uid="{4E338C17-FBDA-4C4F-A61D-A33C881BD0D9}"/>
    <cellStyle name="40% - Accent3 4 9" xfId="9684" xr:uid="{6288F408-9A3C-4D68-893C-788E137B1D1A}"/>
    <cellStyle name="40% - Accent3 5" xfId="634" xr:uid="{00000000-0005-0000-0000-00008E050000}"/>
    <cellStyle name="40% - Accent3 5 2" xfId="2905" xr:uid="{00000000-0005-0000-0000-00008F050000}"/>
    <cellStyle name="40% - Accent3 5 2 2" xfId="7127" xr:uid="{00000000-0005-0000-0000-000090050000}"/>
    <cellStyle name="40% - Accent3 5 2 2 2" xfId="24900" xr:uid="{14FE138B-FE72-4888-BEB0-4CEFB9B699E8}"/>
    <cellStyle name="40% - Accent3 5 2 2 2 2" xfId="41794" xr:uid="{9E2127CC-D3F6-4BE3-83B8-BAC0079A35D3}"/>
    <cellStyle name="40% - Accent3 5 2 2 3" xfId="16453" xr:uid="{6E6C2F36-A95B-4F3E-8595-8049E80C2442}"/>
    <cellStyle name="40% - Accent3 5 2 2 4" xfId="33347" xr:uid="{A81BB192-3FCF-4C9B-92AD-2C617DCB32F7}"/>
    <cellStyle name="40% - Accent3 5 2 3" xfId="20683" xr:uid="{D476F33B-896C-4158-9641-6B62A201BF54}"/>
    <cellStyle name="40% - Accent3 5 2 3 2" xfId="37577" xr:uid="{0239AC5B-9979-4F1A-9796-05A5DE19E43F}"/>
    <cellStyle name="40% - Accent3 5 2 4" xfId="12236" xr:uid="{21294BD7-D664-4285-98D4-8BAF7F627C10}"/>
    <cellStyle name="40% - Accent3 5 2 5" xfId="29130" xr:uid="{68ECEBCC-8535-469E-A9AA-FF83AF6A0753}"/>
    <cellStyle name="40% - Accent3 5 3" xfId="4982" xr:uid="{00000000-0005-0000-0000-000091050000}"/>
    <cellStyle name="40% - Accent3 5 3 2" xfId="22755" xr:uid="{C63244A1-9BD3-4E64-B6DD-3F6E0016B25A}"/>
    <cellStyle name="40% - Accent3 5 3 2 2" xfId="39649" xr:uid="{AC862845-6A38-471F-BD9F-16952FD12F55}"/>
    <cellStyle name="40% - Accent3 5 3 3" xfId="14308" xr:uid="{E9011CBD-2C07-4BA1-93D1-7DFFE64F0FFA}"/>
    <cellStyle name="40% - Accent3 5 3 4" xfId="31202" xr:uid="{B9F48AAA-6F37-44AE-92D6-BFF666764D48}"/>
    <cellStyle name="40% - Accent3 5 4" xfId="9185" xr:uid="{526F025D-EBF7-4976-9E38-4C0631A2843B}"/>
    <cellStyle name="40% - Accent3 5 4 2" xfId="18538" xr:uid="{7A3444C4-F186-4F73-AD75-5E743473BE2D}"/>
    <cellStyle name="40% - Accent3 5 4 3" xfId="35432" xr:uid="{41EFA3B2-D8B5-4A15-9B16-6C225E5091C8}"/>
    <cellStyle name="40% - Accent3 5 5" xfId="10091" xr:uid="{B49CED27-0429-488E-A7D4-8E7FFE156E64}"/>
    <cellStyle name="40% - Accent3 5 6" xfId="26985" xr:uid="{82C060FE-7BE9-4720-A402-7BFB3162553E}"/>
    <cellStyle name="40% - Accent3 6" xfId="1087" xr:uid="{00000000-0005-0000-0000-000092050000}"/>
    <cellStyle name="40% - Accent3 6 2" xfId="3318" xr:uid="{00000000-0005-0000-0000-000093050000}"/>
    <cellStyle name="40% - Accent3 6 2 2" xfId="7540" xr:uid="{00000000-0005-0000-0000-000094050000}"/>
    <cellStyle name="40% - Accent3 6 2 2 2" xfId="25313" xr:uid="{38BF74CA-94CF-4164-9D83-F926E51CD535}"/>
    <cellStyle name="40% - Accent3 6 2 2 2 2" xfId="42207" xr:uid="{19BFDFEA-0450-4607-BF21-B7F4344FE5D8}"/>
    <cellStyle name="40% - Accent3 6 2 2 3" xfId="16866" xr:uid="{A14BF85D-626B-466D-BED2-57893A96E3A6}"/>
    <cellStyle name="40% - Accent3 6 2 2 4" xfId="33760" xr:uid="{EBD3FD5F-DC08-4013-9F0E-B139984C55FC}"/>
    <cellStyle name="40% - Accent3 6 2 3" xfId="21096" xr:uid="{B4188474-84B6-4614-85AD-490B23465A90}"/>
    <cellStyle name="40% - Accent3 6 2 3 2" xfId="37990" xr:uid="{8494EB04-15C8-4704-A5F6-A4AFB250011C}"/>
    <cellStyle name="40% - Accent3 6 2 4" xfId="12649" xr:uid="{EA4726EE-047B-42D9-BB62-70286512D29D}"/>
    <cellStyle name="40% - Accent3 6 2 5" xfId="29543" xr:uid="{0EA071F5-5B1E-49CD-8DCA-1D34DA77A617}"/>
    <cellStyle name="40% - Accent3 6 3" xfId="5395" xr:uid="{00000000-0005-0000-0000-000095050000}"/>
    <cellStyle name="40% - Accent3 6 3 2" xfId="23168" xr:uid="{A16BDB66-6551-45F5-A7E5-AACF0AE6BEA6}"/>
    <cellStyle name="40% - Accent3 6 3 2 2" xfId="40062" xr:uid="{07DBC7C0-6C7D-40EC-B218-9976777A2BCD}"/>
    <cellStyle name="40% - Accent3 6 3 3" xfId="14721" xr:uid="{DA143148-43FB-4B75-8FD0-D79F8659955D}"/>
    <cellStyle name="40% - Accent3 6 3 4" xfId="31615" xr:uid="{5400BAD1-7678-4A7D-9FD6-55A483D728E2}"/>
    <cellStyle name="40% - Accent3 6 4" xfId="18951" xr:uid="{AFCE5D54-52E5-453E-A4FF-5DF53D39BFFA}"/>
    <cellStyle name="40% - Accent3 6 4 2" xfId="35845" xr:uid="{6446FE8E-A008-4CE8-9D6D-4F27CAF13051}"/>
    <cellStyle name="40% - Accent3 6 5" xfId="10504" xr:uid="{30961601-CFB9-4DAF-AC15-83DC0451271B}"/>
    <cellStyle name="40% - Accent3 6 6" xfId="27398" xr:uid="{D15F63AF-D8EF-42DD-AEE4-40E073915A63}"/>
    <cellStyle name="40% - Accent3 7" xfId="1501" xr:uid="{00000000-0005-0000-0000-000096050000}"/>
    <cellStyle name="40% - Accent3 7 2" xfId="3731" xr:uid="{00000000-0005-0000-0000-000097050000}"/>
    <cellStyle name="40% - Accent3 7 2 2" xfId="7953" xr:uid="{00000000-0005-0000-0000-000098050000}"/>
    <cellStyle name="40% - Accent3 7 2 2 2" xfId="25726" xr:uid="{9ACFF697-A80E-4955-93FA-17B4DDFEFFC5}"/>
    <cellStyle name="40% - Accent3 7 2 2 2 2" xfId="42620" xr:uid="{A3CA2473-BCC8-4D69-9C6F-DD4D0E53FB83}"/>
    <cellStyle name="40% - Accent3 7 2 2 3" xfId="17279" xr:uid="{5868909B-52F2-48F2-A7F3-6FBA18ABF60C}"/>
    <cellStyle name="40% - Accent3 7 2 2 4" xfId="34173" xr:uid="{67D74A46-E639-4BBC-9A58-07E3E8A052A0}"/>
    <cellStyle name="40% - Accent3 7 2 3" xfId="21509" xr:uid="{5D4D27CF-B60B-4EBD-B5AB-55F911716F42}"/>
    <cellStyle name="40% - Accent3 7 2 3 2" xfId="38403" xr:uid="{ABD309C8-97A0-40A8-AD19-54388522F978}"/>
    <cellStyle name="40% - Accent3 7 2 4" xfId="13062" xr:uid="{4A7F8460-69E8-4E17-9B01-500C3A7AC257}"/>
    <cellStyle name="40% - Accent3 7 2 5" xfId="29956" xr:uid="{C3F4F8F7-AA7E-40F6-B15F-3DD82E6B2959}"/>
    <cellStyle name="40% - Accent3 7 3" xfId="5808" xr:uid="{00000000-0005-0000-0000-000099050000}"/>
    <cellStyle name="40% - Accent3 7 3 2" xfId="23581" xr:uid="{772D92FD-9EE5-4D60-9FC0-0AEC311D40D2}"/>
    <cellStyle name="40% - Accent3 7 3 2 2" xfId="40475" xr:uid="{80FE2348-FDB0-43CD-8898-FC25F9FC7859}"/>
    <cellStyle name="40% - Accent3 7 3 3" xfId="15134" xr:uid="{02DA5051-A582-4E0A-9A90-F4F17C25AB2E}"/>
    <cellStyle name="40% - Accent3 7 3 4" xfId="32028" xr:uid="{C589F002-EB40-4F2A-9B1D-A9331850A130}"/>
    <cellStyle name="40% - Accent3 7 4" xfId="19364" xr:uid="{87F8CCA2-7438-423A-A4F3-330BA0C8C052}"/>
    <cellStyle name="40% - Accent3 7 4 2" xfId="36258" xr:uid="{983D41C3-757D-427C-A184-CAF13936909B}"/>
    <cellStyle name="40% - Accent3 7 5" xfId="10917" xr:uid="{B8C2D6E7-5E26-4F77-8B32-F4DCCC8766D5}"/>
    <cellStyle name="40% - Accent3 7 6" xfId="27811" xr:uid="{B286E07A-FECE-476D-95A5-79DAA3FAC106}"/>
    <cellStyle name="40% - Accent3 8" xfId="1915" xr:uid="{00000000-0005-0000-0000-00009A050000}"/>
    <cellStyle name="40% - Accent3 8 2" xfId="4144" xr:uid="{00000000-0005-0000-0000-00009B050000}"/>
    <cellStyle name="40% - Accent3 8 2 2" xfId="8366" xr:uid="{00000000-0005-0000-0000-00009C050000}"/>
    <cellStyle name="40% - Accent3 8 2 2 2" xfId="26139" xr:uid="{F592F28D-203C-4AFE-B69C-6ACA21C84C2E}"/>
    <cellStyle name="40% - Accent3 8 2 2 2 2" xfId="43033" xr:uid="{4201FA4D-4B28-40C3-B2A9-0C05263F3CE7}"/>
    <cellStyle name="40% - Accent3 8 2 2 3" xfId="17692" xr:uid="{8E553B12-D69A-43D4-9221-0E8A6412A7D0}"/>
    <cellStyle name="40% - Accent3 8 2 2 4" xfId="34586" xr:uid="{0396BDA2-09D7-4DBD-83E1-20E637417C21}"/>
    <cellStyle name="40% - Accent3 8 2 3" xfId="21922" xr:uid="{312EFC13-BA58-4242-BD7A-8453F0301581}"/>
    <cellStyle name="40% - Accent3 8 2 3 2" xfId="38816" xr:uid="{35118C83-73AD-4FAB-80EA-6C5510B626BC}"/>
    <cellStyle name="40% - Accent3 8 2 4" xfId="13475" xr:uid="{E43F90BD-ECFE-409A-9059-6BA7C0D09E02}"/>
    <cellStyle name="40% - Accent3 8 2 5" xfId="30369" xr:uid="{344FF4DF-FAB9-4AB0-BE2E-408B046B6364}"/>
    <cellStyle name="40% - Accent3 8 3" xfId="6221" xr:uid="{00000000-0005-0000-0000-00009D050000}"/>
    <cellStyle name="40% - Accent3 8 3 2" xfId="23994" xr:uid="{AB81A4FF-E9D8-4FEA-8706-EF64F978780B}"/>
    <cellStyle name="40% - Accent3 8 3 2 2" xfId="40888" xr:uid="{CEF45119-E250-43C6-AB8A-90FCB5D5DE0D}"/>
    <cellStyle name="40% - Accent3 8 3 3" xfId="15547" xr:uid="{9A8E87F7-AB13-40E3-BB49-49E032B8163D}"/>
    <cellStyle name="40% - Accent3 8 3 4" xfId="32441" xr:uid="{E06FB18D-6A1F-40AC-88EC-7A4E13FB0B90}"/>
    <cellStyle name="40% - Accent3 8 4" xfId="19777" xr:uid="{9BB2F053-1222-42B9-8926-05F384CA4D1D}"/>
    <cellStyle name="40% - Accent3 8 4 2" xfId="36671" xr:uid="{2DD1B533-5BEB-4744-AB10-4B2E8EE055E6}"/>
    <cellStyle name="40% - Accent3 8 5" xfId="11330" xr:uid="{4887CB3D-80C3-4BBE-BF36-025DBE9A27A0}"/>
    <cellStyle name="40% - Accent3 8 6" xfId="28224" xr:uid="{83E624B7-5C27-4EED-AAFA-C1897B42614F}"/>
    <cellStyle name="40% - Accent3 9" xfId="2328" xr:uid="{00000000-0005-0000-0000-00009E050000}"/>
    <cellStyle name="40% - Accent3 9 2" xfId="6634" xr:uid="{00000000-0005-0000-0000-00009F050000}"/>
    <cellStyle name="40% - Accent3 9 2 2" xfId="24407" xr:uid="{B3798A18-257D-4216-8A90-846625FAF301}"/>
    <cellStyle name="40% - Accent3 9 2 2 2" xfId="41301" xr:uid="{2279A7A3-03D5-436D-9C03-460D34026FA3}"/>
    <cellStyle name="40% - Accent3 9 2 3" xfId="15960" xr:uid="{F50CDA2A-3B2E-408D-8A17-8CD7686FF6A3}"/>
    <cellStyle name="40% - Accent3 9 2 4" xfId="32854" xr:uid="{CEDC6509-9428-4436-A678-3D7A84187DEC}"/>
    <cellStyle name="40% - Accent3 9 3" xfId="20190" xr:uid="{AD07A1ED-FF18-41B2-B945-5BFA730CD600}"/>
    <cellStyle name="40% - Accent3 9 3 2" xfId="37084" xr:uid="{5968FAC0-B393-46DE-9AD6-5829278879B2}"/>
    <cellStyle name="40% - Accent3 9 4" xfId="11743" xr:uid="{15692A50-FF67-4E6E-98DA-09C2062D900E}"/>
    <cellStyle name="40% - Accent3 9 5" xfId="28637" xr:uid="{19674C11-97D6-4A1D-8669-2C700992D2F0}"/>
    <cellStyle name="40% - Accent4" xfId="73" builtinId="43" customBuiltin="1"/>
    <cellStyle name="40% - Accent4 10" xfId="4576" xr:uid="{00000000-0005-0000-0000-0000A1050000}"/>
    <cellStyle name="40% - Accent4 10 2" xfId="22349" xr:uid="{9EFBB35A-BFF0-4BDA-89F6-DDB824B35D5E}"/>
    <cellStyle name="40% - Accent4 10 2 2" xfId="39243" xr:uid="{6DB10846-63ED-4467-8BCC-922ED19A15DE}"/>
    <cellStyle name="40% - Accent4 10 3" xfId="13902" xr:uid="{8F92E00E-4AB0-4808-B2EE-6296999615A1}"/>
    <cellStyle name="40% - Accent4 10 4" xfId="30796" xr:uid="{61368FEC-B112-498E-9B2D-6156B67D0601}"/>
    <cellStyle name="40% - Accent4 11" xfId="8765" xr:uid="{18B6B6D6-5043-43D1-BB02-3855BF7027C3}"/>
    <cellStyle name="40% - Accent4 11 2" xfId="18132" xr:uid="{C61BF1BA-B88A-45AD-A7C3-C7623AA29C42}"/>
    <cellStyle name="40% - Accent4 11 3" xfId="35026" xr:uid="{B71E70EC-CBF6-4098-BE0C-9541366602AF}"/>
    <cellStyle name="40% - Accent4 12" xfId="9685" xr:uid="{0D153CF7-4344-4760-A76B-8CAB9160A309}"/>
    <cellStyle name="40% - Accent4 13" xfId="26579" xr:uid="{B34C65F3-918D-45F7-9B1E-D6858D28B362}"/>
    <cellStyle name="40% - Accent4 2" xfId="74" xr:uid="{00000000-0005-0000-0000-0000A2050000}"/>
    <cellStyle name="40% - Accent4 2 10" xfId="8801" xr:uid="{223FCC58-A05E-4022-8080-E75A80678FA6}"/>
    <cellStyle name="40% - Accent4 2 10 2" xfId="18133" xr:uid="{D3AF7157-7BE2-48CB-9DC7-2B1EF163DB5F}"/>
    <cellStyle name="40% - Accent4 2 10 3" xfId="35027" xr:uid="{F2B230A9-4431-418F-8CD1-A691EC48406E}"/>
    <cellStyle name="40% - Accent4 2 11" xfId="9686" xr:uid="{B0C4FEFC-6F92-475F-9AA1-0D51A7592D88}"/>
    <cellStyle name="40% - Accent4 2 12" xfId="26580" xr:uid="{569972F7-FF6A-4ACF-B4B4-7A10A70D6686}"/>
    <cellStyle name="40% - Accent4 2 2" xfId="75" xr:uid="{00000000-0005-0000-0000-0000A3050000}"/>
    <cellStyle name="40% - Accent4 2 2 10" xfId="9687" xr:uid="{1936C214-AF13-42D6-A515-4D937EF90238}"/>
    <cellStyle name="40% - Accent4 2 2 11" xfId="26581" xr:uid="{E5D21EE4-5E96-4843-8790-88846F0AB473}"/>
    <cellStyle name="40% - Accent4 2 2 2" xfId="76" xr:uid="{00000000-0005-0000-0000-0000A4050000}"/>
    <cellStyle name="40% - Accent4 2 2 2 10" xfId="26582" xr:uid="{32DB16C7-BB83-4C70-9A9D-BE3F6F088CC9}"/>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2 2 2" xfId="24911" xr:uid="{BAAA44E7-6BA3-4C16-BCCE-F108DF9A9F3D}"/>
    <cellStyle name="40% - Accent4 2 2 2 2 2 2 2 2" xfId="41805" xr:uid="{A77715ED-D0AB-40F2-9D38-5651045C60EA}"/>
    <cellStyle name="40% - Accent4 2 2 2 2 2 2 3" xfId="16464" xr:uid="{AB87E7FD-1B3A-49A1-9011-E7F3F797F306}"/>
    <cellStyle name="40% - Accent4 2 2 2 2 2 2 4" xfId="33358" xr:uid="{80990CE6-A155-4252-8ECF-AEDE0123A579}"/>
    <cellStyle name="40% - Accent4 2 2 2 2 2 3" xfId="20694" xr:uid="{7FFD773C-98B0-475F-969F-70C495820B96}"/>
    <cellStyle name="40% - Accent4 2 2 2 2 2 3 2" xfId="37588" xr:uid="{5E2DA7B5-82B0-4859-A319-D7E9713E09D8}"/>
    <cellStyle name="40% - Accent4 2 2 2 2 2 4" xfId="12247" xr:uid="{D724FCA5-09E6-41C2-A600-D20B408FEE05}"/>
    <cellStyle name="40% - Accent4 2 2 2 2 2 5" xfId="29141" xr:uid="{26521724-49B7-4205-89B2-CA32016CE0F5}"/>
    <cellStyle name="40% - Accent4 2 2 2 2 3" xfId="4993" xr:uid="{00000000-0005-0000-0000-0000A8050000}"/>
    <cellStyle name="40% - Accent4 2 2 2 2 3 2" xfId="22766" xr:uid="{FE78AEBB-B2F9-4F4C-9A39-22F1C971F027}"/>
    <cellStyle name="40% - Accent4 2 2 2 2 3 2 2" xfId="39660" xr:uid="{23E6BB46-151C-4065-9F5F-DE391DB9AC59}"/>
    <cellStyle name="40% - Accent4 2 2 2 2 3 3" xfId="14319" xr:uid="{0EBC76BF-B852-44BB-A2F1-9C50A2956F06}"/>
    <cellStyle name="40% - Accent4 2 2 2 2 3 4" xfId="31213" xr:uid="{D6A6A85F-D358-49C7-B040-1AD0D2376B46}"/>
    <cellStyle name="40% - Accent4 2 2 2 2 4" xfId="9536" xr:uid="{4351D24F-CE30-4CFD-968F-4B882F0FC9B5}"/>
    <cellStyle name="40% - Accent4 2 2 2 2 4 2" xfId="18549" xr:uid="{4F8DC651-49D9-4C51-BF26-E42FDAA52458}"/>
    <cellStyle name="40% - Accent4 2 2 2 2 4 3" xfId="35443" xr:uid="{FA87F9AF-5225-4593-B751-28336A442212}"/>
    <cellStyle name="40% - Accent4 2 2 2 2 5" xfId="10102" xr:uid="{F5E872F4-6760-448B-B287-53247524086A}"/>
    <cellStyle name="40% - Accent4 2 2 2 2 6" xfId="26996" xr:uid="{04C78601-B893-4D20-8783-3FEF706185E8}"/>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2 2 2" xfId="25324" xr:uid="{8F4E2575-0CA2-47D0-98DA-E8538D5645A3}"/>
    <cellStyle name="40% - Accent4 2 2 2 3 2 2 2 2" xfId="42218" xr:uid="{D52D9F5A-2EE0-4A07-B905-74B5AAB6BCA0}"/>
    <cellStyle name="40% - Accent4 2 2 2 3 2 2 3" xfId="16877" xr:uid="{40773093-BD7B-44FE-BBDD-89CA7D6AEE19}"/>
    <cellStyle name="40% - Accent4 2 2 2 3 2 2 4" xfId="33771" xr:uid="{9BD3B144-F593-4096-89E1-B5CE0002CD60}"/>
    <cellStyle name="40% - Accent4 2 2 2 3 2 3" xfId="21107" xr:uid="{07D0DD80-BAFB-4B55-BAA4-518023AED04E}"/>
    <cellStyle name="40% - Accent4 2 2 2 3 2 3 2" xfId="38001" xr:uid="{A2132510-023A-4B6F-9433-0CC5848A6813}"/>
    <cellStyle name="40% - Accent4 2 2 2 3 2 4" xfId="12660" xr:uid="{238A3524-FE46-4A29-9C1E-2CCA017D0E84}"/>
    <cellStyle name="40% - Accent4 2 2 2 3 2 5" xfId="29554" xr:uid="{9C807331-9D5B-4E9E-9D30-055CE0A4DC11}"/>
    <cellStyle name="40% - Accent4 2 2 2 3 3" xfId="5406" xr:uid="{00000000-0005-0000-0000-0000AC050000}"/>
    <cellStyle name="40% - Accent4 2 2 2 3 3 2" xfId="23179" xr:uid="{D46E1AC6-1EC5-4CB0-AA80-4740D7B8FAD3}"/>
    <cellStyle name="40% - Accent4 2 2 2 3 3 2 2" xfId="40073" xr:uid="{31516C19-6BAA-46AF-88DE-6A41EB3B9F3E}"/>
    <cellStyle name="40% - Accent4 2 2 2 3 3 3" xfId="14732" xr:uid="{66DA820A-4E06-42B8-8F6A-21C5BC4147DB}"/>
    <cellStyle name="40% - Accent4 2 2 2 3 3 4" xfId="31626" xr:uid="{441BB955-EE86-4326-8D8B-EEA9F5559428}"/>
    <cellStyle name="40% - Accent4 2 2 2 3 4" xfId="18962" xr:uid="{BA53BD6B-71D8-4787-A531-B6CA5A4B057E}"/>
    <cellStyle name="40% - Accent4 2 2 2 3 4 2" xfId="35856" xr:uid="{0DEB71CB-0AFC-4204-BDD2-5FB5E39F3C8C}"/>
    <cellStyle name="40% - Accent4 2 2 2 3 5" xfId="10515" xr:uid="{DCC55850-5C4F-4EF2-AB4D-F87B6FBC55E5}"/>
    <cellStyle name="40% - Accent4 2 2 2 3 6" xfId="27409" xr:uid="{FD8CB2B6-C1E4-4587-BCFA-9B39B288BC4D}"/>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2 2 2" xfId="25737" xr:uid="{D1E05DFB-8926-4778-856E-5EFBA64B7324}"/>
    <cellStyle name="40% - Accent4 2 2 2 4 2 2 2 2" xfId="42631" xr:uid="{D1079AE4-326D-4215-9DAA-AA90FF1230CD}"/>
    <cellStyle name="40% - Accent4 2 2 2 4 2 2 3" xfId="17290" xr:uid="{31DAD4E3-2C97-4BC1-8083-2B1E5328CCBC}"/>
    <cellStyle name="40% - Accent4 2 2 2 4 2 2 4" xfId="34184" xr:uid="{86633FE9-43F7-474E-AF0F-410DE77F8B3D}"/>
    <cellStyle name="40% - Accent4 2 2 2 4 2 3" xfId="21520" xr:uid="{0A6B60CC-062B-4BE8-AC25-7CCFA908EC5C}"/>
    <cellStyle name="40% - Accent4 2 2 2 4 2 3 2" xfId="38414" xr:uid="{CFAF37B7-20A0-4083-9E66-C1EE22D0CD25}"/>
    <cellStyle name="40% - Accent4 2 2 2 4 2 4" xfId="13073" xr:uid="{2C0DF8E7-1B0F-441D-9B0E-F204368B8F6A}"/>
    <cellStyle name="40% - Accent4 2 2 2 4 2 5" xfId="29967" xr:uid="{46E9A4CF-EFC1-424F-9527-72DC800B2B7B}"/>
    <cellStyle name="40% - Accent4 2 2 2 4 3" xfId="5819" xr:uid="{00000000-0005-0000-0000-0000B0050000}"/>
    <cellStyle name="40% - Accent4 2 2 2 4 3 2" xfId="23592" xr:uid="{A600161F-1A0D-4FEF-90CE-06887C37D09E}"/>
    <cellStyle name="40% - Accent4 2 2 2 4 3 2 2" xfId="40486" xr:uid="{B080E67D-12F5-408F-BD72-AA5CE191B995}"/>
    <cellStyle name="40% - Accent4 2 2 2 4 3 3" xfId="15145" xr:uid="{2BA31125-24FB-4F16-8A5E-FB5085AC8C90}"/>
    <cellStyle name="40% - Accent4 2 2 2 4 3 4" xfId="32039" xr:uid="{BFC07EAC-B5E5-4A69-82AA-3F07E4EEC1BB}"/>
    <cellStyle name="40% - Accent4 2 2 2 4 4" xfId="19375" xr:uid="{4B8F1CAC-24D6-4C7F-AEEA-7F897937E3D6}"/>
    <cellStyle name="40% - Accent4 2 2 2 4 4 2" xfId="36269" xr:uid="{5E12D764-CD3E-45FE-90EA-6E7059E2B7B5}"/>
    <cellStyle name="40% - Accent4 2 2 2 4 5" xfId="10928" xr:uid="{7FE84196-BB88-492C-AE85-D767E45568B2}"/>
    <cellStyle name="40% - Accent4 2 2 2 4 6" xfId="27822" xr:uid="{8A24FBDC-1C52-4F40-AA5D-04586A9F89B7}"/>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2 2 2" xfId="26150" xr:uid="{CF3076B8-0583-41D0-B329-4713808A9115}"/>
    <cellStyle name="40% - Accent4 2 2 2 5 2 2 2 2" xfId="43044" xr:uid="{E04A564A-79B2-4763-B728-FD836CE674A6}"/>
    <cellStyle name="40% - Accent4 2 2 2 5 2 2 3" xfId="17703" xr:uid="{72702D02-31E7-4BF9-B1A2-82D21510093D}"/>
    <cellStyle name="40% - Accent4 2 2 2 5 2 2 4" xfId="34597" xr:uid="{9A3F8699-08A2-44DD-85D6-C52156B9E25C}"/>
    <cellStyle name="40% - Accent4 2 2 2 5 2 3" xfId="21933" xr:uid="{FDB3E7A9-D1E0-4C9E-9C0F-F6277B323EC9}"/>
    <cellStyle name="40% - Accent4 2 2 2 5 2 3 2" xfId="38827" xr:uid="{32F3FF1B-97AC-4ADA-AD2D-E76B44BB5956}"/>
    <cellStyle name="40% - Accent4 2 2 2 5 2 4" xfId="13486" xr:uid="{24523EDD-C710-42A5-8A17-D094C062E0AB}"/>
    <cellStyle name="40% - Accent4 2 2 2 5 2 5" xfId="30380" xr:uid="{2BBD67F1-99AE-478E-9591-9E0575C094D0}"/>
    <cellStyle name="40% - Accent4 2 2 2 5 3" xfId="6232" xr:uid="{00000000-0005-0000-0000-0000B4050000}"/>
    <cellStyle name="40% - Accent4 2 2 2 5 3 2" xfId="24005" xr:uid="{39E8E3F7-A495-4AA9-AD0D-490254AE9F5D}"/>
    <cellStyle name="40% - Accent4 2 2 2 5 3 2 2" xfId="40899" xr:uid="{9479E5C4-1412-4E61-B29C-F4B61CC0FE43}"/>
    <cellStyle name="40% - Accent4 2 2 2 5 3 3" xfId="15558" xr:uid="{EC82E7AA-A6E4-4534-8925-767959D4AD7B}"/>
    <cellStyle name="40% - Accent4 2 2 2 5 3 4" xfId="32452" xr:uid="{0C22054B-6972-48D5-A6B3-E944399FB319}"/>
    <cellStyle name="40% - Accent4 2 2 2 5 4" xfId="19788" xr:uid="{150A244B-FA8B-4D46-B768-35571D8890B7}"/>
    <cellStyle name="40% - Accent4 2 2 2 5 4 2" xfId="36682" xr:uid="{7C221060-9B41-4779-9B0F-C354D9C04F49}"/>
    <cellStyle name="40% - Accent4 2 2 2 5 5" xfId="11341" xr:uid="{7053CF88-6C2F-472F-970C-AA475B66F573}"/>
    <cellStyle name="40% - Accent4 2 2 2 5 6" xfId="28235" xr:uid="{4ED6EF5B-2339-47E4-BDCF-F5A2D3EB9851}"/>
    <cellStyle name="40% - Accent4 2 2 2 6" xfId="2339" xr:uid="{00000000-0005-0000-0000-0000B5050000}"/>
    <cellStyle name="40% - Accent4 2 2 2 6 2" xfId="6645" xr:uid="{00000000-0005-0000-0000-0000B6050000}"/>
    <cellStyle name="40% - Accent4 2 2 2 6 2 2" xfId="24418" xr:uid="{728A8610-CFD2-4A99-9880-86701F42E31C}"/>
    <cellStyle name="40% - Accent4 2 2 2 6 2 2 2" xfId="41312" xr:uid="{DFD318F9-8134-4576-9BCD-9AC42F5FD0F1}"/>
    <cellStyle name="40% - Accent4 2 2 2 6 2 3" xfId="15971" xr:uid="{2A424703-0D8C-4AF0-BE27-464FD61D7125}"/>
    <cellStyle name="40% - Accent4 2 2 2 6 2 4" xfId="32865" xr:uid="{84C3C4BF-7643-49DE-B97E-F97F8C961A91}"/>
    <cellStyle name="40% - Accent4 2 2 2 6 3" xfId="20201" xr:uid="{82B96EE7-4B16-48EA-B3F7-80E7D3DC2F39}"/>
    <cellStyle name="40% - Accent4 2 2 2 6 3 2" xfId="37095" xr:uid="{0A462AC7-739E-4356-8060-6846618F744D}"/>
    <cellStyle name="40% - Accent4 2 2 2 6 4" xfId="11754" xr:uid="{AB7F78BA-AF58-46A2-A680-A496C3000867}"/>
    <cellStyle name="40% - Accent4 2 2 2 6 5" xfId="28648" xr:uid="{67D59FA2-F6FC-4144-8C47-4F83294ADA0C}"/>
    <cellStyle name="40% - Accent4 2 2 2 7" xfId="4579" xr:uid="{00000000-0005-0000-0000-0000B7050000}"/>
    <cellStyle name="40% - Accent4 2 2 2 7 2" xfId="22352" xr:uid="{0CEFDFAB-A05E-4E6D-BE55-837C2ED9FE1F}"/>
    <cellStyle name="40% - Accent4 2 2 2 7 2 2" xfId="39246" xr:uid="{EB764713-F7EB-4F89-8EA5-13590910BECB}"/>
    <cellStyle name="40% - Accent4 2 2 2 7 3" xfId="13905" xr:uid="{C4C25DB3-A08A-4226-A9E0-B5C492478AAD}"/>
    <cellStyle name="40% - Accent4 2 2 2 7 4" xfId="30799" xr:uid="{63F8F2BC-F84C-4339-BC99-65962A8ADE44}"/>
    <cellStyle name="40% - Accent4 2 2 2 8" xfId="9111" xr:uid="{1DD86F12-0D11-497C-88D9-78D90E1EF65F}"/>
    <cellStyle name="40% - Accent4 2 2 2 8 2" xfId="18135" xr:uid="{F80B4757-703C-429D-B391-FB739183AC61}"/>
    <cellStyle name="40% - Accent4 2 2 2 8 3" xfId="35029" xr:uid="{65A97D3C-9511-4B7D-997D-27A8166158F1}"/>
    <cellStyle name="40% - Accent4 2 2 2 9" xfId="9688" xr:uid="{24F4E7DB-3C03-46C7-B8A3-8F11111DC8D2}"/>
    <cellStyle name="40% - Accent4 2 2 3" xfId="644" xr:uid="{00000000-0005-0000-0000-0000B8050000}"/>
    <cellStyle name="40% - Accent4 2 2 3 2" xfId="2915" xr:uid="{00000000-0005-0000-0000-0000B9050000}"/>
    <cellStyle name="40% - Accent4 2 2 3 2 2" xfId="7137" xr:uid="{00000000-0005-0000-0000-0000BA050000}"/>
    <cellStyle name="40% - Accent4 2 2 3 2 2 2" xfId="24910" xr:uid="{CA6D7D7E-7140-4806-85DA-2A3CC7293866}"/>
    <cellStyle name="40% - Accent4 2 2 3 2 2 2 2" xfId="41804" xr:uid="{6A0843E3-1C9B-46D2-BD00-B0810983A458}"/>
    <cellStyle name="40% - Accent4 2 2 3 2 2 3" xfId="16463" xr:uid="{503BF249-9602-4079-BDD4-66FA814586C2}"/>
    <cellStyle name="40% - Accent4 2 2 3 2 2 4" xfId="33357" xr:uid="{AF1F9822-2F54-48A1-AECA-9879391D53F7}"/>
    <cellStyle name="40% - Accent4 2 2 3 2 3" xfId="20693" xr:uid="{1D20A107-78CE-4996-B885-BB5DEE1E4BA3}"/>
    <cellStyle name="40% - Accent4 2 2 3 2 3 2" xfId="37587" xr:uid="{3DA2B284-4F5B-4CDD-98A2-93DC6FFE325B}"/>
    <cellStyle name="40% - Accent4 2 2 3 2 4" xfId="12246" xr:uid="{D69998DE-3B62-45CD-8592-BFA7F7693349}"/>
    <cellStyle name="40% - Accent4 2 2 3 2 5" xfId="29140" xr:uid="{3188E3DF-4659-4E4D-A2A3-75439B4A1DF0}"/>
    <cellStyle name="40% - Accent4 2 2 3 3" xfId="4992" xr:uid="{00000000-0005-0000-0000-0000BB050000}"/>
    <cellStyle name="40% - Accent4 2 2 3 3 2" xfId="22765" xr:uid="{DA51F5A4-E034-40C8-AEFF-EE3CF212D263}"/>
    <cellStyle name="40% - Accent4 2 2 3 3 2 2" xfId="39659" xr:uid="{7B5BF584-290C-40D7-8F09-C14FA3132D08}"/>
    <cellStyle name="40% - Accent4 2 2 3 3 3" xfId="14318" xr:uid="{D15E9F98-2893-4B2A-AFA5-5653FA73F5B8}"/>
    <cellStyle name="40% - Accent4 2 2 3 3 4" xfId="31212" xr:uid="{B084A920-7600-4ED2-9D26-D98A12451E38}"/>
    <cellStyle name="40% - Accent4 2 2 3 4" xfId="9329" xr:uid="{62CB3536-9FC4-4DBF-9121-AD0025D891C9}"/>
    <cellStyle name="40% - Accent4 2 2 3 4 2" xfId="18548" xr:uid="{EAB5D0EA-931F-4FD2-B3C9-F0FA8232E6CD}"/>
    <cellStyle name="40% - Accent4 2 2 3 4 3" xfId="35442" xr:uid="{326CAC62-29D4-41CF-AC7D-A1A48F064910}"/>
    <cellStyle name="40% - Accent4 2 2 3 5" xfId="10101" xr:uid="{3FB8F360-631F-4071-BEAB-C0ADD73804C1}"/>
    <cellStyle name="40% - Accent4 2 2 3 6" xfId="26995" xr:uid="{EE07DC72-BEF8-4990-B4F7-3D7AF66F57CC}"/>
    <cellStyle name="40% - Accent4 2 2 4" xfId="1097" xr:uid="{00000000-0005-0000-0000-0000BC050000}"/>
    <cellStyle name="40% - Accent4 2 2 4 2" xfId="3328" xr:uid="{00000000-0005-0000-0000-0000BD050000}"/>
    <cellStyle name="40% - Accent4 2 2 4 2 2" xfId="7550" xr:uid="{00000000-0005-0000-0000-0000BE050000}"/>
    <cellStyle name="40% - Accent4 2 2 4 2 2 2" xfId="25323" xr:uid="{8C333527-A64B-4F20-9A28-7B65BCB50EF2}"/>
    <cellStyle name="40% - Accent4 2 2 4 2 2 2 2" xfId="42217" xr:uid="{5CA254F6-2EE8-4056-8191-42AFFA1334CB}"/>
    <cellStyle name="40% - Accent4 2 2 4 2 2 3" xfId="16876" xr:uid="{C4546F8F-5639-44AF-A735-3195E5FB0B73}"/>
    <cellStyle name="40% - Accent4 2 2 4 2 2 4" xfId="33770" xr:uid="{A63B653E-C9E9-45D7-A8B1-71980145881F}"/>
    <cellStyle name="40% - Accent4 2 2 4 2 3" xfId="21106" xr:uid="{7ABEF663-F56D-4E44-B3BD-5D0539125660}"/>
    <cellStyle name="40% - Accent4 2 2 4 2 3 2" xfId="38000" xr:uid="{347FE4D3-7F12-4DA6-B11B-A32993E4EBC1}"/>
    <cellStyle name="40% - Accent4 2 2 4 2 4" xfId="12659" xr:uid="{32106B8E-009F-45C9-9583-0E9189210718}"/>
    <cellStyle name="40% - Accent4 2 2 4 2 5" xfId="29553" xr:uid="{A140E6B9-DA51-4CE1-8468-0F0625749377}"/>
    <cellStyle name="40% - Accent4 2 2 4 3" xfId="5405" xr:uid="{00000000-0005-0000-0000-0000BF050000}"/>
    <cellStyle name="40% - Accent4 2 2 4 3 2" xfId="23178" xr:uid="{EA8A4538-53A9-41EA-8F5C-B75630840659}"/>
    <cellStyle name="40% - Accent4 2 2 4 3 2 2" xfId="40072" xr:uid="{C8A6E29F-E218-432E-87A5-8B1133E0DD30}"/>
    <cellStyle name="40% - Accent4 2 2 4 3 3" xfId="14731" xr:uid="{A45BD5EA-29FA-4547-8395-472053689868}"/>
    <cellStyle name="40% - Accent4 2 2 4 3 4" xfId="31625" xr:uid="{7202C4ED-0249-457E-825B-D7863E1B2B3F}"/>
    <cellStyle name="40% - Accent4 2 2 4 4" xfId="18961" xr:uid="{963C1414-53DC-467C-87A8-8C4CA8CDAC97}"/>
    <cellStyle name="40% - Accent4 2 2 4 4 2" xfId="35855" xr:uid="{A3DA4B1F-4B31-4F57-B382-F3C978533466}"/>
    <cellStyle name="40% - Accent4 2 2 4 5" xfId="10514" xr:uid="{7DC14002-8D8E-46C5-8A45-046B645CD68C}"/>
    <cellStyle name="40% - Accent4 2 2 4 6" xfId="27408" xr:uid="{FEA6763B-FA65-46BE-9362-140670F64B06}"/>
    <cellStyle name="40% - Accent4 2 2 5" xfId="1511" xr:uid="{00000000-0005-0000-0000-0000C0050000}"/>
    <cellStyle name="40% - Accent4 2 2 5 2" xfId="3741" xr:uid="{00000000-0005-0000-0000-0000C1050000}"/>
    <cellStyle name="40% - Accent4 2 2 5 2 2" xfId="7963" xr:uid="{00000000-0005-0000-0000-0000C2050000}"/>
    <cellStyle name="40% - Accent4 2 2 5 2 2 2" xfId="25736" xr:uid="{4586A7ED-DE0D-4BBC-AA99-DB378CAC34DD}"/>
    <cellStyle name="40% - Accent4 2 2 5 2 2 2 2" xfId="42630" xr:uid="{DA8DA905-4F55-43A5-B455-3E3BECDD8D4C}"/>
    <cellStyle name="40% - Accent4 2 2 5 2 2 3" xfId="17289" xr:uid="{10A05EDB-ECC0-4A65-B03D-8024C870CF97}"/>
    <cellStyle name="40% - Accent4 2 2 5 2 2 4" xfId="34183" xr:uid="{27813228-7E78-4A18-ADE6-FBDE84229D1F}"/>
    <cellStyle name="40% - Accent4 2 2 5 2 3" xfId="21519" xr:uid="{E7C7B4C8-EFC0-48DB-AADB-DA17684C09E4}"/>
    <cellStyle name="40% - Accent4 2 2 5 2 3 2" xfId="38413" xr:uid="{8365B7E5-0CA7-4241-B8E5-46625757F2CF}"/>
    <cellStyle name="40% - Accent4 2 2 5 2 4" xfId="13072" xr:uid="{DDD008AA-2560-4709-AD8B-F474D841A411}"/>
    <cellStyle name="40% - Accent4 2 2 5 2 5" xfId="29966" xr:uid="{E9C258E0-0BA0-452C-A041-63B07C126394}"/>
    <cellStyle name="40% - Accent4 2 2 5 3" xfId="5818" xr:uid="{00000000-0005-0000-0000-0000C3050000}"/>
    <cellStyle name="40% - Accent4 2 2 5 3 2" xfId="23591" xr:uid="{AE74A608-87F0-45D7-AFCF-5485D316946E}"/>
    <cellStyle name="40% - Accent4 2 2 5 3 2 2" xfId="40485" xr:uid="{206ECE74-629B-4650-AC60-5F9F405EF262}"/>
    <cellStyle name="40% - Accent4 2 2 5 3 3" xfId="15144" xr:uid="{4B2C2A30-6BEE-43E8-AE55-DC5AB1A35F8D}"/>
    <cellStyle name="40% - Accent4 2 2 5 3 4" xfId="32038" xr:uid="{26A3585D-FB13-49DC-88B6-6402DDAA7106}"/>
    <cellStyle name="40% - Accent4 2 2 5 4" xfId="19374" xr:uid="{C2CFA101-9563-40A5-9A2B-10B2781AF41E}"/>
    <cellStyle name="40% - Accent4 2 2 5 4 2" xfId="36268" xr:uid="{1B3A74FD-C159-40B1-87C1-067B35C51D13}"/>
    <cellStyle name="40% - Accent4 2 2 5 5" xfId="10927" xr:uid="{2592D8A2-9F3D-4317-96A3-5328608B4D37}"/>
    <cellStyle name="40% - Accent4 2 2 5 6" xfId="27821" xr:uid="{328FBE5A-F63A-4DDB-A495-0D7FC7BF3749}"/>
    <cellStyle name="40% - Accent4 2 2 6" xfId="1925" xr:uid="{00000000-0005-0000-0000-0000C4050000}"/>
    <cellStyle name="40% - Accent4 2 2 6 2" xfId="4154" xr:uid="{00000000-0005-0000-0000-0000C5050000}"/>
    <cellStyle name="40% - Accent4 2 2 6 2 2" xfId="8376" xr:uid="{00000000-0005-0000-0000-0000C6050000}"/>
    <cellStyle name="40% - Accent4 2 2 6 2 2 2" xfId="26149" xr:uid="{6ABEAF1F-541F-4AB7-88F2-D29DCE6A3C78}"/>
    <cellStyle name="40% - Accent4 2 2 6 2 2 2 2" xfId="43043" xr:uid="{A4C9F9B6-A34A-413C-B2D7-D85DEF71E280}"/>
    <cellStyle name="40% - Accent4 2 2 6 2 2 3" xfId="17702" xr:uid="{E0CBD12A-C61D-4928-A162-F0478CA02162}"/>
    <cellStyle name="40% - Accent4 2 2 6 2 2 4" xfId="34596" xr:uid="{9159E133-E21F-4F31-A664-CFBC93FFAD2F}"/>
    <cellStyle name="40% - Accent4 2 2 6 2 3" xfId="21932" xr:uid="{8B1D40FC-0450-444D-A797-E59A2F560D8C}"/>
    <cellStyle name="40% - Accent4 2 2 6 2 3 2" xfId="38826" xr:uid="{84E905C6-5D49-4EF0-A737-C4F865968509}"/>
    <cellStyle name="40% - Accent4 2 2 6 2 4" xfId="13485" xr:uid="{B021F917-0882-416B-876F-77FD53037E3D}"/>
    <cellStyle name="40% - Accent4 2 2 6 2 5" xfId="30379" xr:uid="{405242A2-7A33-45F3-84CA-0CCA48005C98}"/>
    <cellStyle name="40% - Accent4 2 2 6 3" xfId="6231" xr:uid="{00000000-0005-0000-0000-0000C7050000}"/>
    <cellStyle name="40% - Accent4 2 2 6 3 2" xfId="24004" xr:uid="{B56CE027-8388-468F-B686-9C188F810E88}"/>
    <cellStyle name="40% - Accent4 2 2 6 3 2 2" xfId="40898" xr:uid="{0A3B4C2C-E5E6-49D7-9374-72C715FB17BC}"/>
    <cellStyle name="40% - Accent4 2 2 6 3 3" xfId="15557" xr:uid="{CF3A68EB-F623-4DC1-A974-1EA94B9D91FD}"/>
    <cellStyle name="40% - Accent4 2 2 6 3 4" xfId="32451" xr:uid="{A0A3A2D1-80B5-4F33-B8CC-F98EE9714324}"/>
    <cellStyle name="40% - Accent4 2 2 6 4" xfId="19787" xr:uid="{EF61D27C-9B88-4DD3-B3BD-BA629A9DE824}"/>
    <cellStyle name="40% - Accent4 2 2 6 4 2" xfId="36681" xr:uid="{62F2582A-2BDF-4759-8206-646B268DBDFD}"/>
    <cellStyle name="40% - Accent4 2 2 6 5" xfId="11340" xr:uid="{AD885D33-2B6B-4309-95A2-B0AAE2EC393C}"/>
    <cellStyle name="40% - Accent4 2 2 6 6" xfId="28234" xr:uid="{7ECCDDB4-849B-476B-9B71-38F205AF1CA5}"/>
    <cellStyle name="40% - Accent4 2 2 7" xfId="2338" xr:uid="{00000000-0005-0000-0000-0000C8050000}"/>
    <cellStyle name="40% - Accent4 2 2 7 2" xfId="6644" xr:uid="{00000000-0005-0000-0000-0000C9050000}"/>
    <cellStyle name="40% - Accent4 2 2 7 2 2" xfId="24417" xr:uid="{15006A22-92C2-4542-A457-3E6F63E8805B}"/>
    <cellStyle name="40% - Accent4 2 2 7 2 2 2" xfId="41311" xr:uid="{5931887E-2520-4DE4-AD0A-684A41C2B488}"/>
    <cellStyle name="40% - Accent4 2 2 7 2 3" xfId="15970" xr:uid="{113E1B41-B8D2-4AE0-BB59-0D832A2ED417}"/>
    <cellStyle name="40% - Accent4 2 2 7 2 4" xfId="32864" xr:uid="{0636B78E-8297-436C-B3A7-1E1652F62B23}"/>
    <cellStyle name="40% - Accent4 2 2 7 3" xfId="20200" xr:uid="{769D54FF-6A59-40DE-B92E-0EED5C7B8492}"/>
    <cellStyle name="40% - Accent4 2 2 7 3 2" xfId="37094" xr:uid="{2320396D-5B3C-4C92-BD43-1F56AE77CC63}"/>
    <cellStyle name="40% - Accent4 2 2 7 4" xfId="11753" xr:uid="{3E6AAEFD-A6F3-4D77-8C21-A481E209A380}"/>
    <cellStyle name="40% - Accent4 2 2 7 5" xfId="28647" xr:uid="{00029751-03F8-474A-B0C2-62BAC80B602F}"/>
    <cellStyle name="40% - Accent4 2 2 8" xfId="4578" xr:uid="{00000000-0005-0000-0000-0000CA050000}"/>
    <cellStyle name="40% - Accent4 2 2 8 2" xfId="22351" xr:uid="{8FB5A181-7111-4E77-8AE4-17724E5F3978}"/>
    <cellStyle name="40% - Accent4 2 2 8 2 2" xfId="39245" xr:uid="{618A9CAD-B6B6-44F4-ABD0-4F842DCEF2DD}"/>
    <cellStyle name="40% - Accent4 2 2 8 3" xfId="13904" xr:uid="{9C8E9CBD-B4ED-4780-BA71-56D56022AEA6}"/>
    <cellStyle name="40% - Accent4 2 2 8 4" xfId="30798" xr:uid="{1EBE5430-023F-4ECC-8BC0-91227AB30684}"/>
    <cellStyle name="40% - Accent4 2 2 9" xfId="8904" xr:uid="{64C959C5-2FAF-462D-88B6-14B59CDC763B}"/>
    <cellStyle name="40% - Accent4 2 2 9 2" xfId="18134" xr:uid="{2369C547-1587-486B-9BCA-D31CA06DC02A}"/>
    <cellStyle name="40% - Accent4 2 2 9 3" xfId="35028" xr:uid="{A5851244-38DF-484D-BFEA-625756DF7DFB}"/>
    <cellStyle name="40% - Accent4 2 3" xfId="77" xr:uid="{00000000-0005-0000-0000-0000CB050000}"/>
    <cellStyle name="40% - Accent4 2 3 10" xfId="26583" xr:uid="{E3F7184B-812B-4A43-887A-1A9BB7BCFAB6}"/>
    <cellStyle name="40% - Accent4 2 3 2" xfId="646" xr:uid="{00000000-0005-0000-0000-0000CC050000}"/>
    <cellStyle name="40% - Accent4 2 3 2 2" xfId="2917" xr:uid="{00000000-0005-0000-0000-0000CD050000}"/>
    <cellStyle name="40% - Accent4 2 3 2 2 2" xfId="7139" xr:uid="{00000000-0005-0000-0000-0000CE050000}"/>
    <cellStyle name="40% - Accent4 2 3 2 2 2 2" xfId="24912" xr:uid="{55AFEB14-2E24-4BD3-AB37-159EBB2AE8A5}"/>
    <cellStyle name="40% - Accent4 2 3 2 2 2 2 2" xfId="41806" xr:uid="{30F843E8-EAE0-4642-A27C-FD4A07C858B3}"/>
    <cellStyle name="40% - Accent4 2 3 2 2 2 3" xfId="16465" xr:uid="{87DF46DF-B562-4FFC-B2CA-AB1CA41629CB}"/>
    <cellStyle name="40% - Accent4 2 3 2 2 2 4" xfId="33359" xr:uid="{60D4C763-2AEC-4518-9E04-1F1CF9F4359E}"/>
    <cellStyle name="40% - Accent4 2 3 2 2 3" xfId="20695" xr:uid="{B1D9C6BF-8D60-4E09-B005-270B6CCC37DD}"/>
    <cellStyle name="40% - Accent4 2 3 2 2 3 2" xfId="37589" xr:uid="{879FC985-9422-4F65-A26F-0B0629050303}"/>
    <cellStyle name="40% - Accent4 2 3 2 2 4" xfId="12248" xr:uid="{37D07CBA-9C90-4310-A0D2-D77B95438A4D}"/>
    <cellStyle name="40% - Accent4 2 3 2 2 5" xfId="29142" xr:uid="{37FDAF08-2C48-4FF4-9D0C-7D7B5DCED022}"/>
    <cellStyle name="40% - Accent4 2 3 2 3" xfId="4994" xr:uid="{00000000-0005-0000-0000-0000CF050000}"/>
    <cellStyle name="40% - Accent4 2 3 2 3 2" xfId="22767" xr:uid="{E459C2E7-4D43-4BDE-87B1-CD5DD8A42ACA}"/>
    <cellStyle name="40% - Accent4 2 3 2 3 2 2" xfId="39661" xr:uid="{79D4517A-5FAE-4CF6-87DA-51F07A20DF06}"/>
    <cellStyle name="40% - Accent4 2 3 2 3 3" xfId="14320" xr:uid="{3187924B-FDCD-488E-A7C0-EB853C6062EC}"/>
    <cellStyle name="40% - Accent4 2 3 2 3 4" xfId="31214" xr:uid="{A95A1250-ABAD-4567-8339-2600E1E7764D}"/>
    <cellStyle name="40% - Accent4 2 3 2 4" xfId="9433" xr:uid="{058786D1-7E7D-40D9-9218-B4C7219F4E53}"/>
    <cellStyle name="40% - Accent4 2 3 2 4 2" xfId="18550" xr:uid="{54BEA0DA-7CA0-43A5-AF01-622D3635C68B}"/>
    <cellStyle name="40% - Accent4 2 3 2 4 3" xfId="35444" xr:uid="{14A7B9C9-8A8A-4B7F-8BA7-62111EB70927}"/>
    <cellStyle name="40% - Accent4 2 3 2 5" xfId="10103" xr:uid="{FD7EBEBF-6986-4891-820F-450F071E6E8B}"/>
    <cellStyle name="40% - Accent4 2 3 2 6" xfId="26997" xr:uid="{F3F0B947-D08D-4272-8812-A2306D97BC45}"/>
    <cellStyle name="40% - Accent4 2 3 3" xfId="1099" xr:uid="{00000000-0005-0000-0000-0000D0050000}"/>
    <cellStyle name="40% - Accent4 2 3 3 2" xfId="3330" xr:uid="{00000000-0005-0000-0000-0000D1050000}"/>
    <cellStyle name="40% - Accent4 2 3 3 2 2" xfId="7552" xr:uid="{00000000-0005-0000-0000-0000D2050000}"/>
    <cellStyle name="40% - Accent4 2 3 3 2 2 2" xfId="25325" xr:uid="{456AB366-2F93-4F32-9AD9-D8ECBFC42C5D}"/>
    <cellStyle name="40% - Accent4 2 3 3 2 2 2 2" xfId="42219" xr:uid="{66C630E1-8B66-48D3-B27B-9237DC65E481}"/>
    <cellStyle name="40% - Accent4 2 3 3 2 2 3" xfId="16878" xr:uid="{459BFBA5-03BD-408F-BA35-11074DFDF22F}"/>
    <cellStyle name="40% - Accent4 2 3 3 2 2 4" xfId="33772" xr:uid="{B6018FB8-890C-4699-A49B-D02F980EBCE4}"/>
    <cellStyle name="40% - Accent4 2 3 3 2 3" xfId="21108" xr:uid="{98660049-B3C9-4B4E-A7CE-20720FBA7B39}"/>
    <cellStyle name="40% - Accent4 2 3 3 2 3 2" xfId="38002" xr:uid="{0157C190-CAD8-4659-8930-BCFF2E171FE6}"/>
    <cellStyle name="40% - Accent4 2 3 3 2 4" xfId="12661" xr:uid="{1C2FFF04-721D-4C28-A1D2-D34301E1B223}"/>
    <cellStyle name="40% - Accent4 2 3 3 2 5" xfId="29555" xr:uid="{6256BAD2-C7AB-4335-828C-6A7525C52DE9}"/>
    <cellStyle name="40% - Accent4 2 3 3 3" xfId="5407" xr:uid="{00000000-0005-0000-0000-0000D3050000}"/>
    <cellStyle name="40% - Accent4 2 3 3 3 2" xfId="23180" xr:uid="{6D121E66-6C47-4759-829C-62565E6ABA57}"/>
    <cellStyle name="40% - Accent4 2 3 3 3 2 2" xfId="40074" xr:uid="{114AD4DF-D685-457A-B5D0-3E2D5453FEBF}"/>
    <cellStyle name="40% - Accent4 2 3 3 3 3" xfId="14733" xr:uid="{F78C4ED8-7A40-465D-B97F-B4655ECC9918}"/>
    <cellStyle name="40% - Accent4 2 3 3 3 4" xfId="31627" xr:uid="{3098DFAE-0595-4B6E-B7CF-4686F14D46D1}"/>
    <cellStyle name="40% - Accent4 2 3 3 4" xfId="18963" xr:uid="{23FF8FA3-CC6A-4A4B-86DE-7CADBE6CFF8F}"/>
    <cellStyle name="40% - Accent4 2 3 3 4 2" xfId="35857" xr:uid="{A5567F0A-57BB-4516-96E4-CA01731DE16B}"/>
    <cellStyle name="40% - Accent4 2 3 3 5" xfId="10516" xr:uid="{B99C24C4-1332-412F-B8E0-62F2BD05F6D8}"/>
    <cellStyle name="40% - Accent4 2 3 3 6" xfId="27410" xr:uid="{9F7036C1-D31F-4A29-B0D5-50753DA25DDB}"/>
    <cellStyle name="40% - Accent4 2 3 4" xfId="1513" xr:uid="{00000000-0005-0000-0000-0000D4050000}"/>
    <cellStyle name="40% - Accent4 2 3 4 2" xfId="3743" xr:uid="{00000000-0005-0000-0000-0000D5050000}"/>
    <cellStyle name="40% - Accent4 2 3 4 2 2" xfId="7965" xr:uid="{00000000-0005-0000-0000-0000D6050000}"/>
    <cellStyle name="40% - Accent4 2 3 4 2 2 2" xfId="25738" xr:uid="{8ABBBF5E-983F-465C-B795-10E7A746E5CE}"/>
    <cellStyle name="40% - Accent4 2 3 4 2 2 2 2" xfId="42632" xr:uid="{7F34888F-1B64-4E0C-9C8E-1254CE7CC81B}"/>
    <cellStyle name="40% - Accent4 2 3 4 2 2 3" xfId="17291" xr:uid="{4608D3A6-2847-4F55-B743-B51B6B7D8A65}"/>
    <cellStyle name="40% - Accent4 2 3 4 2 2 4" xfId="34185" xr:uid="{FD943DAC-77CC-465A-B76A-D5CA6512807A}"/>
    <cellStyle name="40% - Accent4 2 3 4 2 3" xfId="21521" xr:uid="{CD0431E4-C4D0-4768-BEB3-5621DD3FAA54}"/>
    <cellStyle name="40% - Accent4 2 3 4 2 3 2" xfId="38415" xr:uid="{BAE43F39-C9DB-449D-9AC8-9A32A5CE74F9}"/>
    <cellStyle name="40% - Accent4 2 3 4 2 4" xfId="13074" xr:uid="{25DE93C4-C5E7-4DA9-B289-26B66212EF09}"/>
    <cellStyle name="40% - Accent4 2 3 4 2 5" xfId="29968" xr:uid="{D4720023-105D-4DC8-B4B0-371A7DF4F4F6}"/>
    <cellStyle name="40% - Accent4 2 3 4 3" xfId="5820" xr:uid="{00000000-0005-0000-0000-0000D7050000}"/>
    <cellStyle name="40% - Accent4 2 3 4 3 2" xfId="23593" xr:uid="{046F955E-E888-4D94-A604-FF05F4ADE32D}"/>
    <cellStyle name="40% - Accent4 2 3 4 3 2 2" xfId="40487" xr:uid="{69A78CA7-21BC-47AC-BA02-212BF66D94D5}"/>
    <cellStyle name="40% - Accent4 2 3 4 3 3" xfId="15146" xr:uid="{6B7B511C-1526-4B0F-B0A3-994DFCF631CF}"/>
    <cellStyle name="40% - Accent4 2 3 4 3 4" xfId="32040" xr:uid="{DF34D2B7-323E-4BBE-9641-2B56C24C1C4E}"/>
    <cellStyle name="40% - Accent4 2 3 4 4" xfId="19376" xr:uid="{1801AA06-B809-4A65-B58E-C1C2FAA408CB}"/>
    <cellStyle name="40% - Accent4 2 3 4 4 2" xfId="36270" xr:uid="{7EA2A984-CB84-4B90-9ADF-61490E40F559}"/>
    <cellStyle name="40% - Accent4 2 3 4 5" xfId="10929" xr:uid="{D1FA071C-6735-409B-BFFD-2BD55279A67B}"/>
    <cellStyle name="40% - Accent4 2 3 4 6" xfId="27823" xr:uid="{29BDBF66-EE5E-4F42-9184-380CB4EE438C}"/>
    <cellStyle name="40% - Accent4 2 3 5" xfId="1927" xr:uid="{00000000-0005-0000-0000-0000D8050000}"/>
    <cellStyle name="40% - Accent4 2 3 5 2" xfId="4156" xr:uid="{00000000-0005-0000-0000-0000D9050000}"/>
    <cellStyle name="40% - Accent4 2 3 5 2 2" xfId="8378" xr:uid="{00000000-0005-0000-0000-0000DA050000}"/>
    <cellStyle name="40% - Accent4 2 3 5 2 2 2" xfId="26151" xr:uid="{96E01FF8-03B5-4F7A-B7D0-342DB7236316}"/>
    <cellStyle name="40% - Accent4 2 3 5 2 2 2 2" xfId="43045" xr:uid="{8FAA0F66-8951-4711-B37E-5F2457228BDD}"/>
    <cellStyle name="40% - Accent4 2 3 5 2 2 3" xfId="17704" xr:uid="{DA2D8846-FA5C-4A94-800D-D4AA03D4731C}"/>
    <cellStyle name="40% - Accent4 2 3 5 2 2 4" xfId="34598" xr:uid="{BCF3DE67-3DE4-48C6-8093-B6C8DE152608}"/>
    <cellStyle name="40% - Accent4 2 3 5 2 3" xfId="21934" xr:uid="{41DEF94D-8947-48AF-8F7D-583BF66B9662}"/>
    <cellStyle name="40% - Accent4 2 3 5 2 3 2" xfId="38828" xr:uid="{FB27E88E-5A3D-48E0-932C-D6FC5673CB7C}"/>
    <cellStyle name="40% - Accent4 2 3 5 2 4" xfId="13487" xr:uid="{E1AB7066-55A7-48DB-A811-163E01F92377}"/>
    <cellStyle name="40% - Accent4 2 3 5 2 5" xfId="30381" xr:uid="{BEE01E52-9B67-49D8-98B2-6B022980C020}"/>
    <cellStyle name="40% - Accent4 2 3 5 3" xfId="6233" xr:uid="{00000000-0005-0000-0000-0000DB050000}"/>
    <cellStyle name="40% - Accent4 2 3 5 3 2" xfId="24006" xr:uid="{9A6CF0B7-C7C6-4021-973F-A3E322463AAC}"/>
    <cellStyle name="40% - Accent4 2 3 5 3 2 2" xfId="40900" xr:uid="{38A3F8E3-D9BD-4E6C-BF57-40E2B86DE8D5}"/>
    <cellStyle name="40% - Accent4 2 3 5 3 3" xfId="15559" xr:uid="{F4196846-9069-45BA-A07A-47E66E365289}"/>
    <cellStyle name="40% - Accent4 2 3 5 3 4" xfId="32453" xr:uid="{9E00A26A-B998-4072-A2AF-0E963D7F6E7F}"/>
    <cellStyle name="40% - Accent4 2 3 5 4" xfId="19789" xr:uid="{FC635652-93B3-4C0D-8CE6-B3310A487F65}"/>
    <cellStyle name="40% - Accent4 2 3 5 4 2" xfId="36683" xr:uid="{B1507F78-49BB-47E4-831B-709FB4623AD4}"/>
    <cellStyle name="40% - Accent4 2 3 5 5" xfId="11342" xr:uid="{28A761BC-46EA-4CC9-8B92-F59AEE3D0B96}"/>
    <cellStyle name="40% - Accent4 2 3 5 6" xfId="28236" xr:uid="{29A85571-CD44-4CE3-85AF-96790E2ACB09}"/>
    <cellStyle name="40% - Accent4 2 3 6" xfId="2340" xr:uid="{00000000-0005-0000-0000-0000DC050000}"/>
    <cellStyle name="40% - Accent4 2 3 6 2" xfId="6646" xr:uid="{00000000-0005-0000-0000-0000DD050000}"/>
    <cellStyle name="40% - Accent4 2 3 6 2 2" xfId="24419" xr:uid="{D19D4DD4-DB21-42BD-985A-B03BE4FE1A17}"/>
    <cellStyle name="40% - Accent4 2 3 6 2 2 2" xfId="41313" xr:uid="{17ECD496-39BC-412F-BEEE-9FBE29B25E87}"/>
    <cellStyle name="40% - Accent4 2 3 6 2 3" xfId="15972" xr:uid="{03ED328A-D669-430F-91F7-CAE2B743A0C2}"/>
    <cellStyle name="40% - Accent4 2 3 6 2 4" xfId="32866" xr:uid="{0DC14D87-A595-40C8-89B4-EAA531F2097B}"/>
    <cellStyle name="40% - Accent4 2 3 6 3" xfId="20202" xr:uid="{A6B9E2E7-928D-4659-BEE1-3B406E33B827}"/>
    <cellStyle name="40% - Accent4 2 3 6 3 2" xfId="37096" xr:uid="{6579850C-7766-4E80-8253-105EE00767FA}"/>
    <cellStyle name="40% - Accent4 2 3 6 4" xfId="11755" xr:uid="{73AE26CD-947F-4318-A8A6-FA85D0C5B2E5}"/>
    <cellStyle name="40% - Accent4 2 3 6 5" xfId="28649" xr:uid="{1D412A3D-1726-4876-941D-E29A233D25AB}"/>
    <cellStyle name="40% - Accent4 2 3 7" xfId="4580" xr:uid="{00000000-0005-0000-0000-0000DE050000}"/>
    <cellStyle name="40% - Accent4 2 3 7 2" xfId="22353" xr:uid="{76F11133-AD55-464C-B7DD-A7A04931BC1A}"/>
    <cellStyle name="40% - Accent4 2 3 7 2 2" xfId="39247" xr:uid="{32C90209-65AB-4D17-AAAF-4ECD9AF00EAA}"/>
    <cellStyle name="40% - Accent4 2 3 7 3" xfId="13906" xr:uid="{453EDA95-B7E6-4822-B040-38A02B48C763}"/>
    <cellStyle name="40% - Accent4 2 3 7 4" xfId="30800" xr:uid="{92442C90-04C5-4379-8AF5-ADEE8FF5A04C}"/>
    <cellStyle name="40% - Accent4 2 3 8" xfId="9008" xr:uid="{270F4CAB-C86F-4D9D-804F-69497913908B}"/>
    <cellStyle name="40% - Accent4 2 3 8 2" xfId="18136" xr:uid="{A402E216-BF20-4372-B47C-B8A5D2AC67F7}"/>
    <cellStyle name="40% - Accent4 2 3 8 3" xfId="35030" xr:uid="{D7CBE288-F0D5-4A89-B0B2-E59A5BE8D6D3}"/>
    <cellStyle name="40% - Accent4 2 3 9" xfId="9689" xr:uid="{7136388C-4638-4CEE-AB8A-E727E760E1C9}"/>
    <cellStyle name="40% - Accent4 2 4" xfId="643" xr:uid="{00000000-0005-0000-0000-0000DF050000}"/>
    <cellStyle name="40% - Accent4 2 4 2" xfId="2914" xr:uid="{00000000-0005-0000-0000-0000E0050000}"/>
    <cellStyle name="40% - Accent4 2 4 2 2" xfId="7136" xr:uid="{00000000-0005-0000-0000-0000E1050000}"/>
    <cellStyle name="40% - Accent4 2 4 2 2 2" xfId="24909" xr:uid="{BEBFDBB6-2678-4E2A-9E70-53A987905521}"/>
    <cellStyle name="40% - Accent4 2 4 2 2 2 2" xfId="41803" xr:uid="{E3869927-9E30-4616-B9D5-A9A08CA0D592}"/>
    <cellStyle name="40% - Accent4 2 4 2 2 3" xfId="16462" xr:uid="{BAB22E0E-6E47-4D3F-8C69-C9C649ABA129}"/>
    <cellStyle name="40% - Accent4 2 4 2 2 4" xfId="33356" xr:uid="{2D647A34-18DC-4097-A5C1-DF2633CDB7F2}"/>
    <cellStyle name="40% - Accent4 2 4 2 3" xfId="20692" xr:uid="{8138D180-710B-4E7D-9640-F04055A17FB4}"/>
    <cellStyle name="40% - Accent4 2 4 2 3 2" xfId="37586" xr:uid="{3592BC3F-EDBA-47B7-B407-0B79156F396D}"/>
    <cellStyle name="40% - Accent4 2 4 2 4" xfId="12245" xr:uid="{09DB8EF4-F573-41BA-9EE1-B09113BCD668}"/>
    <cellStyle name="40% - Accent4 2 4 2 5" xfId="29139" xr:uid="{1F652EA5-9300-4C44-B595-2165184A2D2E}"/>
    <cellStyle name="40% - Accent4 2 4 3" xfId="4991" xr:uid="{00000000-0005-0000-0000-0000E2050000}"/>
    <cellStyle name="40% - Accent4 2 4 3 2" xfId="22764" xr:uid="{8DEAB0B1-E94C-4063-9D7D-EBF040DF9DB7}"/>
    <cellStyle name="40% - Accent4 2 4 3 2 2" xfId="39658" xr:uid="{075F8A05-D952-462C-8373-BDFF96479D84}"/>
    <cellStyle name="40% - Accent4 2 4 3 3" xfId="14317" xr:uid="{886B68D4-3C54-4F9C-88A3-8327DA876D90}"/>
    <cellStyle name="40% - Accent4 2 4 3 4" xfId="31211" xr:uid="{6E79CC71-1F95-4061-9CD9-F60244C1C948}"/>
    <cellStyle name="40% - Accent4 2 4 4" xfId="9225" xr:uid="{40EEB981-54C4-40E4-A2F9-BCD479248D23}"/>
    <cellStyle name="40% - Accent4 2 4 4 2" xfId="18547" xr:uid="{C93F8308-7AF2-46D5-A2C3-1ABFCBE787DA}"/>
    <cellStyle name="40% - Accent4 2 4 4 3" xfId="35441" xr:uid="{4A1F926A-040D-4C5B-BCDF-5EF395269896}"/>
    <cellStyle name="40% - Accent4 2 4 5" xfId="10100" xr:uid="{4864F967-C212-4547-8958-94C99F4345AB}"/>
    <cellStyle name="40% - Accent4 2 4 6" xfId="26994" xr:uid="{5F449A9A-C6E4-490A-9CB8-7465CD801C80}"/>
    <cellStyle name="40% - Accent4 2 5" xfId="1096" xr:uid="{00000000-0005-0000-0000-0000E3050000}"/>
    <cellStyle name="40% - Accent4 2 5 2" xfId="3327" xr:uid="{00000000-0005-0000-0000-0000E4050000}"/>
    <cellStyle name="40% - Accent4 2 5 2 2" xfId="7549" xr:uid="{00000000-0005-0000-0000-0000E5050000}"/>
    <cellStyle name="40% - Accent4 2 5 2 2 2" xfId="25322" xr:uid="{BB4491B8-62EB-4F7F-95A0-40E855593862}"/>
    <cellStyle name="40% - Accent4 2 5 2 2 2 2" xfId="42216" xr:uid="{1E3CE7A2-F319-4067-8BFA-E0AD46540A2D}"/>
    <cellStyle name="40% - Accent4 2 5 2 2 3" xfId="16875" xr:uid="{F6F2FF02-61D3-4D7C-A142-E5B55585FA30}"/>
    <cellStyle name="40% - Accent4 2 5 2 2 4" xfId="33769" xr:uid="{9CD803AF-9BC1-48B7-B530-5A995E44E7A6}"/>
    <cellStyle name="40% - Accent4 2 5 2 3" xfId="21105" xr:uid="{815DC581-0278-48EE-9BB4-47B2223419F8}"/>
    <cellStyle name="40% - Accent4 2 5 2 3 2" xfId="37999" xr:uid="{CABACE38-CF96-4C31-B680-BF5CBEFBC6FD}"/>
    <cellStyle name="40% - Accent4 2 5 2 4" xfId="12658" xr:uid="{78133883-674F-4594-9CE7-F1DD6A2EF28B}"/>
    <cellStyle name="40% - Accent4 2 5 2 5" xfId="29552" xr:uid="{F967D467-26FC-43F3-825E-7D3FA6D46D25}"/>
    <cellStyle name="40% - Accent4 2 5 3" xfId="5404" xr:uid="{00000000-0005-0000-0000-0000E6050000}"/>
    <cellStyle name="40% - Accent4 2 5 3 2" xfId="23177" xr:uid="{DBF7B92F-0DED-4B88-9D08-52592A6F63BF}"/>
    <cellStyle name="40% - Accent4 2 5 3 2 2" xfId="40071" xr:uid="{A222D1F6-F403-4C81-8D8E-BD5BCD2A7385}"/>
    <cellStyle name="40% - Accent4 2 5 3 3" xfId="14730" xr:uid="{CD3E4AEC-FC1B-4E59-9393-B91C51B6B3E8}"/>
    <cellStyle name="40% - Accent4 2 5 3 4" xfId="31624" xr:uid="{1831D41B-EBA6-4841-BC75-313B8B92A661}"/>
    <cellStyle name="40% - Accent4 2 5 4" xfId="18960" xr:uid="{4F35FF2E-4F3B-421E-83F9-E93FF525CB41}"/>
    <cellStyle name="40% - Accent4 2 5 4 2" xfId="35854" xr:uid="{D4CC5CDF-6BC9-4FBB-8D00-D9C6DECC2886}"/>
    <cellStyle name="40% - Accent4 2 5 5" xfId="10513" xr:uid="{E327DBFD-DE42-429D-8631-DDEF1B0B37B2}"/>
    <cellStyle name="40% - Accent4 2 5 6" xfId="27407" xr:uid="{FC3649DC-1DB2-442F-8BD6-006D2F018B11}"/>
    <cellStyle name="40% - Accent4 2 6" xfId="1510" xr:uid="{00000000-0005-0000-0000-0000E7050000}"/>
    <cellStyle name="40% - Accent4 2 6 2" xfId="3740" xr:uid="{00000000-0005-0000-0000-0000E8050000}"/>
    <cellStyle name="40% - Accent4 2 6 2 2" xfId="7962" xr:uid="{00000000-0005-0000-0000-0000E9050000}"/>
    <cellStyle name="40% - Accent4 2 6 2 2 2" xfId="25735" xr:uid="{8C7AE5D2-E2DD-486B-B1EA-58C850E196CD}"/>
    <cellStyle name="40% - Accent4 2 6 2 2 2 2" xfId="42629" xr:uid="{2C9041BE-37B0-4EBC-8696-B033350E52BA}"/>
    <cellStyle name="40% - Accent4 2 6 2 2 3" xfId="17288" xr:uid="{5A15F4C8-F737-45F4-A042-2EAF47BC6F19}"/>
    <cellStyle name="40% - Accent4 2 6 2 2 4" xfId="34182" xr:uid="{A058D668-8E2F-405B-87F3-8AE956FAF834}"/>
    <cellStyle name="40% - Accent4 2 6 2 3" xfId="21518" xr:uid="{9B36E563-9595-49F6-A8D7-4545B1B6226E}"/>
    <cellStyle name="40% - Accent4 2 6 2 3 2" xfId="38412" xr:uid="{CF4A3C32-6B9C-4A7B-83F5-02550E08E4C7}"/>
    <cellStyle name="40% - Accent4 2 6 2 4" xfId="13071" xr:uid="{81FD8579-21FE-4B57-92AB-0588B38B8623}"/>
    <cellStyle name="40% - Accent4 2 6 2 5" xfId="29965" xr:uid="{CBF151A2-B595-431A-865F-657E1B85F8DF}"/>
    <cellStyle name="40% - Accent4 2 6 3" xfId="5817" xr:uid="{00000000-0005-0000-0000-0000EA050000}"/>
    <cellStyle name="40% - Accent4 2 6 3 2" xfId="23590" xr:uid="{1650552C-96AF-45F0-9FCC-0ABB181768DE}"/>
    <cellStyle name="40% - Accent4 2 6 3 2 2" xfId="40484" xr:uid="{0E108EA4-3809-44F4-AE9C-87710C356CB3}"/>
    <cellStyle name="40% - Accent4 2 6 3 3" xfId="15143" xr:uid="{7BA59856-F9AF-4A75-ACA0-E44CA99B324D}"/>
    <cellStyle name="40% - Accent4 2 6 3 4" xfId="32037" xr:uid="{1EFAA89F-F645-43D8-BC7B-39C4D2AB0DED}"/>
    <cellStyle name="40% - Accent4 2 6 4" xfId="19373" xr:uid="{46034733-2F52-47F1-A526-7F2ACE8EDADD}"/>
    <cellStyle name="40% - Accent4 2 6 4 2" xfId="36267" xr:uid="{9A774D50-A9C9-420F-AB6B-6579AA04E66F}"/>
    <cellStyle name="40% - Accent4 2 6 5" xfId="10926" xr:uid="{A1094456-88B6-40D8-9319-0E7E8763FDF8}"/>
    <cellStyle name="40% - Accent4 2 6 6" xfId="27820" xr:uid="{283C1DC1-03B5-4712-BA55-6FEC9554175C}"/>
    <cellStyle name="40% - Accent4 2 7" xfId="1924" xr:uid="{00000000-0005-0000-0000-0000EB050000}"/>
    <cellStyle name="40% - Accent4 2 7 2" xfId="4153" xr:uid="{00000000-0005-0000-0000-0000EC050000}"/>
    <cellStyle name="40% - Accent4 2 7 2 2" xfId="8375" xr:uid="{00000000-0005-0000-0000-0000ED050000}"/>
    <cellStyle name="40% - Accent4 2 7 2 2 2" xfId="26148" xr:uid="{5F6F80F2-7312-4B96-A808-EF1991321592}"/>
    <cellStyle name="40% - Accent4 2 7 2 2 2 2" xfId="43042" xr:uid="{9E3A6BA6-5470-4A90-95A1-B9E009DBC93C}"/>
    <cellStyle name="40% - Accent4 2 7 2 2 3" xfId="17701" xr:uid="{E73EE4B4-CDF9-4629-9B3F-D3C0B2488759}"/>
    <cellStyle name="40% - Accent4 2 7 2 2 4" xfId="34595" xr:uid="{6834E615-A7E2-4AC8-A4AB-668634A6F7D8}"/>
    <cellStyle name="40% - Accent4 2 7 2 3" xfId="21931" xr:uid="{57C8EA43-06E8-4177-94C5-330AB1A380CA}"/>
    <cellStyle name="40% - Accent4 2 7 2 3 2" xfId="38825" xr:uid="{79B38453-5D06-4F70-B23F-E265AD93C96E}"/>
    <cellStyle name="40% - Accent4 2 7 2 4" xfId="13484" xr:uid="{B6DDBF47-A03C-48D9-8BFC-0A061FC3EC05}"/>
    <cellStyle name="40% - Accent4 2 7 2 5" xfId="30378" xr:uid="{064A504A-594E-457F-B18D-6F69539EC131}"/>
    <cellStyle name="40% - Accent4 2 7 3" xfId="6230" xr:uid="{00000000-0005-0000-0000-0000EE050000}"/>
    <cellStyle name="40% - Accent4 2 7 3 2" xfId="24003" xr:uid="{4479997B-53DE-4E23-9140-1FFAA98412BE}"/>
    <cellStyle name="40% - Accent4 2 7 3 2 2" xfId="40897" xr:uid="{8F2B9117-921B-4BA0-94B3-13A876FF48F7}"/>
    <cellStyle name="40% - Accent4 2 7 3 3" xfId="15556" xr:uid="{5E1882B3-A8F1-4063-B1AB-60BA4A20AFF2}"/>
    <cellStyle name="40% - Accent4 2 7 3 4" xfId="32450" xr:uid="{B2A02AEC-8194-46F5-9E12-52C7CB32D4BB}"/>
    <cellStyle name="40% - Accent4 2 7 4" xfId="19786" xr:uid="{A792794E-3F24-4B6A-AB37-AD1BEA0E74BB}"/>
    <cellStyle name="40% - Accent4 2 7 4 2" xfId="36680" xr:uid="{8FC6BF4E-B48D-498C-91C4-4790F7E17239}"/>
    <cellStyle name="40% - Accent4 2 7 5" xfId="11339" xr:uid="{0A2B0AFC-C089-4487-BBF6-697B074862CA}"/>
    <cellStyle name="40% - Accent4 2 7 6" xfId="28233" xr:uid="{EA3F5D6F-171E-4B12-A257-E69B118759DD}"/>
    <cellStyle name="40% - Accent4 2 8" xfId="2337" xr:uid="{00000000-0005-0000-0000-0000EF050000}"/>
    <cellStyle name="40% - Accent4 2 8 2" xfId="6643" xr:uid="{00000000-0005-0000-0000-0000F0050000}"/>
    <cellStyle name="40% - Accent4 2 8 2 2" xfId="24416" xr:uid="{B042F5FD-60C8-4B8C-820D-4D80128552BC}"/>
    <cellStyle name="40% - Accent4 2 8 2 2 2" xfId="41310" xr:uid="{38E61A73-2421-4A7E-8018-92EA2FB50583}"/>
    <cellStyle name="40% - Accent4 2 8 2 3" xfId="15969" xr:uid="{901E1B0E-2B21-4B7E-BD15-4373284C7AA6}"/>
    <cellStyle name="40% - Accent4 2 8 2 4" xfId="32863" xr:uid="{2092A8FB-7153-4434-8304-19EB59531B65}"/>
    <cellStyle name="40% - Accent4 2 8 3" xfId="20199" xr:uid="{0CB1ACB7-1802-41F0-87E1-1A85700849D7}"/>
    <cellStyle name="40% - Accent4 2 8 3 2" xfId="37093" xr:uid="{C0CB8F86-CB42-4FA4-81D5-8AF6018921F5}"/>
    <cellStyle name="40% - Accent4 2 8 4" xfId="11752" xr:uid="{E9C0B569-5D9B-49CB-95E2-0A81D92F9406}"/>
    <cellStyle name="40% - Accent4 2 8 5" xfId="28646" xr:uid="{9FB5DA8B-F122-4F25-8781-D50EDED40AA3}"/>
    <cellStyle name="40% - Accent4 2 9" xfId="4577" xr:uid="{00000000-0005-0000-0000-0000F1050000}"/>
    <cellStyle name="40% - Accent4 2 9 2" xfId="22350" xr:uid="{42D327DA-BE19-452E-95B5-39EFF6B7DFEB}"/>
    <cellStyle name="40% - Accent4 2 9 2 2" xfId="39244" xr:uid="{0DA9F5E7-624E-4F3D-B4BE-2AAE9F673D1B}"/>
    <cellStyle name="40% - Accent4 2 9 3" xfId="13903" xr:uid="{E684AF48-9DE7-4637-85AC-78BC5740588B}"/>
    <cellStyle name="40% - Accent4 2 9 4" xfId="30797" xr:uid="{DF0C70D5-5EC0-4C4D-BA83-C23A7FB9B6EC}"/>
    <cellStyle name="40% - Accent4 3" xfId="78" xr:uid="{00000000-0005-0000-0000-0000F2050000}"/>
    <cellStyle name="40% - Accent4 3 10" xfId="9690" xr:uid="{57118FDD-9B87-4947-B343-D3F30ADB28D4}"/>
    <cellStyle name="40% - Accent4 3 11" xfId="26584" xr:uid="{DB207D01-4FAE-4F5C-BDD8-30FE518356E5}"/>
    <cellStyle name="40% - Accent4 3 2" xfId="79" xr:uid="{00000000-0005-0000-0000-0000F3050000}"/>
    <cellStyle name="40% - Accent4 3 2 10" xfId="26585" xr:uid="{E44D0903-8700-4CA1-B4DE-50544D1B8A78}"/>
    <cellStyle name="40% - Accent4 3 2 2" xfId="648" xr:uid="{00000000-0005-0000-0000-0000F4050000}"/>
    <cellStyle name="40% - Accent4 3 2 2 2" xfId="2919" xr:uid="{00000000-0005-0000-0000-0000F5050000}"/>
    <cellStyle name="40% - Accent4 3 2 2 2 2" xfId="7141" xr:uid="{00000000-0005-0000-0000-0000F6050000}"/>
    <cellStyle name="40% - Accent4 3 2 2 2 2 2" xfId="24914" xr:uid="{4ED8E0E4-E094-470A-9111-E432D818C313}"/>
    <cellStyle name="40% - Accent4 3 2 2 2 2 2 2" xfId="41808" xr:uid="{729D6BDC-9801-4ABD-9AEF-6E496FE2F67D}"/>
    <cellStyle name="40% - Accent4 3 2 2 2 2 3" xfId="16467" xr:uid="{8B5EE71A-9CD7-4AEF-B1B1-683FC47A3E94}"/>
    <cellStyle name="40% - Accent4 3 2 2 2 2 4" xfId="33361" xr:uid="{60AF245C-0FC4-415E-ABA1-8E2D907D9E80}"/>
    <cellStyle name="40% - Accent4 3 2 2 2 3" xfId="20697" xr:uid="{A5C11A4D-D177-4720-BA58-31238FA05DE3}"/>
    <cellStyle name="40% - Accent4 3 2 2 2 3 2" xfId="37591" xr:uid="{1D3F59CC-5E27-47C8-BCF2-C0B50BF8856F}"/>
    <cellStyle name="40% - Accent4 3 2 2 2 4" xfId="12250" xr:uid="{3D0DE3A9-5952-4AB4-82C0-3E974A27F088}"/>
    <cellStyle name="40% - Accent4 3 2 2 2 5" xfId="29144" xr:uid="{D0533432-936E-47BE-8494-7EA6682F37B4}"/>
    <cellStyle name="40% - Accent4 3 2 2 3" xfId="4996" xr:uid="{00000000-0005-0000-0000-0000F7050000}"/>
    <cellStyle name="40% - Accent4 3 2 2 3 2" xfId="22769" xr:uid="{D864C205-CBF0-46A6-BA04-A4247AC44ED8}"/>
    <cellStyle name="40% - Accent4 3 2 2 3 2 2" xfId="39663" xr:uid="{1E8B1393-0DCE-48F6-8CC6-E5E639CF4B09}"/>
    <cellStyle name="40% - Accent4 3 2 2 3 3" xfId="14322" xr:uid="{0FC79A22-E8D5-42F0-AC0A-359615978CD1}"/>
    <cellStyle name="40% - Accent4 3 2 2 3 4" xfId="31216" xr:uid="{FA9CC903-2041-4E50-B302-B6679B2CB98C}"/>
    <cellStyle name="40% - Accent4 3 2 2 4" xfId="9500" xr:uid="{EAAAC99F-A3A1-40FB-B78D-6862EF121B7A}"/>
    <cellStyle name="40% - Accent4 3 2 2 4 2" xfId="18552" xr:uid="{F1D1F068-74DE-42C8-8ADC-28D835502798}"/>
    <cellStyle name="40% - Accent4 3 2 2 4 3" xfId="35446" xr:uid="{87C44177-2E5E-4ED7-8A36-31445B0A35C6}"/>
    <cellStyle name="40% - Accent4 3 2 2 5" xfId="10105" xr:uid="{B260CEAF-1CEB-48B5-85C3-1EC2CC90C3B1}"/>
    <cellStyle name="40% - Accent4 3 2 2 6" xfId="26999" xr:uid="{BB90AAB2-E5D1-4F34-9F0B-878B242C96AF}"/>
    <cellStyle name="40% - Accent4 3 2 3" xfId="1101" xr:uid="{00000000-0005-0000-0000-0000F8050000}"/>
    <cellStyle name="40% - Accent4 3 2 3 2" xfId="3332" xr:uid="{00000000-0005-0000-0000-0000F9050000}"/>
    <cellStyle name="40% - Accent4 3 2 3 2 2" xfId="7554" xr:uid="{00000000-0005-0000-0000-0000FA050000}"/>
    <cellStyle name="40% - Accent4 3 2 3 2 2 2" xfId="25327" xr:uid="{FFB5B128-B0B5-43B2-A548-308575A15899}"/>
    <cellStyle name="40% - Accent4 3 2 3 2 2 2 2" xfId="42221" xr:uid="{BB787353-EEEE-4DE6-8A35-275A1790D0E4}"/>
    <cellStyle name="40% - Accent4 3 2 3 2 2 3" xfId="16880" xr:uid="{722448E5-5178-4725-A4B7-42CEE51E95D9}"/>
    <cellStyle name="40% - Accent4 3 2 3 2 2 4" xfId="33774" xr:uid="{5BB1912A-FD5E-4315-8864-57B95D2935B6}"/>
    <cellStyle name="40% - Accent4 3 2 3 2 3" xfId="21110" xr:uid="{8F22AC25-DB43-45FE-A29F-4BD543E782E2}"/>
    <cellStyle name="40% - Accent4 3 2 3 2 3 2" xfId="38004" xr:uid="{A6703919-D2B3-4BAA-88D2-DAE4DFDEC8BC}"/>
    <cellStyle name="40% - Accent4 3 2 3 2 4" xfId="12663" xr:uid="{27E5ED20-5657-4DD1-AD12-A6B04FF75E76}"/>
    <cellStyle name="40% - Accent4 3 2 3 2 5" xfId="29557" xr:uid="{CF0B17AE-3944-4FF9-8285-6ED770ECF456}"/>
    <cellStyle name="40% - Accent4 3 2 3 3" xfId="5409" xr:uid="{00000000-0005-0000-0000-0000FB050000}"/>
    <cellStyle name="40% - Accent4 3 2 3 3 2" xfId="23182" xr:uid="{9BFE7CEF-1631-4644-9A21-81F6826E9A59}"/>
    <cellStyle name="40% - Accent4 3 2 3 3 2 2" xfId="40076" xr:uid="{BD038A80-E917-42B2-BB21-15EC816B644B}"/>
    <cellStyle name="40% - Accent4 3 2 3 3 3" xfId="14735" xr:uid="{D266EB15-BBF6-420D-B4FE-A064AF2DDB40}"/>
    <cellStyle name="40% - Accent4 3 2 3 3 4" xfId="31629" xr:uid="{E4EFF952-59EF-4841-B20C-FCA5177BA43E}"/>
    <cellStyle name="40% - Accent4 3 2 3 4" xfId="18965" xr:uid="{35E6A16C-9786-4685-AD75-F9662DACD19C}"/>
    <cellStyle name="40% - Accent4 3 2 3 4 2" xfId="35859" xr:uid="{AC3ACBA1-D8F3-409A-B387-4FE3A885A91D}"/>
    <cellStyle name="40% - Accent4 3 2 3 5" xfId="10518" xr:uid="{499542B7-152D-4A92-AD3E-34FDA8A9ADA1}"/>
    <cellStyle name="40% - Accent4 3 2 3 6" xfId="27412" xr:uid="{DC2A76B4-77F8-40F1-938B-A1423E597815}"/>
    <cellStyle name="40% - Accent4 3 2 4" xfId="1515" xr:uid="{00000000-0005-0000-0000-0000FC050000}"/>
    <cellStyle name="40% - Accent4 3 2 4 2" xfId="3745" xr:uid="{00000000-0005-0000-0000-0000FD050000}"/>
    <cellStyle name="40% - Accent4 3 2 4 2 2" xfId="7967" xr:uid="{00000000-0005-0000-0000-0000FE050000}"/>
    <cellStyle name="40% - Accent4 3 2 4 2 2 2" xfId="25740" xr:uid="{F71EB9C5-0745-4D14-AAD5-AEE09BA119B8}"/>
    <cellStyle name="40% - Accent4 3 2 4 2 2 2 2" xfId="42634" xr:uid="{DCA31AF4-487B-4722-B3D7-287931D3AA9E}"/>
    <cellStyle name="40% - Accent4 3 2 4 2 2 3" xfId="17293" xr:uid="{7F2F4488-A89D-457C-B049-3C44FA4096F0}"/>
    <cellStyle name="40% - Accent4 3 2 4 2 2 4" xfId="34187" xr:uid="{FC627769-43B4-4F94-A6C9-711CBC4DEE59}"/>
    <cellStyle name="40% - Accent4 3 2 4 2 3" xfId="21523" xr:uid="{A78272A6-C645-46FE-A529-819E8F72C0E4}"/>
    <cellStyle name="40% - Accent4 3 2 4 2 3 2" xfId="38417" xr:uid="{66A90F7A-04B5-4E9B-99C0-B3858B27E657}"/>
    <cellStyle name="40% - Accent4 3 2 4 2 4" xfId="13076" xr:uid="{84DED69F-C282-43E7-81D4-E51D3A28C818}"/>
    <cellStyle name="40% - Accent4 3 2 4 2 5" xfId="29970" xr:uid="{8CEECCBE-9E63-4948-8977-8A91F53BCE1E}"/>
    <cellStyle name="40% - Accent4 3 2 4 3" xfId="5822" xr:uid="{00000000-0005-0000-0000-0000FF050000}"/>
    <cellStyle name="40% - Accent4 3 2 4 3 2" xfId="23595" xr:uid="{1141991C-5161-4485-9231-AB4CFF62922A}"/>
    <cellStyle name="40% - Accent4 3 2 4 3 2 2" xfId="40489" xr:uid="{20E55838-4B67-4BEF-9348-2967BA73B006}"/>
    <cellStyle name="40% - Accent4 3 2 4 3 3" xfId="15148" xr:uid="{F7255713-C656-453A-BC12-6032E0D53F2F}"/>
    <cellStyle name="40% - Accent4 3 2 4 3 4" xfId="32042" xr:uid="{355FA759-8F38-440E-AA2B-FB750E4D65D8}"/>
    <cellStyle name="40% - Accent4 3 2 4 4" xfId="19378" xr:uid="{D523512C-DD76-44B3-9E98-E2C5E51E3134}"/>
    <cellStyle name="40% - Accent4 3 2 4 4 2" xfId="36272" xr:uid="{10342BC2-39B9-4AC0-B0AF-C10FB59BEFF8}"/>
    <cellStyle name="40% - Accent4 3 2 4 5" xfId="10931" xr:uid="{7BDBD7F0-5EF9-46C5-A3C1-A225695E6050}"/>
    <cellStyle name="40% - Accent4 3 2 4 6" xfId="27825" xr:uid="{3B5DA7EA-F920-4B29-80A0-5F8F6B9742BE}"/>
    <cellStyle name="40% - Accent4 3 2 5" xfId="1929" xr:uid="{00000000-0005-0000-0000-000000060000}"/>
    <cellStyle name="40% - Accent4 3 2 5 2" xfId="4158" xr:uid="{00000000-0005-0000-0000-000001060000}"/>
    <cellStyle name="40% - Accent4 3 2 5 2 2" xfId="8380" xr:uid="{00000000-0005-0000-0000-000002060000}"/>
    <cellStyle name="40% - Accent4 3 2 5 2 2 2" xfId="26153" xr:uid="{D188DBEC-7380-49F3-87BC-153588790483}"/>
    <cellStyle name="40% - Accent4 3 2 5 2 2 2 2" xfId="43047" xr:uid="{B6EB7F79-8944-4ED6-854C-ED7AF9161BD0}"/>
    <cellStyle name="40% - Accent4 3 2 5 2 2 3" xfId="17706" xr:uid="{57407754-11CF-45C2-AC7E-C7B0BB652C4B}"/>
    <cellStyle name="40% - Accent4 3 2 5 2 2 4" xfId="34600" xr:uid="{2D17A565-72BC-4142-BA73-A2AC52E65D48}"/>
    <cellStyle name="40% - Accent4 3 2 5 2 3" xfId="21936" xr:uid="{8DC5B1BA-3C77-4E77-AC57-181AFFA8687F}"/>
    <cellStyle name="40% - Accent4 3 2 5 2 3 2" xfId="38830" xr:uid="{702126E1-E233-42E1-85F2-740AC5F15F71}"/>
    <cellStyle name="40% - Accent4 3 2 5 2 4" xfId="13489" xr:uid="{E9F22A33-684E-459B-8AD0-429CE7FB542A}"/>
    <cellStyle name="40% - Accent4 3 2 5 2 5" xfId="30383" xr:uid="{57FF9602-12B3-421E-A1DA-2FA5518AEB95}"/>
    <cellStyle name="40% - Accent4 3 2 5 3" xfId="6235" xr:uid="{00000000-0005-0000-0000-000003060000}"/>
    <cellStyle name="40% - Accent4 3 2 5 3 2" xfId="24008" xr:uid="{FB8CF551-610E-4C03-827C-4104C2FDE2AF}"/>
    <cellStyle name="40% - Accent4 3 2 5 3 2 2" xfId="40902" xr:uid="{051B573B-85F7-4175-8558-6F250CA905B6}"/>
    <cellStyle name="40% - Accent4 3 2 5 3 3" xfId="15561" xr:uid="{75200292-0202-4EE0-ADFE-60C44BDE029E}"/>
    <cellStyle name="40% - Accent4 3 2 5 3 4" xfId="32455" xr:uid="{D2BC855E-1248-43E0-B209-AB624B5BA888}"/>
    <cellStyle name="40% - Accent4 3 2 5 4" xfId="19791" xr:uid="{259F7601-B880-45E9-98E7-503981626A11}"/>
    <cellStyle name="40% - Accent4 3 2 5 4 2" xfId="36685" xr:uid="{CA492D30-EA8C-4857-8593-85ADD804A8D9}"/>
    <cellStyle name="40% - Accent4 3 2 5 5" xfId="11344" xr:uid="{9FFC8D3F-8C1F-459B-981A-EAF2175E36FA}"/>
    <cellStyle name="40% - Accent4 3 2 5 6" xfId="28238" xr:uid="{4EABAEF3-285E-4E04-931A-182850259553}"/>
    <cellStyle name="40% - Accent4 3 2 6" xfId="2342" xr:uid="{00000000-0005-0000-0000-000004060000}"/>
    <cellStyle name="40% - Accent4 3 2 6 2" xfId="6648" xr:uid="{00000000-0005-0000-0000-000005060000}"/>
    <cellStyle name="40% - Accent4 3 2 6 2 2" xfId="24421" xr:uid="{626E5592-8BC0-4FD1-8D39-A578145F3B5C}"/>
    <cellStyle name="40% - Accent4 3 2 6 2 2 2" xfId="41315" xr:uid="{8255C52D-8ECF-4DEB-B2EF-CC7B7FF3E711}"/>
    <cellStyle name="40% - Accent4 3 2 6 2 3" xfId="15974" xr:uid="{18FF10DA-BBC7-4B2B-8745-9C1223AED094}"/>
    <cellStyle name="40% - Accent4 3 2 6 2 4" xfId="32868" xr:uid="{CB36BC17-B634-4641-B7D9-D69AD6C52BBE}"/>
    <cellStyle name="40% - Accent4 3 2 6 3" xfId="20204" xr:uid="{EF5E1FE2-1FB4-4941-9671-7FD804DE80CB}"/>
    <cellStyle name="40% - Accent4 3 2 6 3 2" xfId="37098" xr:uid="{1E5F072C-3054-4171-985E-3828EFBF11E6}"/>
    <cellStyle name="40% - Accent4 3 2 6 4" xfId="11757" xr:uid="{B04D3178-43A6-44B5-A317-7FE71ECC1A13}"/>
    <cellStyle name="40% - Accent4 3 2 6 5" xfId="28651" xr:uid="{10A40490-2316-46B4-B9DC-413BB40E0F03}"/>
    <cellStyle name="40% - Accent4 3 2 7" xfId="4582" xr:uid="{00000000-0005-0000-0000-000006060000}"/>
    <cellStyle name="40% - Accent4 3 2 7 2" xfId="22355" xr:uid="{3F5F56E7-C1FE-478D-B5BB-0140A6B21E9A}"/>
    <cellStyle name="40% - Accent4 3 2 7 2 2" xfId="39249" xr:uid="{5739D928-85C4-45DE-9A2D-2BB64C8715E3}"/>
    <cellStyle name="40% - Accent4 3 2 7 3" xfId="13908" xr:uid="{75EE85DD-9018-4AE6-8374-1F5D08DDC6F4}"/>
    <cellStyle name="40% - Accent4 3 2 7 4" xfId="30802" xr:uid="{B3257339-59B7-4A76-9B5F-96A3540CA500}"/>
    <cellStyle name="40% - Accent4 3 2 8" xfId="9075" xr:uid="{6C51FF47-5618-4E1E-BC97-01FFF287A6C3}"/>
    <cellStyle name="40% - Accent4 3 2 8 2" xfId="18138" xr:uid="{CB682EBD-8B86-437E-A6F3-9FC13B0EEF89}"/>
    <cellStyle name="40% - Accent4 3 2 8 3" xfId="35032" xr:uid="{F9EE3497-868A-4092-8020-A7747C78DAB9}"/>
    <cellStyle name="40% - Accent4 3 2 9" xfId="9691" xr:uid="{517F22AE-5FD8-4730-8B9E-738B0148B159}"/>
    <cellStyle name="40% - Accent4 3 3" xfId="647" xr:uid="{00000000-0005-0000-0000-000007060000}"/>
    <cellStyle name="40% - Accent4 3 3 2" xfId="2918" xr:uid="{00000000-0005-0000-0000-000008060000}"/>
    <cellStyle name="40% - Accent4 3 3 2 2" xfId="7140" xr:uid="{00000000-0005-0000-0000-000009060000}"/>
    <cellStyle name="40% - Accent4 3 3 2 2 2" xfId="24913" xr:uid="{6E72ED96-7CD4-438A-951F-941F9E53DC5D}"/>
    <cellStyle name="40% - Accent4 3 3 2 2 2 2" xfId="41807" xr:uid="{F53F3B82-5E5A-4FDF-B4BF-B0FD7E475EA5}"/>
    <cellStyle name="40% - Accent4 3 3 2 2 3" xfId="16466" xr:uid="{5E4BE178-891B-49B4-A7F3-6A197BDA550E}"/>
    <cellStyle name="40% - Accent4 3 3 2 2 4" xfId="33360" xr:uid="{042D74EE-E593-40D6-841E-6C163DC09AE1}"/>
    <cellStyle name="40% - Accent4 3 3 2 3" xfId="20696" xr:uid="{A5E137B2-2A58-4E04-9F33-E465548F1E24}"/>
    <cellStyle name="40% - Accent4 3 3 2 3 2" xfId="37590" xr:uid="{FAC8733E-7439-4D9A-AE1F-10440D35E95F}"/>
    <cellStyle name="40% - Accent4 3 3 2 4" xfId="12249" xr:uid="{7BDAE338-43EB-4EB8-9352-335F750B93DF}"/>
    <cellStyle name="40% - Accent4 3 3 2 5" xfId="29143" xr:uid="{0F7005BA-5882-4E3C-B4CF-2F792FA3C2BF}"/>
    <cellStyle name="40% - Accent4 3 3 3" xfId="4995" xr:uid="{00000000-0005-0000-0000-00000A060000}"/>
    <cellStyle name="40% - Accent4 3 3 3 2" xfId="22768" xr:uid="{DCCFC777-6B13-49D0-A634-0970DBD3E9D0}"/>
    <cellStyle name="40% - Accent4 3 3 3 2 2" xfId="39662" xr:uid="{B5AD94FD-58DA-420D-AF77-C42974C78463}"/>
    <cellStyle name="40% - Accent4 3 3 3 3" xfId="14321" xr:uid="{C7AE5C49-EC2B-4DF8-9F21-F7D37396C2B8}"/>
    <cellStyle name="40% - Accent4 3 3 3 4" xfId="31215" xr:uid="{CBD74057-AE08-4998-B25C-F493D9178450}"/>
    <cellStyle name="40% - Accent4 3 3 4" xfId="9293" xr:uid="{4A28D7F5-3617-45DC-A350-6C6596CDA765}"/>
    <cellStyle name="40% - Accent4 3 3 4 2" xfId="18551" xr:uid="{482B330A-AA5E-488F-911E-C220EA905B54}"/>
    <cellStyle name="40% - Accent4 3 3 4 3" xfId="35445" xr:uid="{E4FBCE2E-DDCD-4C43-9663-98DD341AEC9E}"/>
    <cellStyle name="40% - Accent4 3 3 5" xfId="10104" xr:uid="{75EB4E23-3E73-4A12-B9F0-88AF88FFE6C7}"/>
    <cellStyle name="40% - Accent4 3 3 6" xfId="26998" xr:uid="{C08C5A71-D74D-458F-8DC1-504C63D15D06}"/>
    <cellStyle name="40% - Accent4 3 4" xfId="1100" xr:uid="{00000000-0005-0000-0000-00000B060000}"/>
    <cellStyle name="40% - Accent4 3 4 2" xfId="3331" xr:uid="{00000000-0005-0000-0000-00000C060000}"/>
    <cellStyle name="40% - Accent4 3 4 2 2" xfId="7553" xr:uid="{00000000-0005-0000-0000-00000D060000}"/>
    <cellStyle name="40% - Accent4 3 4 2 2 2" xfId="25326" xr:uid="{E999827A-680C-4DDE-A64F-288E28AB07EB}"/>
    <cellStyle name="40% - Accent4 3 4 2 2 2 2" xfId="42220" xr:uid="{42F176CE-64AB-4DF6-8206-04C767828710}"/>
    <cellStyle name="40% - Accent4 3 4 2 2 3" xfId="16879" xr:uid="{6C94A401-236E-44CD-B85A-58F565E6FD9A}"/>
    <cellStyle name="40% - Accent4 3 4 2 2 4" xfId="33773" xr:uid="{427167EA-7B4B-4568-AA74-1BB7057E56E4}"/>
    <cellStyle name="40% - Accent4 3 4 2 3" xfId="21109" xr:uid="{6719CAAD-2C1C-43E6-B477-7927E21629FB}"/>
    <cellStyle name="40% - Accent4 3 4 2 3 2" xfId="38003" xr:uid="{CF9467A8-B4E5-47C9-BF25-47CCF6E4B9C2}"/>
    <cellStyle name="40% - Accent4 3 4 2 4" xfId="12662" xr:uid="{062DC92B-4A78-49AA-88E9-DED05C43063C}"/>
    <cellStyle name="40% - Accent4 3 4 2 5" xfId="29556" xr:uid="{30813AF5-B472-4F21-B584-BBBA03CDFF63}"/>
    <cellStyle name="40% - Accent4 3 4 3" xfId="5408" xr:uid="{00000000-0005-0000-0000-00000E060000}"/>
    <cellStyle name="40% - Accent4 3 4 3 2" xfId="23181" xr:uid="{948F4D5B-1494-4BEB-A54B-3D91966FEE96}"/>
    <cellStyle name="40% - Accent4 3 4 3 2 2" xfId="40075" xr:uid="{AC053E88-C813-47BE-8F31-C86D866B274E}"/>
    <cellStyle name="40% - Accent4 3 4 3 3" xfId="14734" xr:uid="{52219EE8-E5D7-42A1-ABD5-D4EB5D7D5FC9}"/>
    <cellStyle name="40% - Accent4 3 4 3 4" xfId="31628" xr:uid="{745470A1-331A-4952-9086-888D6458124D}"/>
    <cellStyle name="40% - Accent4 3 4 4" xfId="18964" xr:uid="{C7994CB2-D519-4E76-AEF9-A9BB9CB7E5BE}"/>
    <cellStyle name="40% - Accent4 3 4 4 2" xfId="35858" xr:uid="{2F0D709B-0568-45DF-9057-031D5423E399}"/>
    <cellStyle name="40% - Accent4 3 4 5" xfId="10517" xr:uid="{CF7FD404-B884-4959-8779-6D4F501B68FC}"/>
    <cellStyle name="40% - Accent4 3 4 6" xfId="27411" xr:uid="{BD3F85F8-86F5-4F6D-8267-B66EB65941DC}"/>
    <cellStyle name="40% - Accent4 3 5" xfId="1514" xr:uid="{00000000-0005-0000-0000-00000F060000}"/>
    <cellStyle name="40% - Accent4 3 5 2" xfId="3744" xr:uid="{00000000-0005-0000-0000-000010060000}"/>
    <cellStyle name="40% - Accent4 3 5 2 2" xfId="7966" xr:uid="{00000000-0005-0000-0000-000011060000}"/>
    <cellStyle name="40% - Accent4 3 5 2 2 2" xfId="25739" xr:uid="{C85BD6F5-8EDD-4B72-8E0E-A51FD7FD5441}"/>
    <cellStyle name="40% - Accent4 3 5 2 2 2 2" xfId="42633" xr:uid="{4B0A33EC-E0E0-45F8-94C7-923A5F878AAC}"/>
    <cellStyle name="40% - Accent4 3 5 2 2 3" xfId="17292" xr:uid="{F4374F8B-B33B-4EBF-948C-952C44626ED3}"/>
    <cellStyle name="40% - Accent4 3 5 2 2 4" xfId="34186" xr:uid="{931A1196-5618-4039-B6EA-D709A9E6159D}"/>
    <cellStyle name="40% - Accent4 3 5 2 3" xfId="21522" xr:uid="{93501B09-D672-4918-9404-28D6CE987BA6}"/>
    <cellStyle name="40% - Accent4 3 5 2 3 2" xfId="38416" xr:uid="{09441A6A-FAF3-43F5-8574-79C66710730D}"/>
    <cellStyle name="40% - Accent4 3 5 2 4" xfId="13075" xr:uid="{3BCE43E3-4DBF-46F6-A6D1-D787F1C37D54}"/>
    <cellStyle name="40% - Accent4 3 5 2 5" xfId="29969" xr:uid="{B8BFA104-1DD6-47FA-B7A8-43D09F11AF27}"/>
    <cellStyle name="40% - Accent4 3 5 3" xfId="5821" xr:uid="{00000000-0005-0000-0000-000012060000}"/>
    <cellStyle name="40% - Accent4 3 5 3 2" xfId="23594" xr:uid="{22EB9A30-934B-458A-A853-85A74495B8EB}"/>
    <cellStyle name="40% - Accent4 3 5 3 2 2" xfId="40488" xr:uid="{01624BB7-FE9E-4578-9C7E-4101663A516E}"/>
    <cellStyle name="40% - Accent4 3 5 3 3" xfId="15147" xr:uid="{C3ECB692-B5A0-49BE-B2CE-E66934BD69E2}"/>
    <cellStyle name="40% - Accent4 3 5 3 4" xfId="32041" xr:uid="{78649C41-A04F-4C1E-82A7-BC4C1DF3AE9D}"/>
    <cellStyle name="40% - Accent4 3 5 4" xfId="19377" xr:uid="{E9F7C0F3-2F4B-4034-A4F0-7DE02465E065}"/>
    <cellStyle name="40% - Accent4 3 5 4 2" xfId="36271" xr:uid="{7628D051-3119-47F6-8BC7-8FCEC61CB7AD}"/>
    <cellStyle name="40% - Accent4 3 5 5" xfId="10930" xr:uid="{2C5B2206-28A0-4EA6-BD9C-A1056A5D5C40}"/>
    <cellStyle name="40% - Accent4 3 5 6" xfId="27824" xr:uid="{A97E255C-1B95-4730-BAF1-33EDF51E9502}"/>
    <cellStyle name="40% - Accent4 3 6" xfId="1928" xr:uid="{00000000-0005-0000-0000-000013060000}"/>
    <cellStyle name="40% - Accent4 3 6 2" xfId="4157" xr:uid="{00000000-0005-0000-0000-000014060000}"/>
    <cellStyle name="40% - Accent4 3 6 2 2" xfId="8379" xr:uid="{00000000-0005-0000-0000-000015060000}"/>
    <cellStyle name="40% - Accent4 3 6 2 2 2" xfId="26152" xr:uid="{1484B3B0-2F39-4AFE-81AE-DDA6FE49564E}"/>
    <cellStyle name="40% - Accent4 3 6 2 2 2 2" xfId="43046" xr:uid="{CAC5743B-C71F-4BD3-9ACC-5C5F113AF25A}"/>
    <cellStyle name="40% - Accent4 3 6 2 2 3" xfId="17705" xr:uid="{0A7FA1E9-8FA6-4861-9FB2-1D20C9736572}"/>
    <cellStyle name="40% - Accent4 3 6 2 2 4" xfId="34599" xr:uid="{D4105EA6-903B-4E12-80CE-70CFD06AA905}"/>
    <cellStyle name="40% - Accent4 3 6 2 3" xfId="21935" xr:uid="{B379DB15-1B7E-4EE0-9E73-27ACB0EA32B0}"/>
    <cellStyle name="40% - Accent4 3 6 2 3 2" xfId="38829" xr:uid="{97491942-CB0D-4328-B5D6-9F5EB051EF6D}"/>
    <cellStyle name="40% - Accent4 3 6 2 4" xfId="13488" xr:uid="{99487551-7FD2-4056-BBDF-6A3407EC91E9}"/>
    <cellStyle name="40% - Accent4 3 6 2 5" xfId="30382" xr:uid="{150F5149-EE04-41F3-A98D-4345A6270F34}"/>
    <cellStyle name="40% - Accent4 3 6 3" xfId="6234" xr:uid="{00000000-0005-0000-0000-000016060000}"/>
    <cellStyle name="40% - Accent4 3 6 3 2" xfId="24007" xr:uid="{A5FA3A7A-B86E-438E-ABF8-625DD9A56378}"/>
    <cellStyle name="40% - Accent4 3 6 3 2 2" xfId="40901" xr:uid="{29E6B2BE-C987-4813-9167-6BE0851F5C21}"/>
    <cellStyle name="40% - Accent4 3 6 3 3" xfId="15560" xr:uid="{1ABF0190-B532-4378-8D87-99BEBFFCDBBC}"/>
    <cellStyle name="40% - Accent4 3 6 3 4" xfId="32454" xr:uid="{AD4EBFB9-AEA9-46F9-BA19-1E1E9770A65C}"/>
    <cellStyle name="40% - Accent4 3 6 4" xfId="19790" xr:uid="{E539F590-B8EB-4D9A-9CC4-59CA271AF252}"/>
    <cellStyle name="40% - Accent4 3 6 4 2" xfId="36684" xr:uid="{2A991446-C663-44FA-B408-F38C1500CF0E}"/>
    <cellStyle name="40% - Accent4 3 6 5" xfId="11343" xr:uid="{CA47E713-5C72-4227-8AAD-7D530F086ECF}"/>
    <cellStyle name="40% - Accent4 3 6 6" xfId="28237" xr:uid="{47DBAAB1-56B3-4303-9AA1-1AB3B1ECBA55}"/>
    <cellStyle name="40% - Accent4 3 7" xfId="2341" xr:uid="{00000000-0005-0000-0000-000017060000}"/>
    <cellStyle name="40% - Accent4 3 7 2" xfId="6647" xr:uid="{00000000-0005-0000-0000-000018060000}"/>
    <cellStyle name="40% - Accent4 3 7 2 2" xfId="24420" xr:uid="{10D33312-798F-4840-A6B0-271816548D28}"/>
    <cellStyle name="40% - Accent4 3 7 2 2 2" xfId="41314" xr:uid="{54C3C89F-8083-4D45-956E-AC432FC1FA8B}"/>
    <cellStyle name="40% - Accent4 3 7 2 3" xfId="15973" xr:uid="{BB23357E-2676-458B-9B4D-E903B0368D50}"/>
    <cellStyle name="40% - Accent4 3 7 2 4" xfId="32867" xr:uid="{A055EB65-677E-43AA-811F-CA75A218570F}"/>
    <cellStyle name="40% - Accent4 3 7 3" xfId="20203" xr:uid="{BDE6F02A-8A7A-4935-A86F-F832AB89F7DF}"/>
    <cellStyle name="40% - Accent4 3 7 3 2" xfId="37097" xr:uid="{25EB422C-E936-40A0-A5EA-59EB5AEEE14A}"/>
    <cellStyle name="40% - Accent4 3 7 4" xfId="11756" xr:uid="{D0681B6C-AA71-4001-9F49-DC121B51E729}"/>
    <cellStyle name="40% - Accent4 3 7 5" xfId="28650" xr:uid="{4C62AA6E-9B19-4ACF-A103-9AD8FE1F177C}"/>
    <cellStyle name="40% - Accent4 3 8" xfId="4581" xr:uid="{00000000-0005-0000-0000-000019060000}"/>
    <cellStyle name="40% - Accent4 3 8 2" xfId="22354" xr:uid="{A7A69143-A21F-4454-9FBB-1DB366288DC4}"/>
    <cellStyle name="40% - Accent4 3 8 2 2" xfId="39248" xr:uid="{7CF47A39-34A6-4DA5-9C60-B11DB5E4E610}"/>
    <cellStyle name="40% - Accent4 3 8 3" xfId="13907" xr:uid="{B01A4F71-7ABE-4C0B-8119-909A33BD7013}"/>
    <cellStyle name="40% - Accent4 3 8 4" xfId="30801" xr:uid="{2DAD69D7-36E9-478D-8F96-BD23340944D1}"/>
    <cellStyle name="40% - Accent4 3 9" xfId="8868" xr:uid="{538D9F50-ACCA-4DB0-A3F1-A129ACFFA0BF}"/>
    <cellStyle name="40% - Accent4 3 9 2" xfId="18137" xr:uid="{EF9C8CB3-5F02-4B46-A2B4-9F294B55A6AA}"/>
    <cellStyle name="40% - Accent4 3 9 3" xfId="35031" xr:uid="{D31A5FCC-AC9D-48EF-B066-2953D8C821F4}"/>
    <cellStyle name="40% - Accent4 4" xfId="80" xr:uid="{00000000-0005-0000-0000-00001A060000}"/>
    <cellStyle name="40% - Accent4 4 10" xfId="26586" xr:uid="{D1C8915A-49FE-4BE2-9ACF-142998CF130E}"/>
    <cellStyle name="40% - Accent4 4 2" xfId="649" xr:uid="{00000000-0005-0000-0000-00001B060000}"/>
    <cellStyle name="40% - Accent4 4 2 2" xfId="2920" xr:uid="{00000000-0005-0000-0000-00001C060000}"/>
    <cellStyle name="40% - Accent4 4 2 2 2" xfId="7142" xr:uid="{00000000-0005-0000-0000-00001D060000}"/>
    <cellStyle name="40% - Accent4 4 2 2 2 2" xfId="24915" xr:uid="{FCE672AF-2B97-46E7-855F-D7F1F22A3FFA}"/>
    <cellStyle name="40% - Accent4 4 2 2 2 2 2" xfId="41809" xr:uid="{7E2B1279-B5BB-4910-8CC9-488AF5A00FFC}"/>
    <cellStyle name="40% - Accent4 4 2 2 2 3" xfId="16468" xr:uid="{053FAA84-B173-44D0-8523-61C40A9E821D}"/>
    <cellStyle name="40% - Accent4 4 2 2 2 4" xfId="33362" xr:uid="{EF0B6DE7-199B-41BB-9160-29A1B0F67BEA}"/>
    <cellStyle name="40% - Accent4 4 2 2 3" xfId="20698" xr:uid="{A53A7AEE-6882-4C26-BB8F-F439ADFF4AD7}"/>
    <cellStyle name="40% - Accent4 4 2 2 3 2" xfId="37592" xr:uid="{BBD45B97-8B4A-4BE1-878A-5F50EDC7EEB8}"/>
    <cellStyle name="40% - Accent4 4 2 2 4" xfId="12251" xr:uid="{CA64A187-B9E0-4AFF-A088-2B76A6AB8A77}"/>
    <cellStyle name="40% - Accent4 4 2 2 5" xfId="29145" xr:uid="{56E615CB-C548-47C6-B4D6-D2C2FF826202}"/>
    <cellStyle name="40% - Accent4 4 2 3" xfId="4997" xr:uid="{00000000-0005-0000-0000-00001E060000}"/>
    <cellStyle name="40% - Accent4 4 2 3 2" xfId="22770" xr:uid="{C7013180-85D6-477D-9274-1DA69B9E5128}"/>
    <cellStyle name="40% - Accent4 4 2 3 2 2" xfId="39664" xr:uid="{5B24938C-D10F-4EFD-8149-65AC948AE0BF}"/>
    <cellStyle name="40% - Accent4 4 2 3 3" xfId="14323" xr:uid="{E62B4701-BC71-4946-9BC0-D385E09FD976}"/>
    <cellStyle name="40% - Accent4 4 2 3 4" xfId="31217" xr:uid="{DC10E30B-1AAF-4CC4-BCB4-EBEF71299578}"/>
    <cellStyle name="40% - Accent4 4 2 4" xfId="9379" xr:uid="{EE31EAE0-1741-4D6E-B7B4-C5DB59044F55}"/>
    <cellStyle name="40% - Accent4 4 2 4 2" xfId="18553" xr:uid="{A4EAE20C-6209-4129-9566-3BA483363FF7}"/>
    <cellStyle name="40% - Accent4 4 2 4 3" xfId="35447" xr:uid="{577A537D-25E9-43B6-BE34-9FC244C49418}"/>
    <cellStyle name="40% - Accent4 4 2 5" xfId="10106" xr:uid="{865BFB3B-81EC-42A0-8134-D1D62E9A4B30}"/>
    <cellStyle name="40% - Accent4 4 2 6" xfId="27000" xr:uid="{7FC43219-0F30-4099-BA8A-EDECAB7B2B63}"/>
    <cellStyle name="40% - Accent4 4 3" xfId="1102" xr:uid="{00000000-0005-0000-0000-00001F060000}"/>
    <cellStyle name="40% - Accent4 4 3 2" xfId="3333" xr:uid="{00000000-0005-0000-0000-000020060000}"/>
    <cellStyle name="40% - Accent4 4 3 2 2" xfId="7555" xr:uid="{00000000-0005-0000-0000-000021060000}"/>
    <cellStyle name="40% - Accent4 4 3 2 2 2" xfId="25328" xr:uid="{4B6F25ED-9F59-4083-AB16-93D41CAE266B}"/>
    <cellStyle name="40% - Accent4 4 3 2 2 2 2" xfId="42222" xr:uid="{3D012F35-D274-4EF9-A9E8-3BCDA463F0D5}"/>
    <cellStyle name="40% - Accent4 4 3 2 2 3" xfId="16881" xr:uid="{08A7CED4-BB91-4026-BAEF-6A73BFB59917}"/>
    <cellStyle name="40% - Accent4 4 3 2 2 4" xfId="33775" xr:uid="{E4C54870-BEBD-4C2D-A24E-7435E603483A}"/>
    <cellStyle name="40% - Accent4 4 3 2 3" xfId="21111" xr:uid="{574CF79C-7F72-4028-9657-6023082D2209}"/>
    <cellStyle name="40% - Accent4 4 3 2 3 2" xfId="38005" xr:uid="{A25B2D54-0B26-485B-AA05-07CE2E826A2F}"/>
    <cellStyle name="40% - Accent4 4 3 2 4" xfId="12664" xr:uid="{C8588F98-DE34-437C-8A41-FFCB44772F86}"/>
    <cellStyle name="40% - Accent4 4 3 2 5" xfId="29558" xr:uid="{AC3496C5-EB12-4702-B482-36E793D76FF4}"/>
    <cellStyle name="40% - Accent4 4 3 3" xfId="5410" xr:uid="{00000000-0005-0000-0000-000022060000}"/>
    <cellStyle name="40% - Accent4 4 3 3 2" xfId="23183" xr:uid="{E61678EE-0C6B-4949-9966-F74544EA1FF4}"/>
    <cellStyle name="40% - Accent4 4 3 3 2 2" xfId="40077" xr:uid="{121B4D1F-B6A4-4AA1-8FE5-2981EEA58FBF}"/>
    <cellStyle name="40% - Accent4 4 3 3 3" xfId="14736" xr:uid="{A03EE6E7-6DA5-4ABA-874C-1BABB8D2C94E}"/>
    <cellStyle name="40% - Accent4 4 3 3 4" xfId="31630" xr:uid="{1DD69208-83BF-411E-8156-59305F24965C}"/>
    <cellStyle name="40% - Accent4 4 3 4" xfId="18966" xr:uid="{AF34A906-2F1D-49EA-BCC7-7AEBCA7E158C}"/>
    <cellStyle name="40% - Accent4 4 3 4 2" xfId="35860" xr:uid="{7885F90E-5890-483D-8343-B90D1C89CF8B}"/>
    <cellStyle name="40% - Accent4 4 3 5" xfId="10519" xr:uid="{716E99EE-3815-47D0-BF2E-76B4EA984017}"/>
    <cellStyle name="40% - Accent4 4 3 6" xfId="27413" xr:uid="{79ED1EEF-ACE2-48FE-994B-FB24FFCF9353}"/>
    <cellStyle name="40% - Accent4 4 4" xfId="1516" xr:uid="{00000000-0005-0000-0000-000023060000}"/>
    <cellStyle name="40% - Accent4 4 4 2" xfId="3746" xr:uid="{00000000-0005-0000-0000-000024060000}"/>
    <cellStyle name="40% - Accent4 4 4 2 2" xfId="7968" xr:uid="{00000000-0005-0000-0000-000025060000}"/>
    <cellStyle name="40% - Accent4 4 4 2 2 2" xfId="25741" xr:uid="{098EC626-8273-4098-B5D7-6C9FEA1088B1}"/>
    <cellStyle name="40% - Accent4 4 4 2 2 2 2" xfId="42635" xr:uid="{263EA4F0-2DD8-415E-ADAC-9D210B2883E6}"/>
    <cellStyle name="40% - Accent4 4 4 2 2 3" xfId="17294" xr:uid="{9EC22463-48A1-40E9-9F41-00B76D12203C}"/>
    <cellStyle name="40% - Accent4 4 4 2 2 4" xfId="34188" xr:uid="{07F6252B-1658-4DF2-A5B5-2156C394DD0B}"/>
    <cellStyle name="40% - Accent4 4 4 2 3" xfId="21524" xr:uid="{088E0243-3FAC-4508-BDCF-905DF2BCFA65}"/>
    <cellStyle name="40% - Accent4 4 4 2 3 2" xfId="38418" xr:uid="{D1346E46-8725-4F08-BE72-2D1C19954CC5}"/>
    <cellStyle name="40% - Accent4 4 4 2 4" xfId="13077" xr:uid="{E46EC6FB-FCEC-4AC1-ADEC-77E65F90DF0A}"/>
    <cellStyle name="40% - Accent4 4 4 2 5" xfId="29971" xr:uid="{238DF7DA-9AB3-436C-8E16-EDF594198ABC}"/>
    <cellStyle name="40% - Accent4 4 4 3" xfId="5823" xr:uid="{00000000-0005-0000-0000-000026060000}"/>
    <cellStyle name="40% - Accent4 4 4 3 2" xfId="23596" xr:uid="{2350D614-F179-4A6E-970E-99B3138ECD6A}"/>
    <cellStyle name="40% - Accent4 4 4 3 2 2" xfId="40490" xr:uid="{48380A0C-F957-4CAC-BDB8-775B8E11BDC0}"/>
    <cellStyle name="40% - Accent4 4 4 3 3" xfId="15149" xr:uid="{5D6F1733-6DD7-4FB0-A7BB-192CDA206447}"/>
    <cellStyle name="40% - Accent4 4 4 3 4" xfId="32043" xr:uid="{881A184B-DA17-4122-A835-83D88B387AB8}"/>
    <cellStyle name="40% - Accent4 4 4 4" xfId="19379" xr:uid="{A0350E81-AA70-4450-B534-5B7CEA460FC2}"/>
    <cellStyle name="40% - Accent4 4 4 4 2" xfId="36273" xr:uid="{54B37821-6121-4B25-A7AD-C266A08AB419}"/>
    <cellStyle name="40% - Accent4 4 4 5" xfId="10932" xr:uid="{A1C45FEB-4C98-47AC-BBE6-D6C883683EA7}"/>
    <cellStyle name="40% - Accent4 4 4 6" xfId="27826" xr:uid="{ACF8DF41-BE1F-48C0-92A4-F00C7052051D}"/>
    <cellStyle name="40% - Accent4 4 5" xfId="1930" xr:uid="{00000000-0005-0000-0000-000027060000}"/>
    <cellStyle name="40% - Accent4 4 5 2" xfId="4159" xr:uid="{00000000-0005-0000-0000-000028060000}"/>
    <cellStyle name="40% - Accent4 4 5 2 2" xfId="8381" xr:uid="{00000000-0005-0000-0000-000029060000}"/>
    <cellStyle name="40% - Accent4 4 5 2 2 2" xfId="26154" xr:uid="{7F70E1F1-094B-4980-8629-D5246345078D}"/>
    <cellStyle name="40% - Accent4 4 5 2 2 2 2" xfId="43048" xr:uid="{B318F776-3430-4983-8D41-DD0444547885}"/>
    <cellStyle name="40% - Accent4 4 5 2 2 3" xfId="17707" xr:uid="{7F225CA8-A46B-4621-8298-157C16E67D69}"/>
    <cellStyle name="40% - Accent4 4 5 2 2 4" xfId="34601" xr:uid="{C349507E-66D3-4705-8D18-29F3A2C9149E}"/>
    <cellStyle name="40% - Accent4 4 5 2 3" xfId="21937" xr:uid="{416578F4-D502-4439-A93F-91554A8F6A4E}"/>
    <cellStyle name="40% - Accent4 4 5 2 3 2" xfId="38831" xr:uid="{3D4750CE-F19E-435A-86EC-D6CF146C1953}"/>
    <cellStyle name="40% - Accent4 4 5 2 4" xfId="13490" xr:uid="{004E7250-A42E-4588-A7DF-83165457DFB2}"/>
    <cellStyle name="40% - Accent4 4 5 2 5" xfId="30384" xr:uid="{301CA575-ADAB-4331-A442-9A2ACDA35E62}"/>
    <cellStyle name="40% - Accent4 4 5 3" xfId="6236" xr:uid="{00000000-0005-0000-0000-00002A060000}"/>
    <cellStyle name="40% - Accent4 4 5 3 2" xfId="24009" xr:uid="{413293B1-B7BB-4DE3-91C7-571124596F19}"/>
    <cellStyle name="40% - Accent4 4 5 3 2 2" xfId="40903" xr:uid="{E3500EEA-0595-4B50-9D80-2443516DA11D}"/>
    <cellStyle name="40% - Accent4 4 5 3 3" xfId="15562" xr:uid="{292E2BB3-FDF2-4F13-9FB1-1A191C1114F2}"/>
    <cellStyle name="40% - Accent4 4 5 3 4" xfId="32456" xr:uid="{2F15286E-A4CE-4C18-A683-B687F1073FAD}"/>
    <cellStyle name="40% - Accent4 4 5 4" xfId="19792" xr:uid="{2735AAC9-2D97-4153-BDBF-E74B43F271BF}"/>
    <cellStyle name="40% - Accent4 4 5 4 2" xfId="36686" xr:uid="{D72D180C-03C7-474F-B2AD-9EF477BD4E1C}"/>
    <cellStyle name="40% - Accent4 4 5 5" xfId="11345" xr:uid="{610047CE-7E3A-4C2C-A512-9BDB09B5183B}"/>
    <cellStyle name="40% - Accent4 4 5 6" xfId="28239" xr:uid="{698F5EF2-24F4-49EF-A2C3-78AD3786ED56}"/>
    <cellStyle name="40% - Accent4 4 6" xfId="2343" xr:uid="{00000000-0005-0000-0000-00002B060000}"/>
    <cellStyle name="40% - Accent4 4 6 2" xfId="6649" xr:uid="{00000000-0005-0000-0000-00002C060000}"/>
    <cellStyle name="40% - Accent4 4 6 2 2" xfId="24422" xr:uid="{C87B0FE0-4C1E-458B-B7D3-0B7EB0D8B63A}"/>
    <cellStyle name="40% - Accent4 4 6 2 2 2" xfId="41316" xr:uid="{CCE20E74-5200-4048-BAC6-A84AAF12F517}"/>
    <cellStyle name="40% - Accent4 4 6 2 3" xfId="15975" xr:uid="{30C38150-1909-4CF3-95DD-3FF4FCB1D2DD}"/>
    <cellStyle name="40% - Accent4 4 6 2 4" xfId="32869" xr:uid="{4DD489FD-8C57-4993-BAF9-0DCBDC5BCC2A}"/>
    <cellStyle name="40% - Accent4 4 6 3" xfId="20205" xr:uid="{50FCB339-990F-499D-BF10-D5ED91D1E674}"/>
    <cellStyle name="40% - Accent4 4 6 3 2" xfId="37099" xr:uid="{E07AF459-1C4A-43A4-A7D2-AC4E86182CC8}"/>
    <cellStyle name="40% - Accent4 4 6 4" xfId="11758" xr:uid="{BF542E12-D8F5-44EC-8CF5-D0E576B7AF16}"/>
    <cellStyle name="40% - Accent4 4 6 5" xfId="28652" xr:uid="{473C2D8C-872B-4C28-BB2D-EA420E24D766}"/>
    <cellStyle name="40% - Accent4 4 7" xfId="4583" xr:uid="{00000000-0005-0000-0000-00002D060000}"/>
    <cellStyle name="40% - Accent4 4 7 2" xfId="22356" xr:uid="{1562D321-D3F5-4AF4-9BFA-B8CF8F2A5470}"/>
    <cellStyle name="40% - Accent4 4 7 2 2" xfId="39250" xr:uid="{E4A800E1-7B74-4992-8161-8165134980D7}"/>
    <cellStyle name="40% - Accent4 4 7 3" xfId="13909" xr:uid="{361E0F46-B318-4C66-819E-DB2807E207E8}"/>
    <cellStyle name="40% - Accent4 4 7 4" xfId="30803" xr:uid="{F42B5E39-4734-48FA-B509-6B46BB0AFE8B}"/>
    <cellStyle name="40% - Accent4 4 8" xfId="8954" xr:uid="{2C178683-58B3-4513-85E7-15FAC3AC035D}"/>
    <cellStyle name="40% - Accent4 4 8 2" xfId="18139" xr:uid="{2A7647D1-F71D-4875-9D95-BF01EB8718DB}"/>
    <cellStyle name="40% - Accent4 4 8 3" xfId="35033" xr:uid="{DC7F01D7-79F3-4BCE-AC25-2AF3DE36D328}"/>
    <cellStyle name="40% - Accent4 4 9" xfId="9692" xr:uid="{91361CB5-5921-47ED-9313-257B9EF26222}"/>
    <cellStyle name="40% - Accent4 5" xfId="642" xr:uid="{00000000-0005-0000-0000-00002E060000}"/>
    <cellStyle name="40% - Accent4 5 2" xfId="2913" xr:uid="{00000000-0005-0000-0000-00002F060000}"/>
    <cellStyle name="40% - Accent4 5 2 2" xfId="7135" xr:uid="{00000000-0005-0000-0000-000030060000}"/>
    <cellStyle name="40% - Accent4 5 2 2 2" xfId="24908" xr:uid="{8936AF2E-D20B-4867-8DA8-7CADF2E476CB}"/>
    <cellStyle name="40% - Accent4 5 2 2 2 2" xfId="41802" xr:uid="{7B86B657-9380-4210-951D-CE0D9CBC5BC4}"/>
    <cellStyle name="40% - Accent4 5 2 2 3" xfId="16461" xr:uid="{65F2EB3A-3512-4BF2-992E-E6B3E015277D}"/>
    <cellStyle name="40% - Accent4 5 2 2 4" xfId="33355" xr:uid="{DBD5A2A3-9C68-43D5-A7BA-4539B62B0367}"/>
    <cellStyle name="40% - Accent4 5 2 3" xfId="20691" xr:uid="{68CA027C-197D-4679-BF26-28F17CF08A59}"/>
    <cellStyle name="40% - Accent4 5 2 3 2" xfId="37585" xr:uid="{2C9B0276-AC12-459E-B0F1-AC8C514E438E}"/>
    <cellStyle name="40% - Accent4 5 2 4" xfId="12244" xr:uid="{5F9A4CA6-D423-4413-A360-F419A12A4AD0}"/>
    <cellStyle name="40% - Accent4 5 2 5" xfId="29138" xr:uid="{CF215EBC-ABEE-42B9-8AF5-7969FC47ACA7}"/>
    <cellStyle name="40% - Accent4 5 3" xfId="4990" xr:uid="{00000000-0005-0000-0000-000031060000}"/>
    <cellStyle name="40% - Accent4 5 3 2" xfId="22763" xr:uid="{539187F9-9D7F-406C-840F-9A0E38AF5597}"/>
    <cellStyle name="40% - Accent4 5 3 2 2" xfId="39657" xr:uid="{9519A998-6132-4F30-BB04-8D44BBF2819A}"/>
    <cellStyle name="40% - Accent4 5 3 3" xfId="14316" xr:uid="{93E77548-A01A-4856-8B02-27327411ADD1}"/>
    <cellStyle name="40% - Accent4 5 3 4" xfId="31210" xr:uid="{28480965-AF26-44F6-A687-2EBAB0D921DB}"/>
    <cellStyle name="40% - Accent4 5 4" xfId="9187" xr:uid="{33022C89-0CDD-4091-8005-358F63FF8F46}"/>
    <cellStyle name="40% - Accent4 5 4 2" xfId="18546" xr:uid="{9EDE4CDD-A992-4C29-B9C5-439EF8A54921}"/>
    <cellStyle name="40% - Accent4 5 4 3" xfId="35440" xr:uid="{F37718E4-8D93-45A9-A12A-575DA6FBCF21}"/>
    <cellStyle name="40% - Accent4 5 5" xfId="10099" xr:uid="{F4509DFA-02F3-4045-99CE-F9A2D7B5111A}"/>
    <cellStyle name="40% - Accent4 5 6" xfId="26993" xr:uid="{55D97CA8-3926-44FB-BE2A-8AD780EE51AA}"/>
    <cellStyle name="40% - Accent4 6" xfId="1095" xr:uid="{00000000-0005-0000-0000-000032060000}"/>
    <cellStyle name="40% - Accent4 6 2" xfId="3326" xr:uid="{00000000-0005-0000-0000-000033060000}"/>
    <cellStyle name="40% - Accent4 6 2 2" xfId="7548" xr:uid="{00000000-0005-0000-0000-000034060000}"/>
    <cellStyle name="40% - Accent4 6 2 2 2" xfId="25321" xr:uid="{A3BDA196-7FCD-4824-8471-EA00A20AFD8F}"/>
    <cellStyle name="40% - Accent4 6 2 2 2 2" xfId="42215" xr:uid="{3DAF69BB-C74F-4824-B1A7-C8EF869A0227}"/>
    <cellStyle name="40% - Accent4 6 2 2 3" xfId="16874" xr:uid="{B86B62A0-5928-4F68-9916-A7B228DC5913}"/>
    <cellStyle name="40% - Accent4 6 2 2 4" xfId="33768" xr:uid="{F00586E0-F885-4576-9C00-A0C56B90A89A}"/>
    <cellStyle name="40% - Accent4 6 2 3" xfId="21104" xr:uid="{D06A31FD-2CA0-4053-BD45-83B0C64B1ADF}"/>
    <cellStyle name="40% - Accent4 6 2 3 2" xfId="37998" xr:uid="{6A868F94-0F7E-49EB-ACAB-BD6BB6D6DD1D}"/>
    <cellStyle name="40% - Accent4 6 2 4" xfId="12657" xr:uid="{55BD4CCA-4599-4E71-AE36-5366E75A2F0F}"/>
    <cellStyle name="40% - Accent4 6 2 5" xfId="29551" xr:uid="{9A5DBA1C-DC2E-43D6-8442-00F374DBC91C}"/>
    <cellStyle name="40% - Accent4 6 3" xfId="5403" xr:uid="{00000000-0005-0000-0000-000035060000}"/>
    <cellStyle name="40% - Accent4 6 3 2" xfId="23176" xr:uid="{7BF4F35A-A29D-47CF-A899-B4FAB6D6FA34}"/>
    <cellStyle name="40% - Accent4 6 3 2 2" xfId="40070" xr:uid="{011ADF21-CDE7-44AE-8627-10B8CE9041A9}"/>
    <cellStyle name="40% - Accent4 6 3 3" xfId="14729" xr:uid="{7786EEA3-F4E1-4A5C-9C51-206010BE0A2B}"/>
    <cellStyle name="40% - Accent4 6 3 4" xfId="31623" xr:uid="{DE023080-E358-45D3-BD18-879F3158AD51}"/>
    <cellStyle name="40% - Accent4 6 4" xfId="18959" xr:uid="{196CAF77-8E00-4B0F-95CF-58D3E583FBA8}"/>
    <cellStyle name="40% - Accent4 6 4 2" xfId="35853" xr:uid="{664F3215-615E-40B5-977F-3DFCCD33429F}"/>
    <cellStyle name="40% - Accent4 6 5" xfId="10512" xr:uid="{CDDA65E3-B2A5-46E7-8C81-3976863EBC0B}"/>
    <cellStyle name="40% - Accent4 6 6" xfId="27406" xr:uid="{E7F9EB09-F949-4336-AB9E-0BA06170877D}"/>
    <cellStyle name="40% - Accent4 7" xfId="1509" xr:uid="{00000000-0005-0000-0000-000036060000}"/>
    <cellStyle name="40% - Accent4 7 2" xfId="3739" xr:uid="{00000000-0005-0000-0000-000037060000}"/>
    <cellStyle name="40% - Accent4 7 2 2" xfId="7961" xr:uid="{00000000-0005-0000-0000-000038060000}"/>
    <cellStyle name="40% - Accent4 7 2 2 2" xfId="25734" xr:uid="{7030BF3B-E039-4545-B02E-6798C6B47B6B}"/>
    <cellStyle name="40% - Accent4 7 2 2 2 2" xfId="42628" xr:uid="{CC3C7F86-871E-49CC-A285-AC9034593E7A}"/>
    <cellStyle name="40% - Accent4 7 2 2 3" xfId="17287" xr:uid="{BD88908E-2075-4E98-8BED-C0E7E9F7696A}"/>
    <cellStyle name="40% - Accent4 7 2 2 4" xfId="34181" xr:uid="{48E8CC21-A1A7-4A63-BCDF-82E398BB038A}"/>
    <cellStyle name="40% - Accent4 7 2 3" xfId="21517" xr:uid="{345CD4B0-09F0-4366-8667-10E0699A24D6}"/>
    <cellStyle name="40% - Accent4 7 2 3 2" xfId="38411" xr:uid="{5E87A4DF-8EAA-4746-8AEF-CEF63C94C9D8}"/>
    <cellStyle name="40% - Accent4 7 2 4" xfId="13070" xr:uid="{D28A3D8C-3A56-4E28-9BED-0322FFAC49DB}"/>
    <cellStyle name="40% - Accent4 7 2 5" xfId="29964" xr:uid="{FAC69AD9-4129-4039-A592-0A02D0DCD9EE}"/>
    <cellStyle name="40% - Accent4 7 3" xfId="5816" xr:uid="{00000000-0005-0000-0000-000039060000}"/>
    <cellStyle name="40% - Accent4 7 3 2" xfId="23589" xr:uid="{B8AECAE8-04FC-4381-B4DD-21EA241BD8C2}"/>
    <cellStyle name="40% - Accent4 7 3 2 2" xfId="40483" xr:uid="{6F7A7326-A480-495C-BE97-040CE1C8C7A7}"/>
    <cellStyle name="40% - Accent4 7 3 3" xfId="15142" xr:uid="{9391874A-A353-417F-A7B8-EB0D7301D6FB}"/>
    <cellStyle name="40% - Accent4 7 3 4" xfId="32036" xr:uid="{6EFC9B32-0C9B-4211-9FB3-7D1123595B87}"/>
    <cellStyle name="40% - Accent4 7 4" xfId="19372" xr:uid="{0051CD4F-3347-4797-B134-FFC20424B8CF}"/>
    <cellStyle name="40% - Accent4 7 4 2" xfId="36266" xr:uid="{269018DD-0734-4B03-8296-C9DB87B561ED}"/>
    <cellStyle name="40% - Accent4 7 5" xfId="10925" xr:uid="{D65DF82B-6888-421F-85DF-943E21C5490C}"/>
    <cellStyle name="40% - Accent4 7 6" xfId="27819" xr:uid="{D09D0080-F637-4290-9C9C-B83FF75A6919}"/>
    <cellStyle name="40% - Accent4 8" xfId="1923" xr:uid="{00000000-0005-0000-0000-00003A060000}"/>
    <cellStyle name="40% - Accent4 8 2" xfId="4152" xr:uid="{00000000-0005-0000-0000-00003B060000}"/>
    <cellStyle name="40% - Accent4 8 2 2" xfId="8374" xr:uid="{00000000-0005-0000-0000-00003C060000}"/>
    <cellStyle name="40% - Accent4 8 2 2 2" xfId="26147" xr:uid="{D49E5E94-DA21-4FDE-8F0C-383DE613EAD5}"/>
    <cellStyle name="40% - Accent4 8 2 2 2 2" xfId="43041" xr:uid="{736F97F3-3C07-4D25-9BE2-F2571594A538}"/>
    <cellStyle name="40% - Accent4 8 2 2 3" xfId="17700" xr:uid="{D5BF4895-362D-49B6-8E34-022D98793976}"/>
    <cellStyle name="40% - Accent4 8 2 2 4" xfId="34594" xr:uid="{ACF7B20D-34DF-480F-BA1D-7D6CEA50DEA7}"/>
    <cellStyle name="40% - Accent4 8 2 3" xfId="21930" xr:uid="{0B7A7061-4957-4428-9449-64351ED2A46A}"/>
    <cellStyle name="40% - Accent4 8 2 3 2" xfId="38824" xr:uid="{533F7260-BBFC-4810-A715-0F5D6CAF0EE3}"/>
    <cellStyle name="40% - Accent4 8 2 4" xfId="13483" xr:uid="{101AE1AF-0FF7-429D-AFBD-6F4AE4EA33BA}"/>
    <cellStyle name="40% - Accent4 8 2 5" xfId="30377" xr:uid="{83F49384-96A5-4B74-BD51-359147BC3AB4}"/>
    <cellStyle name="40% - Accent4 8 3" xfId="6229" xr:uid="{00000000-0005-0000-0000-00003D060000}"/>
    <cellStyle name="40% - Accent4 8 3 2" xfId="24002" xr:uid="{30AE0F93-7AC0-4086-8B2E-2FF941ED4ACD}"/>
    <cellStyle name="40% - Accent4 8 3 2 2" xfId="40896" xr:uid="{30361640-DCCE-4722-9E5E-569E0915F3C6}"/>
    <cellStyle name="40% - Accent4 8 3 3" xfId="15555" xr:uid="{6F7055ED-35DF-4AEC-8A90-8C1BA15B5863}"/>
    <cellStyle name="40% - Accent4 8 3 4" xfId="32449" xr:uid="{F32FAF26-4998-430E-B498-F640B13B61D4}"/>
    <cellStyle name="40% - Accent4 8 4" xfId="19785" xr:uid="{F6A9948B-FC06-42AB-BE3B-D084A034CEC1}"/>
    <cellStyle name="40% - Accent4 8 4 2" xfId="36679" xr:uid="{A6E936A5-2BC1-4700-B527-4147E1823D10}"/>
    <cellStyle name="40% - Accent4 8 5" xfId="11338" xr:uid="{B112ABA4-F219-45B5-8649-9D613E1218A6}"/>
    <cellStyle name="40% - Accent4 8 6" xfId="28232" xr:uid="{ABBBD3DB-806A-4050-AC37-546B2E87CF45}"/>
    <cellStyle name="40% - Accent4 9" xfId="2336" xr:uid="{00000000-0005-0000-0000-00003E060000}"/>
    <cellStyle name="40% - Accent4 9 2" xfId="6642" xr:uid="{00000000-0005-0000-0000-00003F060000}"/>
    <cellStyle name="40% - Accent4 9 2 2" xfId="24415" xr:uid="{0DD529F6-9B07-4086-9712-04D530996136}"/>
    <cellStyle name="40% - Accent4 9 2 2 2" xfId="41309" xr:uid="{E042DA1C-C6A5-4A07-BD6C-F682801B6078}"/>
    <cellStyle name="40% - Accent4 9 2 3" xfId="15968" xr:uid="{452F718D-6BBE-4D9C-B35D-3E96DB6907F3}"/>
    <cellStyle name="40% - Accent4 9 2 4" xfId="32862" xr:uid="{2613C5AC-E876-4C34-9CCA-DAE0915A2CD2}"/>
    <cellStyle name="40% - Accent4 9 3" xfId="20198" xr:uid="{756969AB-8DA5-4CE3-8400-9567F8BC102E}"/>
    <cellStyle name="40% - Accent4 9 3 2" xfId="37092" xr:uid="{1E886A47-E85B-46B0-86AB-7BE7A1EBD1CB}"/>
    <cellStyle name="40% - Accent4 9 4" xfId="11751" xr:uid="{87729F80-BB08-444A-A612-9E469E419203}"/>
    <cellStyle name="40% - Accent4 9 5" xfId="28645" xr:uid="{649F4A31-F154-4BBB-9496-D4154FB893E0}"/>
    <cellStyle name="40% - Accent5" xfId="81" builtinId="47" customBuiltin="1"/>
    <cellStyle name="40% - Accent5 10" xfId="4584" xr:uid="{00000000-0005-0000-0000-000041060000}"/>
    <cellStyle name="40% - Accent5 10 2" xfId="22357" xr:uid="{4269E048-706E-4510-B48C-3A94E1440AF9}"/>
    <cellStyle name="40% - Accent5 10 2 2" xfId="39251" xr:uid="{2FB253E3-7E91-4472-87E1-16614B529BE4}"/>
    <cellStyle name="40% - Accent5 10 3" xfId="13910" xr:uid="{AC73E60C-1E7F-4744-BAB0-1F0703A828DA}"/>
    <cellStyle name="40% - Accent5 10 4" xfId="30804" xr:uid="{2845B0DE-21D7-40D6-A407-E67F16CB914C}"/>
    <cellStyle name="40% - Accent5 11" xfId="8767" xr:uid="{7A46ADF8-3420-4D4A-A3FE-8E96F0FA38E7}"/>
    <cellStyle name="40% - Accent5 11 2" xfId="18140" xr:uid="{B081C6F9-78F7-40A0-935B-4C1B49E609E1}"/>
    <cellStyle name="40% - Accent5 11 3" xfId="35034" xr:uid="{F1AE95B7-424E-418F-A827-1D1880FCF792}"/>
    <cellStyle name="40% - Accent5 12" xfId="9693" xr:uid="{D76D7CA6-E3A1-41F6-9474-AF1994A4907F}"/>
    <cellStyle name="40% - Accent5 13" xfId="26587" xr:uid="{213BDAF4-82A1-4811-B2BF-86FD09E83928}"/>
    <cellStyle name="40% - Accent5 2" xfId="82" xr:uid="{00000000-0005-0000-0000-000042060000}"/>
    <cellStyle name="40% - Accent5 2 10" xfId="8802" xr:uid="{CF9BFF45-99AC-47A3-8B01-051C55FBB24D}"/>
    <cellStyle name="40% - Accent5 2 10 2" xfId="18141" xr:uid="{536D7CF8-0CF4-434C-9865-8313A7CC784D}"/>
    <cellStyle name="40% - Accent5 2 10 3" xfId="35035" xr:uid="{F5E8B55A-89A4-4895-8309-5A08F348FFCA}"/>
    <cellStyle name="40% - Accent5 2 11" xfId="9694" xr:uid="{9F1B9915-B134-4FFC-BD66-B15F5DB96F5E}"/>
    <cellStyle name="40% - Accent5 2 12" xfId="26588" xr:uid="{4175B9A1-EF2A-45D8-8AA2-AADCD199345F}"/>
    <cellStyle name="40% - Accent5 2 2" xfId="83" xr:uid="{00000000-0005-0000-0000-000043060000}"/>
    <cellStyle name="40% - Accent5 2 2 10" xfId="9695" xr:uid="{E36C82C0-DB4F-495F-8543-472D38114303}"/>
    <cellStyle name="40% - Accent5 2 2 11" xfId="26589" xr:uid="{70625AC6-F6FE-4F57-A4D9-20CB6B235A7D}"/>
    <cellStyle name="40% - Accent5 2 2 2" xfId="84" xr:uid="{00000000-0005-0000-0000-000044060000}"/>
    <cellStyle name="40% - Accent5 2 2 2 10" xfId="26590" xr:uid="{D0BBBDC1-458E-492A-944C-7749EBE67C2C}"/>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2 2 2" xfId="24919" xr:uid="{73910696-A121-4EE7-B977-31B7C450161F}"/>
    <cellStyle name="40% - Accent5 2 2 2 2 2 2 2 2" xfId="41813" xr:uid="{96C439D3-77E3-4A39-BFCF-7790ED4E4F5C}"/>
    <cellStyle name="40% - Accent5 2 2 2 2 2 2 3" xfId="16472" xr:uid="{A8898A7E-ABC0-4FAF-A10B-FD2DC760D6A2}"/>
    <cellStyle name="40% - Accent5 2 2 2 2 2 2 4" xfId="33366" xr:uid="{ACF2F76F-FD62-4188-A57E-82E3966F14B0}"/>
    <cellStyle name="40% - Accent5 2 2 2 2 2 3" xfId="20702" xr:uid="{061AD6AC-05BE-41B4-BF4A-CBF648E02AB2}"/>
    <cellStyle name="40% - Accent5 2 2 2 2 2 3 2" xfId="37596" xr:uid="{72BFFE65-A6B5-4EF2-A387-953E1824834B}"/>
    <cellStyle name="40% - Accent5 2 2 2 2 2 4" xfId="12255" xr:uid="{8099EF42-7382-47A4-A46F-538F085F0BC4}"/>
    <cellStyle name="40% - Accent5 2 2 2 2 2 5" xfId="29149" xr:uid="{7CC72811-2470-46CD-ADB7-870DD61B493E}"/>
    <cellStyle name="40% - Accent5 2 2 2 2 3" xfId="5001" xr:uid="{00000000-0005-0000-0000-000048060000}"/>
    <cellStyle name="40% - Accent5 2 2 2 2 3 2" xfId="22774" xr:uid="{4E3C748F-D13C-469E-A3E1-EEF4162FA094}"/>
    <cellStyle name="40% - Accent5 2 2 2 2 3 2 2" xfId="39668" xr:uid="{5A436E9E-9367-46AD-B7A0-BAAFED88FD04}"/>
    <cellStyle name="40% - Accent5 2 2 2 2 3 3" xfId="14327" xr:uid="{4D522B3F-A090-48ED-9F45-5F52B8CB6CAE}"/>
    <cellStyle name="40% - Accent5 2 2 2 2 3 4" xfId="31221" xr:uid="{0146F2E9-EE05-43E6-9037-2FF9C5314012}"/>
    <cellStyle name="40% - Accent5 2 2 2 2 4" xfId="9537" xr:uid="{83834145-5D3F-4083-A609-6DB90651C4CE}"/>
    <cellStyle name="40% - Accent5 2 2 2 2 4 2" xfId="18557" xr:uid="{FD9FA009-7DEA-4AE1-B7FB-BE88A67F33E5}"/>
    <cellStyle name="40% - Accent5 2 2 2 2 4 3" xfId="35451" xr:uid="{40EACA61-61EA-46EE-9BB4-10E819657A49}"/>
    <cellStyle name="40% - Accent5 2 2 2 2 5" xfId="10110" xr:uid="{57B508BD-21ED-4042-8751-B96A2D240EDD}"/>
    <cellStyle name="40% - Accent5 2 2 2 2 6" xfId="27004" xr:uid="{9506FD3B-19BF-4F5D-A2EA-B7C26DF655A7}"/>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2 2 2" xfId="25332" xr:uid="{1546EDFF-7A4F-4577-BE29-7FCD3C5326DC}"/>
    <cellStyle name="40% - Accent5 2 2 2 3 2 2 2 2" xfId="42226" xr:uid="{E5C2620B-3946-49DD-BEA3-DC70E720B1A3}"/>
    <cellStyle name="40% - Accent5 2 2 2 3 2 2 3" xfId="16885" xr:uid="{BB73196C-67D2-4C61-98AD-D6E61C3E15A6}"/>
    <cellStyle name="40% - Accent5 2 2 2 3 2 2 4" xfId="33779" xr:uid="{3414C19B-6DC2-43B7-B7C6-F353ECE4CFEB}"/>
    <cellStyle name="40% - Accent5 2 2 2 3 2 3" xfId="21115" xr:uid="{067F5B1F-4C33-4BEF-B721-AEB92CA5F8C6}"/>
    <cellStyle name="40% - Accent5 2 2 2 3 2 3 2" xfId="38009" xr:uid="{85233548-C454-42D3-BB11-28ED59B12CD7}"/>
    <cellStyle name="40% - Accent5 2 2 2 3 2 4" xfId="12668" xr:uid="{11F14601-E392-49E2-B3B6-37BAA450C221}"/>
    <cellStyle name="40% - Accent5 2 2 2 3 2 5" xfId="29562" xr:uid="{D67F9C05-55B9-4906-9E88-81CC4D5E3710}"/>
    <cellStyle name="40% - Accent5 2 2 2 3 3" xfId="5414" xr:uid="{00000000-0005-0000-0000-00004C060000}"/>
    <cellStyle name="40% - Accent5 2 2 2 3 3 2" xfId="23187" xr:uid="{2B2B6B7A-4BCB-4577-B8E1-DD255DDC0832}"/>
    <cellStyle name="40% - Accent5 2 2 2 3 3 2 2" xfId="40081" xr:uid="{FBE7ABFE-756F-4943-90F8-1B5086CC4B5E}"/>
    <cellStyle name="40% - Accent5 2 2 2 3 3 3" xfId="14740" xr:uid="{DB60C31E-27F5-43D8-A44A-70A79C3637CE}"/>
    <cellStyle name="40% - Accent5 2 2 2 3 3 4" xfId="31634" xr:uid="{12C69987-29C5-43F0-B6C8-72F527FFD7E8}"/>
    <cellStyle name="40% - Accent5 2 2 2 3 4" xfId="18970" xr:uid="{1453534F-0F68-49E8-9BB4-7D2268B06EC6}"/>
    <cellStyle name="40% - Accent5 2 2 2 3 4 2" xfId="35864" xr:uid="{82D052F4-17BA-4A26-A800-71AC9AA23B11}"/>
    <cellStyle name="40% - Accent5 2 2 2 3 5" xfId="10523" xr:uid="{3BC735BB-26D0-4871-8578-27AB2E868643}"/>
    <cellStyle name="40% - Accent5 2 2 2 3 6" xfId="27417" xr:uid="{57B94425-32C1-4F9D-9CA3-5475C0481ACD}"/>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2 2 2" xfId="25745" xr:uid="{E9611736-C4A8-47D0-9A27-6EA3F8E1BFFE}"/>
    <cellStyle name="40% - Accent5 2 2 2 4 2 2 2 2" xfId="42639" xr:uid="{43104F7B-1419-4349-AEF7-5A251BE2534B}"/>
    <cellStyle name="40% - Accent5 2 2 2 4 2 2 3" xfId="17298" xr:uid="{ED68B0D0-0273-4206-8C2A-B78A453FB13F}"/>
    <cellStyle name="40% - Accent5 2 2 2 4 2 2 4" xfId="34192" xr:uid="{CF026D97-2FD6-4835-9FC8-DFD07B90C74A}"/>
    <cellStyle name="40% - Accent5 2 2 2 4 2 3" xfId="21528" xr:uid="{3C9EC0F1-AC6E-41BF-8B05-913A6F60993F}"/>
    <cellStyle name="40% - Accent5 2 2 2 4 2 3 2" xfId="38422" xr:uid="{1075FD98-63AD-424E-AAF3-F20A6BC8F8E7}"/>
    <cellStyle name="40% - Accent5 2 2 2 4 2 4" xfId="13081" xr:uid="{DE91E238-67E9-4903-BB28-7351E4162DFE}"/>
    <cellStyle name="40% - Accent5 2 2 2 4 2 5" xfId="29975" xr:uid="{DF69E9C9-9D75-4F80-88FD-F687AD5599AF}"/>
    <cellStyle name="40% - Accent5 2 2 2 4 3" xfId="5827" xr:uid="{00000000-0005-0000-0000-000050060000}"/>
    <cellStyle name="40% - Accent5 2 2 2 4 3 2" xfId="23600" xr:uid="{B11DF1E2-A30B-490D-9F07-2B239F4D1B97}"/>
    <cellStyle name="40% - Accent5 2 2 2 4 3 2 2" xfId="40494" xr:uid="{E5293972-15BC-4B0F-8A34-DF4ED72E9312}"/>
    <cellStyle name="40% - Accent5 2 2 2 4 3 3" xfId="15153" xr:uid="{EC2E4CCB-C98C-4336-ADFB-E48D8036D1F6}"/>
    <cellStyle name="40% - Accent5 2 2 2 4 3 4" xfId="32047" xr:uid="{597E70B9-6C48-4D74-BBE9-58B0209486B5}"/>
    <cellStyle name="40% - Accent5 2 2 2 4 4" xfId="19383" xr:uid="{C5EDB288-8AC6-4359-9368-F8F9285599CD}"/>
    <cellStyle name="40% - Accent5 2 2 2 4 4 2" xfId="36277" xr:uid="{D0DB3661-832F-4F82-BA7E-8939E042B97E}"/>
    <cellStyle name="40% - Accent5 2 2 2 4 5" xfId="10936" xr:uid="{45A2F12A-0A15-41FA-BB4C-CFB6BABB8E79}"/>
    <cellStyle name="40% - Accent5 2 2 2 4 6" xfId="27830" xr:uid="{0995FC6D-053A-49FE-99C0-FD1F8F2BAAC5}"/>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2 2 2" xfId="26158" xr:uid="{790F82B8-E1EB-49FA-972E-305982011A7A}"/>
    <cellStyle name="40% - Accent5 2 2 2 5 2 2 2 2" xfId="43052" xr:uid="{22DA7380-FB33-4BBE-90FA-B7ADB63A8FAA}"/>
    <cellStyle name="40% - Accent5 2 2 2 5 2 2 3" xfId="17711" xr:uid="{6FAA8225-948D-40CB-8828-009F078DD18E}"/>
    <cellStyle name="40% - Accent5 2 2 2 5 2 2 4" xfId="34605" xr:uid="{66FE0C1D-384E-4AF6-8F44-75A5BDC9F189}"/>
    <cellStyle name="40% - Accent5 2 2 2 5 2 3" xfId="21941" xr:uid="{C007DE48-3393-4D56-BC2E-BD9F5686837D}"/>
    <cellStyle name="40% - Accent5 2 2 2 5 2 3 2" xfId="38835" xr:uid="{AF88ACBB-3DF1-45EA-AE8A-F2378A9480B3}"/>
    <cellStyle name="40% - Accent5 2 2 2 5 2 4" xfId="13494" xr:uid="{20C1E541-58B7-4870-97C6-3F92F1751064}"/>
    <cellStyle name="40% - Accent5 2 2 2 5 2 5" xfId="30388" xr:uid="{5DAF7EE5-C547-44F6-BC58-430262399119}"/>
    <cellStyle name="40% - Accent5 2 2 2 5 3" xfId="6240" xr:uid="{00000000-0005-0000-0000-000054060000}"/>
    <cellStyle name="40% - Accent5 2 2 2 5 3 2" xfId="24013" xr:uid="{402CB318-39DE-4F38-B7A9-59D77D0938DC}"/>
    <cellStyle name="40% - Accent5 2 2 2 5 3 2 2" xfId="40907" xr:uid="{7F1391C0-4C68-40FA-9A82-05E4D009C90C}"/>
    <cellStyle name="40% - Accent5 2 2 2 5 3 3" xfId="15566" xr:uid="{859DB906-7F91-4694-9FB7-F2F83B264339}"/>
    <cellStyle name="40% - Accent5 2 2 2 5 3 4" xfId="32460" xr:uid="{CFD61A58-9EF1-4419-B614-B97E561968B1}"/>
    <cellStyle name="40% - Accent5 2 2 2 5 4" xfId="19796" xr:uid="{F15A1A7B-1301-4B1B-A755-2320D3A6763B}"/>
    <cellStyle name="40% - Accent5 2 2 2 5 4 2" xfId="36690" xr:uid="{970DE9BD-5C2E-4D4D-8F82-B2B13AC86EA3}"/>
    <cellStyle name="40% - Accent5 2 2 2 5 5" xfId="11349" xr:uid="{FF873768-91FF-4716-8CA4-B09F271F7F30}"/>
    <cellStyle name="40% - Accent5 2 2 2 5 6" xfId="28243" xr:uid="{EDABC0B7-D558-4968-9A85-C9B8864FE0D0}"/>
    <cellStyle name="40% - Accent5 2 2 2 6" xfId="2347" xr:uid="{00000000-0005-0000-0000-000055060000}"/>
    <cellStyle name="40% - Accent5 2 2 2 6 2" xfId="6653" xr:uid="{00000000-0005-0000-0000-000056060000}"/>
    <cellStyle name="40% - Accent5 2 2 2 6 2 2" xfId="24426" xr:uid="{BEBB7F32-F0DE-4365-9FA6-253EC903D253}"/>
    <cellStyle name="40% - Accent5 2 2 2 6 2 2 2" xfId="41320" xr:uid="{A8D777E3-1752-4B5E-8C9D-C04C5A198329}"/>
    <cellStyle name="40% - Accent5 2 2 2 6 2 3" xfId="15979" xr:uid="{575A9CAB-323D-479D-AEF8-E205AD4673AE}"/>
    <cellStyle name="40% - Accent5 2 2 2 6 2 4" xfId="32873" xr:uid="{683078A6-9A6A-470B-A91A-5556AFDCB665}"/>
    <cellStyle name="40% - Accent5 2 2 2 6 3" xfId="20209" xr:uid="{7C97B18D-F899-4EF7-85B9-92C9CB5C5078}"/>
    <cellStyle name="40% - Accent5 2 2 2 6 3 2" xfId="37103" xr:uid="{75E12D5C-B39D-41EE-9112-48C7D2AEE9C8}"/>
    <cellStyle name="40% - Accent5 2 2 2 6 4" xfId="11762" xr:uid="{7D5B2574-2674-42A4-BAC2-FCC729E828FD}"/>
    <cellStyle name="40% - Accent5 2 2 2 6 5" xfId="28656" xr:uid="{E4E75CC6-074F-44A8-A696-38D94A136941}"/>
    <cellStyle name="40% - Accent5 2 2 2 7" xfId="4587" xr:uid="{00000000-0005-0000-0000-000057060000}"/>
    <cellStyle name="40% - Accent5 2 2 2 7 2" xfId="22360" xr:uid="{FB652A95-F805-432C-A52D-43A359D1FB91}"/>
    <cellStyle name="40% - Accent5 2 2 2 7 2 2" xfId="39254" xr:uid="{17358D2A-215F-4C59-85F4-0650394EBF80}"/>
    <cellStyle name="40% - Accent5 2 2 2 7 3" xfId="13913" xr:uid="{6ACF2BDF-3C39-432D-A82C-DE17D465B638}"/>
    <cellStyle name="40% - Accent5 2 2 2 7 4" xfId="30807" xr:uid="{B5CDBC27-32CC-4C31-ADA8-C9C238198B10}"/>
    <cellStyle name="40% - Accent5 2 2 2 8" xfId="9112" xr:uid="{65D0CC40-E9D0-4CE3-B684-8DE4A2C7BCD7}"/>
    <cellStyle name="40% - Accent5 2 2 2 8 2" xfId="18143" xr:uid="{5DA58977-7461-45D6-B0C0-4CAA94181BD8}"/>
    <cellStyle name="40% - Accent5 2 2 2 8 3" xfId="35037" xr:uid="{B732E2C1-965B-42AA-BFD0-17745295B88F}"/>
    <cellStyle name="40% - Accent5 2 2 2 9" xfId="9696" xr:uid="{B3627767-C974-4B11-BADC-F0446D703610}"/>
    <cellStyle name="40% - Accent5 2 2 3" xfId="652" xr:uid="{00000000-0005-0000-0000-000058060000}"/>
    <cellStyle name="40% - Accent5 2 2 3 2" xfId="2923" xr:uid="{00000000-0005-0000-0000-000059060000}"/>
    <cellStyle name="40% - Accent5 2 2 3 2 2" xfId="7145" xr:uid="{00000000-0005-0000-0000-00005A060000}"/>
    <cellStyle name="40% - Accent5 2 2 3 2 2 2" xfId="24918" xr:uid="{1A773899-2A19-41A5-AA6F-E203014240A7}"/>
    <cellStyle name="40% - Accent5 2 2 3 2 2 2 2" xfId="41812" xr:uid="{4148345D-2D84-4DCD-8767-3C2D9FB29642}"/>
    <cellStyle name="40% - Accent5 2 2 3 2 2 3" xfId="16471" xr:uid="{4692B245-CACB-421A-8DD5-A6C1D1F31FC8}"/>
    <cellStyle name="40% - Accent5 2 2 3 2 2 4" xfId="33365" xr:uid="{4AA6EB34-E71F-42B5-92D1-B8FE83714DE5}"/>
    <cellStyle name="40% - Accent5 2 2 3 2 3" xfId="20701" xr:uid="{7C5BD10A-B256-49BF-BE77-8535BC732670}"/>
    <cellStyle name="40% - Accent5 2 2 3 2 3 2" xfId="37595" xr:uid="{72196034-A500-479E-86F1-B632E24C8FDA}"/>
    <cellStyle name="40% - Accent5 2 2 3 2 4" xfId="12254" xr:uid="{0618BC72-55C3-4C9E-8953-F9C23E29E18C}"/>
    <cellStyle name="40% - Accent5 2 2 3 2 5" xfId="29148" xr:uid="{4F2E8B7C-839F-4435-A147-B0DF25E9D1E4}"/>
    <cellStyle name="40% - Accent5 2 2 3 3" xfId="5000" xr:uid="{00000000-0005-0000-0000-00005B060000}"/>
    <cellStyle name="40% - Accent5 2 2 3 3 2" xfId="22773" xr:uid="{6E61C547-C050-4DFC-8421-C4BF5E9305F3}"/>
    <cellStyle name="40% - Accent5 2 2 3 3 2 2" xfId="39667" xr:uid="{1DA06D8B-2ADB-4590-A11D-D8D624D52E6E}"/>
    <cellStyle name="40% - Accent5 2 2 3 3 3" xfId="14326" xr:uid="{10C46C9B-17C9-4F94-A908-7A3E3603F065}"/>
    <cellStyle name="40% - Accent5 2 2 3 3 4" xfId="31220" xr:uid="{6D54EAA8-537E-4825-A184-D2EB6C4D6EEC}"/>
    <cellStyle name="40% - Accent5 2 2 3 4" xfId="9330" xr:uid="{75959B30-FD84-42A5-95AE-69048CCC8361}"/>
    <cellStyle name="40% - Accent5 2 2 3 4 2" xfId="18556" xr:uid="{C70E245A-B968-4D08-96AA-6ED706C7709C}"/>
    <cellStyle name="40% - Accent5 2 2 3 4 3" xfId="35450" xr:uid="{BCB6DCFB-54E9-4D9A-955E-1D13530ABFC2}"/>
    <cellStyle name="40% - Accent5 2 2 3 5" xfId="10109" xr:uid="{78E5A354-C11D-4FBD-8271-2C878A750171}"/>
    <cellStyle name="40% - Accent5 2 2 3 6" xfId="27003" xr:uid="{73D8484C-C240-4EE9-AE76-C99CAACD5B76}"/>
    <cellStyle name="40% - Accent5 2 2 4" xfId="1105" xr:uid="{00000000-0005-0000-0000-00005C060000}"/>
    <cellStyle name="40% - Accent5 2 2 4 2" xfId="3336" xr:uid="{00000000-0005-0000-0000-00005D060000}"/>
    <cellStyle name="40% - Accent5 2 2 4 2 2" xfId="7558" xr:uid="{00000000-0005-0000-0000-00005E060000}"/>
    <cellStyle name="40% - Accent5 2 2 4 2 2 2" xfId="25331" xr:uid="{B5EF5062-799D-458A-930C-2DA0967E14E9}"/>
    <cellStyle name="40% - Accent5 2 2 4 2 2 2 2" xfId="42225" xr:uid="{058C5930-7BC0-4887-929C-57D5A6AA0BA7}"/>
    <cellStyle name="40% - Accent5 2 2 4 2 2 3" xfId="16884" xr:uid="{2B4C8ED6-3982-41A3-95E7-9FD5AF557B29}"/>
    <cellStyle name="40% - Accent5 2 2 4 2 2 4" xfId="33778" xr:uid="{20EB1B67-A69B-4510-B906-E90906784179}"/>
    <cellStyle name="40% - Accent5 2 2 4 2 3" xfId="21114" xr:uid="{134E4B66-0294-41B0-A6E5-854F418D0737}"/>
    <cellStyle name="40% - Accent5 2 2 4 2 3 2" xfId="38008" xr:uid="{0B6CAD65-2F84-410F-B98C-4011A8EE2517}"/>
    <cellStyle name="40% - Accent5 2 2 4 2 4" xfId="12667" xr:uid="{8DB84912-268B-41B5-B847-510EE412F63A}"/>
    <cellStyle name="40% - Accent5 2 2 4 2 5" xfId="29561" xr:uid="{EC5D61FB-1A2D-49A0-93F9-8713813EF22C}"/>
    <cellStyle name="40% - Accent5 2 2 4 3" xfId="5413" xr:uid="{00000000-0005-0000-0000-00005F060000}"/>
    <cellStyle name="40% - Accent5 2 2 4 3 2" xfId="23186" xr:uid="{B51C10EA-3999-41B2-8800-16F63D67183D}"/>
    <cellStyle name="40% - Accent5 2 2 4 3 2 2" xfId="40080" xr:uid="{D7CB0813-AF8F-4549-A047-FCD479BDCF63}"/>
    <cellStyle name="40% - Accent5 2 2 4 3 3" xfId="14739" xr:uid="{AB835F05-0C8D-47FB-9A86-78BBA50D335E}"/>
    <cellStyle name="40% - Accent5 2 2 4 3 4" xfId="31633" xr:uid="{B6434E78-D97A-4E47-8A2A-CB5AA62418B0}"/>
    <cellStyle name="40% - Accent5 2 2 4 4" xfId="18969" xr:uid="{423F42E7-456D-4EE3-9B78-F2290DFC21D7}"/>
    <cellStyle name="40% - Accent5 2 2 4 4 2" xfId="35863" xr:uid="{96A8D168-FA74-489E-AF4A-04F9FB13C44D}"/>
    <cellStyle name="40% - Accent5 2 2 4 5" xfId="10522" xr:uid="{3BF322BA-6CF2-462D-AB7E-5F6C4B760611}"/>
    <cellStyle name="40% - Accent5 2 2 4 6" xfId="27416" xr:uid="{F5B63D38-E15A-4A04-AA58-EF6653B87947}"/>
    <cellStyle name="40% - Accent5 2 2 5" xfId="1519" xr:uid="{00000000-0005-0000-0000-000060060000}"/>
    <cellStyle name="40% - Accent5 2 2 5 2" xfId="3749" xr:uid="{00000000-0005-0000-0000-000061060000}"/>
    <cellStyle name="40% - Accent5 2 2 5 2 2" xfId="7971" xr:uid="{00000000-0005-0000-0000-000062060000}"/>
    <cellStyle name="40% - Accent5 2 2 5 2 2 2" xfId="25744" xr:uid="{3AFC95E6-4A33-4980-9FDB-645A38E12855}"/>
    <cellStyle name="40% - Accent5 2 2 5 2 2 2 2" xfId="42638" xr:uid="{95667B4D-D8B1-42CB-9D01-57AB77983490}"/>
    <cellStyle name="40% - Accent5 2 2 5 2 2 3" xfId="17297" xr:uid="{29139B32-87EF-433B-9662-07A749B3F14C}"/>
    <cellStyle name="40% - Accent5 2 2 5 2 2 4" xfId="34191" xr:uid="{F007CBEC-B3F4-4283-ACA0-A222CDC7F3C6}"/>
    <cellStyle name="40% - Accent5 2 2 5 2 3" xfId="21527" xr:uid="{AAE3B117-6FE7-4BA6-B31C-DE901722F65D}"/>
    <cellStyle name="40% - Accent5 2 2 5 2 3 2" xfId="38421" xr:uid="{EFE87267-0E8E-41FB-A3E2-0FDFC6E0D671}"/>
    <cellStyle name="40% - Accent5 2 2 5 2 4" xfId="13080" xr:uid="{952A5595-A279-4FB8-8694-C1EAD269198A}"/>
    <cellStyle name="40% - Accent5 2 2 5 2 5" xfId="29974" xr:uid="{87F84646-EB66-4854-9687-176B5DF05D9F}"/>
    <cellStyle name="40% - Accent5 2 2 5 3" xfId="5826" xr:uid="{00000000-0005-0000-0000-000063060000}"/>
    <cellStyle name="40% - Accent5 2 2 5 3 2" xfId="23599" xr:uid="{25A65160-3D89-42B9-BE50-65B68DF44334}"/>
    <cellStyle name="40% - Accent5 2 2 5 3 2 2" xfId="40493" xr:uid="{5FBB1CBB-22B5-4092-8048-16B497F04B32}"/>
    <cellStyle name="40% - Accent5 2 2 5 3 3" xfId="15152" xr:uid="{60D1BF25-9572-47BB-90DC-F19D1E54C5DB}"/>
    <cellStyle name="40% - Accent5 2 2 5 3 4" xfId="32046" xr:uid="{E74B6583-6A98-4AF5-839A-122CE986EF12}"/>
    <cellStyle name="40% - Accent5 2 2 5 4" xfId="19382" xr:uid="{9D015220-3AF6-439D-9BA1-B94338E940E6}"/>
    <cellStyle name="40% - Accent5 2 2 5 4 2" xfId="36276" xr:uid="{D2BE559F-F3F2-4259-98EA-4DF869D05B52}"/>
    <cellStyle name="40% - Accent5 2 2 5 5" xfId="10935" xr:uid="{9CD9559B-2FAB-46C1-A1CA-D5812E65ED1C}"/>
    <cellStyle name="40% - Accent5 2 2 5 6" xfId="27829" xr:uid="{64B50C58-0245-45DA-AE79-E28E329C40A7}"/>
    <cellStyle name="40% - Accent5 2 2 6" xfId="1933" xr:uid="{00000000-0005-0000-0000-000064060000}"/>
    <cellStyle name="40% - Accent5 2 2 6 2" xfId="4162" xr:uid="{00000000-0005-0000-0000-000065060000}"/>
    <cellStyle name="40% - Accent5 2 2 6 2 2" xfId="8384" xr:uid="{00000000-0005-0000-0000-000066060000}"/>
    <cellStyle name="40% - Accent5 2 2 6 2 2 2" xfId="26157" xr:uid="{AED0EF1C-B408-4ACD-AB7D-4E850426BBA8}"/>
    <cellStyle name="40% - Accent5 2 2 6 2 2 2 2" xfId="43051" xr:uid="{F06BBE55-D722-496B-B39E-C1A4C8BE9356}"/>
    <cellStyle name="40% - Accent5 2 2 6 2 2 3" xfId="17710" xr:uid="{EAF80EBF-9AEB-4620-A16B-4A40A9A1C9CC}"/>
    <cellStyle name="40% - Accent5 2 2 6 2 2 4" xfId="34604" xr:uid="{20B9364F-0EA0-4E0B-BA6A-53E1E3424DE5}"/>
    <cellStyle name="40% - Accent5 2 2 6 2 3" xfId="21940" xr:uid="{C3A5B848-69A3-4564-85A7-A5987077286F}"/>
    <cellStyle name="40% - Accent5 2 2 6 2 3 2" xfId="38834" xr:uid="{4393A79E-754C-4CA3-8E7D-003DDA6A9C20}"/>
    <cellStyle name="40% - Accent5 2 2 6 2 4" xfId="13493" xr:uid="{9432D617-9518-4B68-893C-24D1ED1AA295}"/>
    <cellStyle name="40% - Accent5 2 2 6 2 5" xfId="30387" xr:uid="{8B170CA2-0BA6-489D-84EB-5C7AC311E363}"/>
    <cellStyle name="40% - Accent5 2 2 6 3" xfId="6239" xr:uid="{00000000-0005-0000-0000-000067060000}"/>
    <cellStyle name="40% - Accent5 2 2 6 3 2" xfId="24012" xr:uid="{923D38DF-FE39-4882-94AA-DE57809B4C3E}"/>
    <cellStyle name="40% - Accent5 2 2 6 3 2 2" xfId="40906" xr:uid="{93C3A407-CAB7-4B82-AA78-58F49D7C508B}"/>
    <cellStyle name="40% - Accent5 2 2 6 3 3" xfId="15565" xr:uid="{8C97D97B-16E2-4889-9EE0-4542140530CE}"/>
    <cellStyle name="40% - Accent5 2 2 6 3 4" xfId="32459" xr:uid="{E3130217-5BFB-41F8-A959-3C70D82D79BE}"/>
    <cellStyle name="40% - Accent5 2 2 6 4" xfId="19795" xr:uid="{DE0A7FF2-1994-43EA-B585-04C654448998}"/>
    <cellStyle name="40% - Accent5 2 2 6 4 2" xfId="36689" xr:uid="{7399EC35-20B5-4036-82CC-84EBE1128173}"/>
    <cellStyle name="40% - Accent5 2 2 6 5" xfId="11348" xr:uid="{AB1A3157-C4B5-475B-9054-5D3E205B3D31}"/>
    <cellStyle name="40% - Accent5 2 2 6 6" xfId="28242" xr:uid="{B3EA8235-48A5-4D0F-AEE8-19DC7FE6B0BC}"/>
    <cellStyle name="40% - Accent5 2 2 7" xfId="2346" xr:uid="{00000000-0005-0000-0000-000068060000}"/>
    <cellStyle name="40% - Accent5 2 2 7 2" xfId="6652" xr:uid="{00000000-0005-0000-0000-000069060000}"/>
    <cellStyle name="40% - Accent5 2 2 7 2 2" xfId="24425" xr:uid="{936FDB60-3AC8-4CD3-B1E4-DBD31E5725B0}"/>
    <cellStyle name="40% - Accent5 2 2 7 2 2 2" xfId="41319" xr:uid="{CF475916-99DA-4961-8D3C-474D1E3C420E}"/>
    <cellStyle name="40% - Accent5 2 2 7 2 3" xfId="15978" xr:uid="{48414876-05F1-4C55-AC2E-91D415D19247}"/>
    <cellStyle name="40% - Accent5 2 2 7 2 4" xfId="32872" xr:uid="{E556430E-C2F7-419B-BBD6-F852CDF5C9FF}"/>
    <cellStyle name="40% - Accent5 2 2 7 3" xfId="20208" xr:uid="{BDD8D1D9-12BD-43FE-86B7-C56910022011}"/>
    <cellStyle name="40% - Accent5 2 2 7 3 2" xfId="37102" xr:uid="{2EA6754A-1036-486D-9134-F465B800758D}"/>
    <cellStyle name="40% - Accent5 2 2 7 4" xfId="11761" xr:uid="{290A31F8-3B70-4383-B87E-2D7D0227B310}"/>
    <cellStyle name="40% - Accent5 2 2 7 5" xfId="28655" xr:uid="{C596F54A-3948-41E8-B1A7-38589889AB40}"/>
    <cellStyle name="40% - Accent5 2 2 8" xfId="4586" xr:uid="{00000000-0005-0000-0000-00006A060000}"/>
    <cellStyle name="40% - Accent5 2 2 8 2" xfId="22359" xr:uid="{D5A19F9B-1FBE-4F97-BE04-EE493A47B878}"/>
    <cellStyle name="40% - Accent5 2 2 8 2 2" xfId="39253" xr:uid="{D5F32F77-F035-44C1-A6E8-5B3B9C7C4F53}"/>
    <cellStyle name="40% - Accent5 2 2 8 3" xfId="13912" xr:uid="{AF68FEAD-4556-487B-940E-B0D6A64CFCAF}"/>
    <cellStyle name="40% - Accent5 2 2 8 4" xfId="30806" xr:uid="{89814714-9A8F-4590-8F38-671F188157AD}"/>
    <cellStyle name="40% - Accent5 2 2 9" xfId="8905" xr:uid="{3B48B2AE-2C2B-47FB-A8F4-43FECCDBCFEF}"/>
    <cellStyle name="40% - Accent5 2 2 9 2" xfId="18142" xr:uid="{2AD4C2CF-6806-4D6A-B016-58A92C5AF38B}"/>
    <cellStyle name="40% - Accent5 2 2 9 3" xfId="35036" xr:uid="{BA177146-C94B-49A4-904A-E248E37C95A5}"/>
    <cellStyle name="40% - Accent5 2 3" xfId="85" xr:uid="{00000000-0005-0000-0000-00006B060000}"/>
    <cellStyle name="40% - Accent5 2 3 10" xfId="26591" xr:uid="{0AFD7C12-6807-4484-AE2C-C857F0AF598C}"/>
    <cellStyle name="40% - Accent5 2 3 2" xfId="654" xr:uid="{00000000-0005-0000-0000-00006C060000}"/>
    <cellStyle name="40% - Accent5 2 3 2 2" xfId="2925" xr:uid="{00000000-0005-0000-0000-00006D060000}"/>
    <cellStyle name="40% - Accent5 2 3 2 2 2" xfId="7147" xr:uid="{00000000-0005-0000-0000-00006E060000}"/>
    <cellStyle name="40% - Accent5 2 3 2 2 2 2" xfId="24920" xr:uid="{3E40CD0E-E3F7-4FEF-B4BA-8BCC636808B6}"/>
    <cellStyle name="40% - Accent5 2 3 2 2 2 2 2" xfId="41814" xr:uid="{84627905-7DF1-4179-AE24-A87D85AA05D8}"/>
    <cellStyle name="40% - Accent5 2 3 2 2 2 3" xfId="16473" xr:uid="{A9F38157-F19E-4429-867D-2E817D87682D}"/>
    <cellStyle name="40% - Accent5 2 3 2 2 2 4" xfId="33367" xr:uid="{12914541-0250-4C3A-8DC3-0340DF393D62}"/>
    <cellStyle name="40% - Accent5 2 3 2 2 3" xfId="20703" xr:uid="{D6E1A597-FC7E-43E5-8184-B749EADC7128}"/>
    <cellStyle name="40% - Accent5 2 3 2 2 3 2" xfId="37597" xr:uid="{64CA7279-7341-42DF-82C1-368B675364E5}"/>
    <cellStyle name="40% - Accent5 2 3 2 2 4" xfId="12256" xr:uid="{87B7D1B0-381E-458A-A6BD-A8DBCE3DB5A4}"/>
    <cellStyle name="40% - Accent5 2 3 2 2 5" xfId="29150" xr:uid="{063BAB2C-E066-47C2-AA95-CBE284E13785}"/>
    <cellStyle name="40% - Accent5 2 3 2 3" xfId="5002" xr:uid="{00000000-0005-0000-0000-00006F060000}"/>
    <cellStyle name="40% - Accent5 2 3 2 3 2" xfId="22775" xr:uid="{5012145B-DA22-47D3-B161-D16DB4731E1D}"/>
    <cellStyle name="40% - Accent5 2 3 2 3 2 2" xfId="39669" xr:uid="{39637860-4317-488F-A598-C79B9C54AC5C}"/>
    <cellStyle name="40% - Accent5 2 3 2 3 3" xfId="14328" xr:uid="{701B6DB7-DC17-4175-9F38-C2A6322A925C}"/>
    <cellStyle name="40% - Accent5 2 3 2 3 4" xfId="31222" xr:uid="{7D334CFC-327D-441D-AC5F-92E496C0BDDC}"/>
    <cellStyle name="40% - Accent5 2 3 2 4" xfId="9434" xr:uid="{512EAA64-F150-4B15-8534-EB34D6D41408}"/>
    <cellStyle name="40% - Accent5 2 3 2 4 2" xfId="18558" xr:uid="{BB9325D4-8D65-4706-951F-DB035801128F}"/>
    <cellStyle name="40% - Accent5 2 3 2 4 3" xfId="35452" xr:uid="{BD842177-DE79-4121-B0F4-5E028E8B9859}"/>
    <cellStyle name="40% - Accent5 2 3 2 5" xfId="10111" xr:uid="{505D828F-84D7-437B-ADAB-12CB824DCA66}"/>
    <cellStyle name="40% - Accent5 2 3 2 6" xfId="27005" xr:uid="{18F8C3A8-EE92-42F1-A192-4171228E6E3D}"/>
    <cellStyle name="40% - Accent5 2 3 3" xfId="1107" xr:uid="{00000000-0005-0000-0000-000070060000}"/>
    <cellStyle name="40% - Accent5 2 3 3 2" xfId="3338" xr:uid="{00000000-0005-0000-0000-000071060000}"/>
    <cellStyle name="40% - Accent5 2 3 3 2 2" xfId="7560" xr:uid="{00000000-0005-0000-0000-000072060000}"/>
    <cellStyle name="40% - Accent5 2 3 3 2 2 2" xfId="25333" xr:uid="{8C7FBDDF-EF11-4438-958C-2012B273270E}"/>
    <cellStyle name="40% - Accent5 2 3 3 2 2 2 2" xfId="42227" xr:uid="{CE20FB0B-78D2-4651-BD24-756233DFA4C3}"/>
    <cellStyle name="40% - Accent5 2 3 3 2 2 3" xfId="16886" xr:uid="{94A95018-BDD8-4EF5-90ED-52A71AF23C21}"/>
    <cellStyle name="40% - Accent5 2 3 3 2 2 4" xfId="33780" xr:uid="{FA86DECC-3DCC-4B7C-A9D6-A225D742CEE5}"/>
    <cellStyle name="40% - Accent5 2 3 3 2 3" xfId="21116" xr:uid="{D1080494-6D0F-4197-8223-449301D40DA2}"/>
    <cellStyle name="40% - Accent5 2 3 3 2 3 2" xfId="38010" xr:uid="{98D3F662-BF85-44B1-8CD0-65D42B74D267}"/>
    <cellStyle name="40% - Accent5 2 3 3 2 4" xfId="12669" xr:uid="{206DC972-B5B9-4E86-9FE0-0557E76B0D7D}"/>
    <cellStyle name="40% - Accent5 2 3 3 2 5" xfId="29563" xr:uid="{8409A87F-D82A-4317-998B-0D3640E522B2}"/>
    <cellStyle name="40% - Accent5 2 3 3 3" xfId="5415" xr:uid="{00000000-0005-0000-0000-000073060000}"/>
    <cellStyle name="40% - Accent5 2 3 3 3 2" xfId="23188" xr:uid="{9E4F4F8C-F390-4561-9045-9564DB69EB42}"/>
    <cellStyle name="40% - Accent5 2 3 3 3 2 2" xfId="40082" xr:uid="{B4C45E70-3A66-43E5-86BF-03DB44556029}"/>
    <cellStyle name="40% - Accent5 2 3 3 3 3" xfId="14741" xr:uid="{41A7756C-F0F9-4E0F-84F2-8F06D634A004}"/>
    <cellStyle name="40% - Accent5 2 3 3 3 4" xfId="31635" xr:uid="{92FA8BE7-E68B-40AD-8118-17CA45CB01CA}"/>
    <cellStyle name="40% - Accent5 2 3 3 4" xfId="18971" xr:uid="{795B254F-D965-4A30-B376-CCC2C301B3F8}"/>
    <cellStyle name="40% - Accent5 2 3 3 4 2" xfId="35865" xr:uid="{02BFBF44-666B-4ACC-ACF4-222FD3004E5D}"/>
    <cellStyle name="40% - Accent5 2 3 3 5" xfId="10524" xr:uid="{E7E9749B-C6DB-417A-9666-A4B72E7E4D98}"/>
    <cellStyle name="40% - Accent5 2 3 3 6" xfId="27418" xr:uid="{9F8AEF3C-18BD-4788-A4A4-5C0BF383777D}"/>
    <cellStyle name="40% - Accent5 2 3 4" xfId="1521" xr:uid="{00000000-0005-0000-0000-000074060000}"/>
    <cellStyle name="40% - Accent5 2 3 4 2" xfId="3751" xr:uid="{00000000-0005-0000-0000-000075060000}"/>
    <cellStyle name="40% - Accent5 2 3 4 2 2" xfId="7973" xr:uid="{00000000-0005-0000-0000-000076060000}"/>
    <cellStyle name="40% - Accent5 2 3 4 2 2 2" xfId="25746" xr:uid="{60498B6C-DDCE-44D6-836B-128DF5E1BC61}"/>
    <cellStyle name="40% - Accent5 2 3 4 2 2 2 2" xfId="42640" xr:uid="{7942C8D8-6D85-4803-A97A-F304FC498BDB}"/>
    <cellStyle name="40% - Accent5 2 3 4 2 2 3" xfId="17299" xr:uid="{DF8E6D90-F0CF-45CD-B642-923E29D9B694}"/>
    <cellStyle name="40% - Accent5 2 3 4 2 2 4" xfId="34193" xr:uid="{7A1E0140-9260-4909-B7D8-221817864741}"/>
    <cellStyle name="40% - Accent5 2 3 4 2 3" xfId="21529" xr:uid="{9A0FB1D9-3A2C-4D4B-A941-88933DF533E1}"/>
    <cellStyle name="40% - Accent5 2 3 4 2 3 2" xfId="38423" xr:uid="{0DD0AF4F-4224-4EEC-A063-E25E8A6B5B1A}"/>
    <cellStyle name="40% - Accent5 2 3 4 2 4" xfId="13082" xr:uid="{2C4DF647-1F31-494C-9955-4E1FC45DB97D}"/>
    <cellStyle name="40% - Accent5 2 3 4 2 5" xfId="29976" xr:uid="{F885E05C-1F5D-478E-B1F3-DA7B6804C478}"/>
    <cellStyle name="40% - Accent5 2 3 4 3" xfId="5828" xr:uid="{00000000-0005-0000-0000-000077060000}"/>
    <cellStyle name="40% - Accent5 2 3 4 3 2" xfId="23601" xr:uid="{A23D625C-DFD6-4606-AEA1-AC6339971CEB}"/>
    <cellStyle name="40% - Accent5 2 3 4 3 2 2" xfId="40495" xr:uid="{4959D85B-375F-466B-B6E9-9AEFFC5AE59A}"/>
    <cellStyle name="40% - Accent5 2 3 4 3 3" xfId="15154" xr:uid="{6BDB688B-C4BF-4D9F-BD2B-D34152ED76EF}"/>
    <cellStyle name="40% - Accent5 2 3 4 3 4" xfId="32048" xr:uid="{0E0295E4-8917-4163-8E12-BB653B67BA9E}"/>
    <cellStyle name="40% - Accent5 2 3 4 4" xfId="19384" xr:uid="{74F661D1-30C9-4F41-81DD-C309C24E1C3E}"/>
    <cellStyle name="40% - Accent5 2 3 4 4 2" xfId="36278" xr:uid="{48330861-3D91-4C85-97C7-39891A7EDC82}"/>
    <cellStyle name="40% - Accent5 2 3 4 5" xfId="10937" xr:uid="{BC1C45FC-E8F7-4CF3-9D00-4D94B0BA25C8}"/>
    <cellStyle name="40% - Accent5 2 3 4 6" xfId="27831" xr:uid="{6F2EAE7D-ADE7-42CE-B62B-45D563773C03}"/>
    <cellStyle name="40% - Accent5 2 3 5" xfId="1935" xr:uid="{00000000-0005-0000-0000-000078060000}"/>
    <cellStyle name="40% - Accent5 2 3 5 2" xfId="4164" xr:uid="{00000000-0005-0000-0000-000079060000}"/>
    <cellStyle name="40% - Accent5 2 3 5 2 2" xfId="8386" xr:uid="{00000000-0005-0000-0000-00007A060000}"/>
    <cellStyle name="40% - Accent5 2 3 5 2 2 2" xfId="26159" xr:uid="{C4B5F1F3-2C06-47B2-9AFD-94614CA53AEF}"/>
    <cellStyle name="40% - Accent5 2 3 5 2 2 2 2" xfId="43053" xr:uid="{B9E8A54B-1827-4BB0-A361-3DF3E7965FED}"/>
    <cellStyle name="40% - Accent5 2 3 5 2 2 3" xfId="17712" xr:uid="{C83F888E-DFA0-4799-9BB9-140EE09819C1}"/>
    <cellStyle name="40% - Accent5 2 3 5 2 2 4" xfId="34606" xr:uid="{997F1C98-3891-48E9-A67A-53F80B81ACBC}"/>
    <cellStyle name="40% - Accent5 2 3 5 2 3" xfId="21942" xr:uid="{26CCC1EE-38E0-466F-A732-62BC0055FD88}"/>
    <cellStyle name="40% - Accent5 2 3 5 2 3 2" xfId="38836" xr:uid="{941E357E-05F3-4F62-9B94-9344AF6F6393}"/>
    <cellStyle name="40% - Accent5 2 3 5 2 4" xfId="13495" xr:uid="{78DD4033-5E41-4A8C-AA49-BCB488F54826}"/>
    <cellStyle name="40% - Accent5 2 3 5 2 5" xfId="30389" xr:uid="{D19702BE-EB14-412E-A9DD-E5C60962397A}"/>
    <cellStyle name="40% - Accent5 2 3 5 3" xfId="6241" xr:uid="{00000000-0005-0000-0000-00007B060000}"/>
    <cellStyle name="40% - Accent5 2 3 5 3 2" xfId="24014" xr:uid="{7F490B00-58CA-4AE1-9337-D6E14DB6387D}"/>
    <cellStyle name="40% - Accent5 2 3 5 3 2 2" xfId="40908" xr:uid="{0E84A448-614A-4687-B902-0F03899F5650}"/>
    <cellStyle name="40% - Accent5 2 3 5 3 3" xfId="15567" xr:uid="{AE93A2CB-C053-4149-B4F1-08493875489B}"/>
    <cellStyle name="40% - Accent5 2 3 5 3 4" xfId="32461" xr:uid="{209349E7-D233-400A-8139-1561F3249884}"/>
    <cellStyle name="40% - Accent5 2 3 5 4" xfId="19797" xr:uid="{360F3283-9A7E-4EF3-8064-ECBFFDC33581}"/>
    <cellStyle name="40% - Accent5 2 3 5 4 2" xfId="36691" xr:uid="{324DEBAA-4E13-4E59-AE97-88B077443CB9}"/>
    <cellStyle name="40% - Accent5 2 3 5 5" xfId="11350" xr:uid="{2D51C9CF-44FE-4FB4-91BA-3F785338E920}"/>
    <cellStyle name="40% - Accent5 2 3 5 6" xfId="28244" xr:uid="{46EFABAE-AB2C-44F2-9393-AA677FE78791}"/>
    <cellStyle name="40% - Accent5 2 3 6" xfId="2348" xr:uid="{00000000-0005-0000-0000-00007C060000}"/>
    <cellStyle name="40% - Accent5 2 3 6 2" xfId="6654" xr:uid="{00000000-0005-0000-0000-00007D060000}"/>
    <cellStyle name="40% - Accent5 2 3 6 2 2" xfId="24427" xr:uid="{291ACD96-8DB5-4173-AE57-3B167BEF74B0}"/>
    <cellStyle name="40% - Accent5 2 3 6 2 2 2" xfId="41321" xr:uid="{3FBF109C-A6BD-47B6-96E5-49B652BA19A1}"/>
    <cellStyle name="40% - Accent5 2 3 6 2 3" xfId="15980" xr:uid="{7BD85BF7-E65A-424F-89B5-6735D6DD6D79}"/>
    <cellStyle name="40% - Accent5 2 3 6 2 4" xfId="32874" xr:uid="{E774A0ED-EE06-4F5C-BCD7-9A83DB4CE114}"/>
    <cellStyle name="40% - Accent5 2 3 6 3" xfId="20210" xr:uid="{CDE07616-552F-4E8A-9A2E-DB7771380168}"/>
    <cellStyle name="40% - Accent5 2 3 6 3 2" xfId="37104" xr:uid="{8761D22C-B972-42D8-A67C-6DEB4C0EA59E}"/>
    <cellStyle name="40% - Accent5 2 3 6 4" xfId="11763" xr:uid="{03E02DA9-B273-4144-9C63-D70A6475072C}"/>
    <cellStyle name="40% - Accent5 2 3 6 5" xfId="28657" xr:uid="{3E38EFF6-AF55-493F-ABFD-2E46AB75CE07}"/>
    <cellStyle name="40% - Accent5 2 3 7" xfId="4588" xr:uid="{00000000-0005-0000-0000-00007E060000}"/>
    <cellStyle name="40% - Accent5 2 3 7 2" xfId="22361" xr:uid="{F084596C-D939-4FA1-829A-F604FF1C48FD}"/>
    <cellStyle name="40% - Accent5 2 3 7 2 2" xfId="39255" xr:uid="{F829BBED-68A4-45C9-A019-9B2256D37849}"/>
    <cellStyle name="40% - Accent5 2 3 7 3" xfId="13914" xr:uid="{D983C2D0-25C1-4420-A590-4E70A12AD937}"/>
    <cellStyle name="40% - Accent5 2 3 7 4" xfId="30808" xr:uid="{E67BB839-7E10-41DF-B333-C62881E7C150}"/>
    <cellStyle name="40% - Accent5 2 3 8" xfId="9009" xr:uid="{DE8B6E41-761F-4ED0-BA8A-00A6A898A2FC}"/>
    <cellStyle name="40% - Accent5 2 3 8 2" xfId="18144" xr:uid="{221499D7-827A-4029-9F87-27ED29C17550}"/>
    <cellStyle name="40% - Accent5 2 3 8 3" xfId="35038" xr:uid="{BDFB1B0B-6213-4400-963D-7CE1F9E5EAA8}"/>
    <cellStyle name="40% - Accent5 2 3 9" xfId="9697" xr:uid="{6D886D81-4AB0-4A54-A605-5ECBE6EDB071}"/>
    <cellStyle name="40% - Accent5 2 4" xfId="651" xr:uid="{00000000-0005-0000-0000-00007F060000}"/>
    <cellStyle name="40% - Accent5 2 4 2" xfId="2922" xr:uid="{00000000-0005-0000-0000-000080060000}"/>
    <cellStyle name="40% - Accent5 2 4 2 2" xfId="7144" xr:uid="{00000000-0005-0000-0000-000081060000}"/>
    <cellStyle name="40% - Accent5 2 4 2 2 2" xfId="24917" xr:uid="{9C2E908D-6F15-44C6-97A2-2901C12451DE}"/>
    <cellStyle name="40% - Accent5 2 4 2 2 2 2" xfId="41811" xr:uid="{BE5F7E74-4910-4A23-A768-5C85740D94D6}"/>
    <cellStyle name="40% - Accent5 2 4 2 2 3" xfId="16470" xr:uid="{EC8F05D5-8B0F-43E7-A210-C2E2CA4A44A0}"/>
    <cellStyle name="40% - Accent5 2 4 2 2 4" xfId="33364" xr:uid="{44863D49-5DF8-4396-B361-D8FB30D25470}"/>
    <cellStyle name="40% - Accent5 2 4 2 3" xfId="20700" xr:uid="{635C2A53-10B8-432F-8D8F-C2BBFD68168C}"/>
    <cellStyle name="40% - Accent5 2 4 2 3 2" xfId="37594" xr:uid="{D35F6B80-74B5-4D53-9C39-66E826E67060}"/>
    <cellStyle name="40% - Accent5 2 4 2 4" xfId="12253" xr:uid="{6EAD57BB-C8EB-4CA4-92C7-6759487A4AEA}"/>
    <cellStyle name="40% - Accent5 2 4 2 5" xfId="29147" xr:uid="{8BA8BF07-4485-4877-AE06-BB83CF5112B8}"/>
    <cellStyle name="40% - Accent5 2 4 3" xfId="4999" xr:uid="{00000000-0005-0000-0000-000082060000}"/>
    <cellStyle name="40% - Accent5 2 4 3 2" xfId="22772" xr:uid="{5D3B110F-C594-45DA-A843-184A7123900E}"/>
    <cellStyle name="40% - Accent5 2 4 3 2 2" xfId="39666" xr:uid="{35E90BA1-BD24-414B-BDB7-C4D5C6FF3326}"/>
    <cellStyle name="40% - Accent5 2 4 3 3" xfId="14325" xr:uid="{F1C61DE5-4736-4909-BC4D-7D4BFBCC3333}"/>
    <cellStyle name="40% - Accent5 2 4 3 4" xfId="31219" xr:uid="{003A5486-CD1F-4DC6-9EAD-84FBF34AAAB8}"/>
    <cellStyle name="40% - Accent5 2 4 4" xfId="9226" xr:uid="{6A688709-D29B-458C-973B-231279FAFEF5}"/>
    <cellStyle name="40% - Accent5 2 4 4 2" xfId="18555" xr:uid="{BC3D2C03-9F65-4D9B-91E8-8687B7265397}"/>
    <cellStyle name="40% - Accent5 2 4 4 3" xfId="35449" xr:uid="{D92039C1-B9E0-4882-83BF-E956F26E42AE}"/>
    <cellStyle name="40% - Accent5 2 4 5" xfId="10108" xr:uid="{800EE61C-99B8-4DE4-8C77-41442C5F314A}"/>
    <cellStyle name="40% - Accent5 2 4 6" xfId="27002" xr:uid="{D710CD7C-0F5E-46B5-B120-2A9E90966410}"/>
    <cellStyle name="40% - Accent5 2 5" xfId="1104" xr:uid="{00000000-0005-0000-0000-000083060000}"/>
    <cellStyle name="40% - Accent5 2 5 2" xfId="3335" xr:uid="{00000000-0005-0000-0000-000084060000}"/>
    <cellStyle name="40% - Accent5 2 5 2 2" xfId="7557" xr:uid="{00000000-0005-0000-0000-000085060000}"/>
    <cellStyle name="40% - Accent5 2 5 2 2 2" xfId="25330" xr:uid="{84A1E341-66E7-4241-AF8B-2B32C6947031}"/>
    <cellStyle name="40% - Accent5 2 5 2 2 2 2" xfId="42224" xr:uid="{D9D12180-E425-42F9-B533-3CFA71C7E802}"/>
    <cellStyle name="40% - Accent5 2 5 2 2 3" xfId="16883" xr:uid="{093D6EEE-29F8-45F7-90A5-850832E0AA43}"/>
    <cellStyle name="40% - Accent5 2 5 2 2 4" xfId="33777" xr:uid="{BD106DC0-B833-47EE-B349-7C0050A8E4FF}"/>
    <cellStyle name="40% - Accent5 2 5 2 3" xfId="21113" xr:uid="{40F72EFE-C7E0-44D4-8BA6-B81C95C4229B}"/>
    <cellStyle name="40% - Accent5 2 5 2 3 2" xfId="38007" xr:uid="{4227652E-32EE-4BAD-88EE-46091F46A89A}"/>
    <cellStyle name="40% - Accent5 2 5 2 4" xfId="12666" xr:uid="{DB339C9C-862A-4D89-A827-2A2C4E14A435}"/>
    <cellStyle name="40% - Accent5 2 5 2 5" xfId="29560" xr:uid="{D3D1E9BF-320E-493F-9B71-7DF33F4A35AF}"/>
    <cellStyle name="40% - Accent5 2 5 3" xfId="5412" xr:uid="{00000000-0005-0000-0000-000086060000}"/>
    <cellStyle name="40% - Accent5 2 5 3 2" xfId="23185" xr:uid="{D3633C40-B743-4E51-8AA0-DC88B92592D2}"/>
    <cellStyle name="40% - Accent5 2 5 3 2 2" xfId="40079" xr:uid="{C239DCC7-358F-4F97-A09B-CB6FCA99D16E}"/>
    <cellStyle name="40% - Accent5 2 5 3 3" xfId="14738" xr:uid="{33910868-3C30-4CF0-A4B2-311F00FB5BEA}"/>
    <cellStyle name="40% - Accent5 2 5 3 4" xfId="31632" xr:uid="{0235C7BF-DF92-4A9D-9780-FF24EA05E216}"/>
    <cellStyle name="40% - Accent5 2 5 4" xfId="18968" xr:uid="{FA5D96B8-3656-4D27-85D0-7443D8245544}"/>
    <cellStyle name="40% - Accent5 2 5 4 2" xfId="35862" xr:uid="{77CBD958-3C11-4329-8A70-99BAFF20082F}"/>
    <cellStyle name="40% - Accent5 2 5 5" xfId="10521" xr:uid="{2BA8C9C1-C64D-4C82-AE19-322D34327AC8}"/>
    <cellStyle name="40% - Accent5 2 5 6" xfId="27415" xr:uid="{68F283DF-2BDE-46BB-99F0-86D7DB5C9B16}"/>
    <cellStyle name="40% - Accent5 2 6" xfId="1518" xr:uid="{00000000-0005-0000-0000-000087060000}"/>
    <cellStyle name="40% - Accent5 2 6 2" xfId="3748" xr:uid="{00000000-0005-0000-0000-000088060000}"/>
    <cellStyle name="40% - Accent5 2 6 2 2" xfId="7970" xr:uid="{00000000-0005-0000-0000-000089060000}"/>
    <cellStyle name="40% - Accent5 2 6 2 2 2" xfId="25743" xr:uid="{E0DB926B-871D-4810-A70F-7F981184E34C}"/>
    <cellStyle name="40% - Accent5 2 6 2 2 2 2" xfId="42637" xr:uid="{813233E8-E393-4574-9DFC-F4239C7CF85D}"/>
    <cellStyle name="40% - Accent5 2 6 2 2 3" xfId="17296" xr:uid="{A4A9F934-76A4-401B-BD35-0C69E73E8920}"/>
    <cellStyle name="40% - Accent5 2 6 2 2 4" xfId="34190" xr:uid="{1EFAE0E9-B49C-47E4-A866-E814CEB2CFE8}"/>
    <cellStyle name="40% - Accent5 2 6 2 3" xfId="21526" xr:uid="{F730EC37-0AAD-47B1-B5D4-AAD7E9F80C46}"/>
    <cellStyle name="40% - Accent5 2 6 2 3 2" xfId="38420" xr:uid="{D1157366-1D0A-442A-B2D6-56C79F01BD6E}"/>
    <cellStyle name="40% - Accent5 2 6 2 4" xfId="13079" xr:uid="{A4A593AF-8455-4E6F-8845-5E494A6F80E2}"/>
    <cellStyle name="40% - Accent5 2 6 2 5" xfId="29973" xr:uid="{8177BD08-2192-4E6D-AFE2-146AA281F640}"/>
    <cellStyle name="40% - Accent5 2 6 3" xfId="5825" xr:uid="{00000000-0005-0000-0000-00008A060000}"/>
    <cellStyle name="40% - Accent5 2 6 3 2" xfId="23598" xr:uid="{BB62C262-449C-4447-96F1-065C3FF33BF7}"/>
    <cellStyle name="40% - Accent5 2 6 3 2 2" xfId="40492" xr:uid="{613094CB-5849-42AD-A669-046E587E74E6}"/>
    <cellStyle name="40% - Accent5 2 6 3 3" xfId="15151" xr:uid="{2396B397-C498-4F58-89AA-4072693D0998}"/>
    <cellStyle name="40% - Accent5 2 6 3 4" xfId="32045" xr:uid="{CD888FB3-5A4D-4FD2-8296-3D5EE2DB4C0E}"/>
    <cellStyle name="40% - Accent5 2 6 4" xfId="19381" xr:uid="{F69A3A99-A361-4487-B282-79ED44475C96}"/>
    <cellStyle name="40% - Accent5 2 6 4 2" xfId="36275" xr:uid="{9C9A8818-6B94-4F1C-AFA8-2DA5F6222072}"/>
    <cellStyle name="40% - Accent5 2 6 5" xfId="10934" xr:uid="{4AD2D662-2976-4AEA-A548-654040B3B6A2}"/>
    <cellStyle name="40% - Accent5 2 6 6" xfId="27828" xr:uid="{C344535E-5992-44C8-B882-E86FAF1FAC83}"/>
    <cellStyle name="40% - Accent5 2 7" xfId="1932" xr:uid="{00000000-0005-0000-0000-00008B060000}"/>
    <cellStyle name="40% - Accent5 2 7 2" xfId="4161" xr:uid="{00000000-0005-0000-0000-00008C060000}"/>
    <cellStyle name="40% - Accent5 2 7 2 2" xfId="8383" xr:uid="{00000000-0005-0000-0000-00008D060000}"/>
    <cellStyle name="40% - Accent5 2 7 2 2 2" xfId="26156" xr:uid="{F1F8131E-1EF1-448F-B7A5-88B3ADC043F6}"/>
    <cellStyle name="40% - Accent5 2 7 2 2 2 2" xfId="43050" xr:uid="{F35D0753-967D-45C3-8218-7D38E7F7AC56}"/>
    <cellStyle name="40% - Accent5 2 7 2 2 3" xfId="17709" xr:uid="{D289BEFF-75FC-45C4-9453-56084E29CDDF}"/>
    <cellStyle name="40% - Accent5 2 7 2 2 4" xfId="34603" xr:uid="{06062D4C-43DD-41A1-81DF-C82088D76F36}"/>
    <cellStyle name="40% - Accent5 2 7 2 3" xfId="21939" xr:uid="{00FD29EE-6A8F-4F78-A4D5-3D8A022FC6E9}"/>
    <cellStyle name="40% - Accent5 2 7 2 3 2" xfId="38833" xr:uid="{72A10B35-3555-45CB-9A4F-6A79C118F0A5}"/>
    <cellStyle name="40% - Accent5 2 7 2 4" xfId="13492" xr:uid="{44A31364-D8DE-4585-A2F5-832BF33D67CE}"/>
    <cellStyle name="40% - Accent5 2 7 2 5" xfId="30386" xr:uid="{D4864C0E-11B1-444F-8DB6-B8D8D3A68950}"/>
    <cellStyle name="40% - Accent5 2 7 3" xfId="6238" xr:uid="{00000000-0005-0000-0000-00008E060000}"/>
    <cellStyle name="40% - Accent5 2 7 3 2" xfId="24011" xr:uid="{7BC22D2F-891C-4135-8C3B-942999A12D33}"/>
    <cellStyle name="40% - Accent5 2 7 3 2 2" xfId="40905" xr:uid="{E50CE586-83BC-430A-B859-C3BDBEC356C5}"/>
    <cellStyle name="40% - Accent5 2 7 3 3" xfId="15564" xr:uid="{3749993D-4BF5-4299-9E3A-20511A6C458E}"/>
    <cellStyle name="40% - Accent5 2 7 3 4" xfId="32458" xr:uid="{B3FA56F9-8D84-48DA-90C7-9FF47B51E394}"/>
    <cellStyle name="40% - Accent5 2 7 4" xfId="19794" xr:uid="{50B72635-9D9D-4489-8673-A3C99CC116F9}"/>
    <cellStyle name="40% - Accent5 2 7 4 2" xfId="36688" xr:uid="{882B5D5C-0749-4B7D-BDA0-0EB1BC3F63E0}"/>
    <cellStyle name="40% - Accent5 2 7 5" xfId="11347" xr:uid="{5A4F5615-7AC6-4C92-9A64-7CAA4B307C63}"/>
    <cellStyle name="40% - Accent5 2 7 6" xfId="28241" xr:uid="{1C5B746D-9AF1-42F7-87E4-773D64A86EE8}"/>
    <cellStyle name="40% - Accent5 2 8" xfId="2345" xr:uid="{00000000-0005-0000-0000-00008F060000}"/>
    <cellStyle name="40% - Accent5 2 8 2" xfId="6651" xr:uid="{00000000-0005-0000-0000-000090060000}"/>
    <cellStyle name="40% - Accent5 2 8 2 2" xfId="24424" xr:uid="{EF4CA717-CECD-4FAB-B6D8-F71C856D632A}"/>
    <cellStyle name="40% - Accent5 2 8 2 2 2" xfId="41318" xr:uid="{10D2EFB2-6B9A-40BC-A620-747EBEB22CB5}"/>
    <cellStyle name="40% - Accent5 2 8 2 3" xfId="15977" xr:uid="{804AE9B3-0BAC-4486-A0DB-1A6567953E32}"/>
    <cellStyle name="40% - Accent5 2 8 2 4" xfId="32871" xr:uid="{FA2FBA61-94A1-4950-8DC0-6FF439E66B22}"/>
    <cellStyle name="40% - Accent5 2 8 3" xfId="20207" xr:uid="{1DA1EF42-2A4F-4394-9207-75214D74DE83}"/>
    <cellStyle name="40% - Accent5 2 8 3 2" xfId="37101" xr:uid="{4DC80011-82BA-486E-B69B-23063321AC22}"/>
    <cellStyle name="40% - Accent5 2 8 4" xfId="11760" xr:uid="{06308078-8319-462F-9A0B-0C652B85E0DA}"/>
    <cellStyle name="40% - Accent5 2 8 5" xfId="28654" xr:uid="{336B418F-28DB-4C2B-AFB2-476ED221A13B}"/>
    <cellStyle name="40% - Accent5 2 9" xfId="4585" xr:uid="{00000000-0005-0000-0000-000091060000}"/>
    <cellStyle name="40% - Accent5 2 9 2" xfId="22358" xr:uid="{1740B3AD-9A29-4858-B0A1-0097F3055F59}"/>
    <cellStyle name="40% - Accent5 2 9 2 2" xfId="39252" xr:uid="{5AEA947F-E77E-4A42-B247-559D66B3BCA7}"/>
    <cellStyle name="40% - Accent5 2 9 3" xfId="13911" xr:uid="{C5DD3691-3079-40D3-AC28-F97CF627FCBD}"/>
    <cellStyle name="40% - Accent5 2 9 4" xfId="30805" xr:uid="{DBDC7EAD-2692-4BE7-B46C-7064B1EB98E1}"/>
    <cellStyle name="40% - Accent5 3" xfId="86" xr:uid="{00000000-0005-0000-0000-000092060000}"/>
    <cellStyle name="40% - Accent5 3 10" xfId="9698" xr:uid="{29E8E450-FF47-4952-BBFE-A737C7897BBE}"/>
    <cellStyle name="40% - Accent5 3 11" xfId="26592" xr:uid="{DFE46FA8-C17F-4DDD-9B50-6E2EE60F9293}"/>
    <cellStyle name="40% - Accent5 3 2" xfId="87" xr:uid="{00000000-0005-0000-0000-000093060000}"/>
    <cellStyle name="40% - Accent5 3 2 10" xfId="26593" xr:uid="{A6A5E1A8-0B97-4FDB-B333-825ACB5756EC}"/>
    <cellStyle name="40% - Accent5 3 2 2" xfId="656" xr:uid="{00000000-0005-0000-0000-000094060000}"/>
    <cellStyle name="40% - Accent5 3 2 2 2" xfId="2927" xr:uid="{00000000-0005-0000-0000-000095060000}"/>
    <cellStyle name="40% - Accent5 3 2 2 2 2" xfId="7149" xr:uid="{00000000-0005-0000-0000-000096060000}"/>
    <cellStyle name="40% - Accent5 3 2 2 2 2 2" xfId="24922" xr:uid="{3A65EA9C-684F-4E94-AB04-E7FE6E5B639F}"/>
    <cellStyle name="40% - Accent5 3 2 2 2 2 2 2" xfId="41816" xr:uid="{94086FAF-331F-47FF-88FC-62A89E113D98}"/>
    <cellStyle name="40% - Accent5 3 2 2 2 2 3" xfId="16475" xr:uid="{6CFF5488-A545-44CC-9866-22FB975E5293}"/>
    <cellStyle name="40% - Accent5 3 2 2 2 2 4" xfId="33369" xr:uid="{C4315392-439E-4CEC-967B-44FC640FEC8E}"/>
    <cellStyle name="40% - Accent5 3 2 2 2 3" xfId="20705" xr:uid="{18D3B354-FAE7-49CB-9E1E-0C44470061EB}"/>
    <cellStyle name="40% - Accent5 3 2 2 2 3 2" xfId="37599" xr:uid="{96BDB3A6-4F3B-48D7-9D5C-C1CAF296D2DC}"/>
    <cellStyle name="40% - Accent5 3 2 2 2 4" xfId="12258" xr:uid="{3B9A4B0C-BD00-4C32-9121-2576B798588B}"/>
    <cellStyle name="40% - Accent5 3 2 2 2 5" xfId="29152" xr:uid="{1519F88A-801A-425F-9ACE-F6BE974E7A4F}"/>
    <cellStyle name="40% - Accent5 3 2 2 3" xfId="5004" xr:uid="{00000000-0005-0000-0000-000097060000}"/>
    <cellStyle name="40% - Accent5 3 2 2 3 2" xfId="22777" xr:uid="{6EF675CE-53BC-420A-B197-E2C8292C50DD}"/>
    <cellStyle name="40% - Accent5 3 2 2 3 2 2" xfId="39671" xr:uid="{47D7FAC1-FE32-462A-9949-D03CA3035EE6}"/>
    <cellStyle name="40% - Accent5 3 2 2 3 3" xfId="14330" xr:uid="{0BF63A3A-C953-418C-8B95-0189819C0C3D}"/>
    <cellStyle name="40% - Accent5 3 2 2 3 4" xfId="31224" xr:uid="{44FFC284-EB9D-4DFA-B1ED-312C1BBEA435}"/>
    <cellStyle name="40% - Accent5 3 2 2 4" xfId="9502" xr:uid="{96903B0D-DCFE-4149-8088-461BCB03A73B}"/>
    <cellStyle name="40% - Accent5 3 2 2 4 2" xfId="18560" xr:uid="{08AFFA4D-4C46-4442-AB1E-74A8CC0366E1}"/>
    <cellStyle name="40% - Accent5 3 2 2 4 3" xfId="35454" xr:uid="{7B7E5918-E39C-4792-B221-5C1B5BAE8C7E}"/>
    <cellStyle name="40% - Accent5 3 2 2 5" xfId="10113" xr:uid="{6C7B53AA-4BE9-4E91-A49C-A1942B482A34}"/>
    <cellStyle name="40% - Accent5 3 2 2 6" xfId="27007" xr:uid="{4CC29AB3-393C-4488-B5A6-53920EC16D4B}"/>
    <cellStyle name="40% - Accent5 3 2 3" xfId="1109" xr:uid="{00000000-0005-0000-0000-000098060000}"/>
    <cellStyle name="40% - Accent5 3 2 3 2" xfId="3340" xr:uid="{00000000-0005-0000-0000-000099060000}"/>
    <cellStyle name="40% - Accent5 3 2 3 2 2" xfId="7562" xr:uid="{00000000-0005-0000-0000-00009A060000}"/>
    <cellStyle name="40% - Accent5 3 2 3 2 2 2" xfId="25335" xr:uid="{A6F07E06-5264-4946-91B7-C4FA3487A7BE}"/>
    <cellStyle name="40% - Accent5 3 2 3 2 2 2 2" xfId="42229" xr:uid="{1BFC60B8-44E7-4061-8766-32BF37F53EAB}"/>
    <cellStyle name="40% - Accent5 3 2 3 2 2 3" xfId="16888" xr:uid="{3456F51C-955F-4E5F-BF8D-75F610C826D2}"/>
    <cellStyle name="40% - Accent5 3 2 3 2 2 4" xfId="33782" xr:uid="{E2FFB57D-B00D-4C70-816B-88BFADD92B20}"/>
    <cellStyle name="40% - Accent5 3 2 3 2 3" xfId="21118" xr:uid="{30151DA5-FCFB-4EB0-8D3E-6E8C5BFC3C3D}"/>
    <cellStyle name="40% - Accent5 3 2 3 2 3 2" xfId="38012" xr:uid="{CC7C2930-9358-4B9B-B9D4-10E87526437A}"/>
    <cellStyle name="40% - Accent5 3 2 3 2 4" xfId="12671" xr:uid="{203F8558-0979-4BDC-BD20-601B3B5DF3E7}"/>
    <cellStyle name="40% - Accent5 3 2 3 2 5" xfId="29565" xr:uid="{5EA9C512-D3B1-4FA4-9B4C-7B7BC9C0C284}"/>
    <cellStyle name="40% - Accent5 3 2 3 3" xfId="5417" xr:uid="{00000000-0005-0000-0000-00009B060000}"/>
    <cellStyle name="40% - Accent5 3 2 3 3 2" xfId="23190" xr:uid="{B3510BC6-7105-480F-9287-43D1C8B07B6A}"/>
    <cellStyle name="40% - Accent5 3 2 3 3 2 2" xfId="40084" xr:uid="{98E89349-D87C-4817-BCFC-77F88604E870}"/>
    <cellStyle name="40% - Accent5 3 2 3 3 3" xfId="14743" xr:uid="{8461113C-F045-4423-8A19-759B81459B12}"/>
    <cellStyle name="40% - Accent5 3 2 3 3 4" xfId="31637" xr:uid="{F286F3ED-E731-446A-8DB1-A7309ACC424B}"/>
    <cellStyle name="40% - Accent5 3 2 3 4" xfId="18973" xr:uid="{3E63F66B-FCFB-4DC8-B972-CF8510A7CA43}"/>
    <cellStyle name="40% - Accent5 3 2 3 4 2" xfId="35867" xr:uid="{DAB2849F-65C2-4CC3-A256-F7ED5D5CD06D}"/>
    <cellStyle name="40% - Accent5 3 2 3 5" xfId="10526" xr:uid="{186E50EB-1CA3-4537-AB8E-2EBFE936F826}"/>
    <cellStyle name="40% - Accent5 3 2 3 6" xfId="27420" xr:uid="{A94A88BF-AD5C-43CA-B900-8871F0D31C06}"/>
    <cellStyle name="40% - Accent5 3 2 4" xfId="1523" xr:uid="{00000000-0005-0000-0000-00009C060000}"/>
    <cellStyle name="40% - Accent5 3 2 4 2" xfId="3753" xr:uid="{00000000-0005-0000-0000-00009D060000}"/>
    <cellStyle name="40% - Accent5 3 2 4 2 2" xfId="7975" xr:uid="{00000000-0005-0000-0000-00009E060000}"/>
    <cellStyle name="40% - Accent5 3 2 4 2 2 2" xfId="25748" xr:uid="{B979ACE3-975A-4E17-9113-27DE02640881}"/>
    <cellStyle name="40% - Accent5 3 2 4 2 2 2 2" xfId="42642" xr:uid="{E3D1F9C8-66CD-4519-AE14-DA1B33804924}"/>
    <cellStyle name="40% - Accent5 3 2 4 2 2 3" xfId="17301" xr:uid="{2C2B7F9C-878F-423E-92F3-AA1609A4BC9A}"/>
    <cellStyle name="40% - Accent5 3 2 4 2 2 4" xfId="34195" xr:uid="{65D8B4AE-CB12-498D-9608-D452CAEFAB9F}"/>
    <cellStyle name="40% - Accent5 3 2 4 2 3" xfId="21531" xr:uid="{289252D4-AFD2-4545-9E20-1F9A0F1098CD}"/>
    <cellStyle name="40% - Accent5 3 2 4 2 3 2" xfId="38425" xr:uid="{D53E6341-2066-4884-AA41-DAE23E932558}"/>
    <cellStyle name="40% - Accent5 3 2 4 2 4" xfId="13084" xr:uid="{85608DD2-F8B9-4DDF-8644-4BE804654B5E}"/>
    <cellStyle name="40% - Accent5 3 2 4 2 5" xfId="29978" xr:uid="{608CF947-D92C-4127-ACEA-A7E5E28098DE}"/>
    <cellStyle name="40% - Accent5 3 2 4 3" xfId="5830" xr:uid="{00000000-0005-0000-0000-00009F060000}"/>
    <cellStyle name="40% - Accent5 3 2 4 3 2" xfId="23603" xr:uid="{B80D8FB0-5B2B-49ED-ADE2-795BC7E2318D}"/>
    <cellStyle name="40% - Accent5 3 2 4 3 2 2" xfId="40497" xr:uid="{82FBAA5B-F4E5-4F2C-A068-54E7C2B9BE64}"/>
    <cellStyle name="40% - Accent5 3 2 4 3 3" xfId="15156" xr:uid="{ED36C4B4-4F3C-4568-B16F-014FEB534100}"/>
    <cellStyle name="40% - Accent5 3 2 4 3 4" xfId="32050" xr:uid="{2EE8C32E-9369-4604-9672-78759F5AA436}"/>
    <cellStyle name="40% - Accent5 3 2 4 4" xfId="19386" xr:uid="{CE5E2566-A280-4013-A86E-00C31BAE0680}"/>
    <cellStyle name="40% - Accent5 3 2 4 4 2" xfId="36280" xr:uid="{4D24B509-E134-4AB6-8396-D712E8653F8F}"/>
    <cellStyle name="40% - Accent5 3 2 4 5" xfId="10939" xr:uid="{D75B73A8-7811-40F1-BCD6-066F009EA0F4}"/>
    <cellStyle name="40% - Accent5 3 2 4 6" xfId="27833" xr:uid="{DAF7D41D-A6FE-422E-B303-AA7591C38A86}"/>
    <cellStyle name="40% - Accent5 3 2 5" xfId="1937" xr:uid="{00000000-0005-0000-0000-0000A0060000}"/>
    <cellStyle name="40% - Accent5 3 2 5 2" xfId="4166" xr:uid="{00000000-0005-0000-0000-0000A1060000}"/>
    <cellStyle name="40% - Accent5 3 2 5 2 2" xfId="8388" xr:uid="{00000000-0005-0000-0000-0000A2060000}"/>
    <cellStyle name="40% - Accent5 3 2 5 2 2 2" xfId="26161" xr:uid="{48DD97A1-50B9-4812-9A68-B5DE03360FE4}"/>
    <cellStyle name="40% - Accent5 3 2 5 2 2 2 2" xfId="43055" xr:uid="{D9DA1304-DFA9-46C0-AF39-7DEF987832F8}"/>
    <cellStyle name="40% - Accent5 3 2 5 2 2 3" xfId="17714" xr:uid="{2379B2C5-9394-4253-A447-F1F48B14EE61}"/>
    <cellStyle name="40% - Accent5 3 2 5 2 2 4" xfId="34608" xr:uid="{16270D3A-949A-497B-8E9B-00EE628E6635}"/>
    <cellStyle name="40% - Accent5 3 2 5 2 3" xfId="21944" xr:uid="{041D66C2-624A-4580-A339-1CD0C2A46825}"/>
    <cellStyle name="40% - Accent5 3 2 5 2 3 2" xfId="38838" xr:uid="{4ED3F94C-19D2-4162-BE0D-8E3D50FE6513}"/>
    <cellStyle name="40% - Accent5 3 2 5 2 4" xfId="13497" xr:uid="{B347A17C-F057-46C5-89EC-6AD8CD1BE9BE}"/>
    <cellStyle name="40% - Accent5 3 2 5 2 5" xfId="30391" xr:uid="{42B2DEC5-8346-41F7-8496-5758CFFDC08B}"/>
    <cellStyle name="40% - Accent5 3 2 5 3" xfId="6243" xr:uid="{00000000-0005-0000-0000-0000A3060000}"/>
    <cellStyle name="40% - Accent5 3 2 5 3 2" xfId="24016" xr:uid="{D501749E-9572-4F1F-AD2A-D501F51B4724}"/>
    <cellStyle name="40% - Accent5 3 2 5 3 2 2" xfId="40910" xr:uid="{44E6724C-72D5-4CE2-9E11-2CECF90C73CD}"/>
    <cellStyle name="40% - Accent5 3 2 5 3 3" xfId="15569" xr:uid="{A9626DC9-E3AC-4735-A29A-D7AC7133DFAF}"/>
    <cellStyle name="40% - Accent5 3 2 5 3 4" xfId="32463" xr:uid="{FD3E54C0-B1CF-448C-95C7-517692AFA8EA}"/>
    <cellStyle name="40% - Accent5 3 2 5 4" xfId="19799" xr:uid="{23AE33BC-7C69-4E3A-AF86-B672FE9D74FD}"/>
    <cellStyle name="40% - Accent5 3 2 5 4 2" xfId="36693" xr:uid="{D5FB5510-785F-4865-BC28-B20F50DD7E79}"/>
    <cellStyle name="40% - Accent5 3 2 5 5" xfId="11352" xr:uid="{2E9217F9-AB08-42A5-A17A-904474A98778}"/>
    <cellStyle name="40% - Accent5 3 2 5 6" xfId="28246" xr:uid="{D181B394-374D-406D-9221-F091A58D0AE8}"/>
    <cellStyle name="40% - Accent5 3 2 6" xfId="2350" xr:uid="{00000000-0005-0000-0000-0000A4060000}"/>
    <cellStyle name="40% - Accent5 3 2 6 2" xfId="6656" xr:uid="{00000000-0005-0000-0000-0000A5060000}"/>
    <cellStyle name="40% - Accent5 3 2 6 2 2" xfId="24429" xr:uid="{3D4FB50F-F43E-4471-82BD-AA3D554916AA}"/>
    <cellStyle name="40% - Accent5 3 2 6 2 2 2" xfId="41323" xr:uid="{947F77B7-0EAF-4188-AC4F-19F279BA008C}"/>
    <cellStyle name="40% - Accent5 3 2 6 2 3" xfId="15982" xr:uid="{141B185E-6273-44B4-BAF3-BFEAC27AA03C}"/>
    <cellStyle name="40% - Accent5 3 2 6 2 4" xfId="32876" xr:uid="{70C9DF84-27BB-4E96-B36F-1BA16FAFDD7B}"/>
    <cellStyle name="40% - Accent5 3 2 6 3" xfId="20212" xr:uid="{2A4F9CBB-7E22-44A4-9A40-F74857BCEC2C}"/>
    <cellStyle name="40% - Accent5 3 2 6 3 2" xfId="37106" xr:uid="{13A198A7-440B-45AA-ADD6-EAE63C65E778}"/>
    <cellStyle name="40% - Accent5 3 2 6 4" xfId="11765" xr:uid="{615460CB-0263-4D7B-9265-6A347EBE1FC7}"/>
    <cellStyle name="40% - Accent5 3 2 6 5" xfId="28659" xr:uid="{05DA50A7-9766-4B19-BEEE-AA0A9D94001C}"/>
    <cellStyle name="40% - Accent5 3 2 7" xfId="4590" xr:uid="{00000000-0005-0000-0000-0000A6060000}"/>
    <cellStyle name="40% - Accent5 3 2 7 2" xfId="22363" xr:uid="{2683E0B1-4CBD-4D88-A788-11412A31AB23}"/>
    <cellStyle name="40% - Accent5 3 2 7 2 2" xfId="39257" xr:uid="{310559E6-F9EF-4155-B31A-9D7E0832FB97}"/>
    <cellStyle name="40% - Accent5 3 2 7 3" xfId="13916" xr:uid="{65249771-7349-44A5-997A-2FAF3DC06FF2}"/>
    <cellStyle name="40% - Accent5 3 2 7 4" xfId="30810" xr:uid="{5F6313E2-D410-480D-BE77-42A8D899695E}"/>
    <cellStyle name="40% - Accent5 3 2 8" xfId="9077" xr:uid="{8842DD15-54E4-487D-B492-3A505722387C}"/>
    <cellStyle name="40% - Accent5 3 2 8 2" xfId="18146" xr:uid="{9A7D2C9B-7D66-4657-9519-9E9DB0B5C075}"/>
    <cellStyle name="40% - Accent5 3 2 8 3" xfId="35040" xr:uid="{C6FB3285-CF96-4217-B4E5-A96B4A68688D}"/>
    <cellStyle name="40% - Accent5 3 2 9" xfId="9699" xr:uid="{0A2A64DA-DF06-4C6E-BC3B-8B462ACB152A}"/>
    <cellStyle name="40% - Accent5 3 3" xfId="655" xr:uid="{00000000-0005-0000-0000-0000A7060000}"/>
    <cellStyle name="40% - Accent5 3 3 2" xfId="2926" xr:uid="{00000000-0005-0000-0000-0000A8060000}"/>
    <cellStyle name="40% - Accent5 3 3 2 2" xfId="7148" xr:uid="{00000000-0005-0000-0000-0000A9060000}"/>
    <cellStyle name="40% - Accent5 3 3 2 2 2" xfId="24921" xr:uid="{3E5C575B-D381-4041-9DBE-A26CBC4159BE}"/>
    <cellStyle name="40% - Accent5 3 3 2 2 2 2" xfId="41815" xr:uid="{14648405-C831-4054-9A90-71637EA99764}"/>
    <cellStyle name="40% - Accent5 3 3 2 2 3" xfId="16474" xr:uid="{BA21C03A-87EC-48FA-AFCE-436FE9AF1B6F}"/>
    <cellStyle name="40% - Accent5 3 3 2 2 4" xfId="33368" xr:uid="{863FC85C-965E-4DC9-B983-4CA6FBEE053D}"/>
    <cellStyle name="40% - Accent5 3 3 2 3" xfId="20704" xr:uid="{F490C11B-289D-4D5C-BECA-690ACCA3FADA}"/>
    <cellStyle name="40% - Accent5 3 3 2 3 2" xfId="37598" xr:uid="{C8D539AB-9133-4AC1-8BCD-567B92B38948}"/>
    <cellStyle name="40% - Accent5 3 3 2 4" xfId="12257" xr:uid="{FCF45FAB-28A5-4FC3-996C-B3CE5334393F}"/>
    <cellStyle name="40% - Accent5 3 3 2 5" xfId="29151" xr:uid="{700B4EB9-1360-4194-BE07-34009E4C0A29}"/>
    <cellStyle name="40% - Accent5 3 3 3" xfId="5003" xr:uid="{00000000-0005-0000-0000-0000AA060000}"/>
    <cellStyle name="40% - Accent5 3 3 3 2" xfId="22776" xr:uid="{6102779C-7E64-4F46-A97E-3CA2581841CF}"/>
    <cellStyle name="40% - Accent5 3 3 3 2 2" xfId="39670" xr:uid="{BDE6812B-D479-409D-84F3-B7A3E0FDB172}"/>
    <cellStyle name="40% - Accent5 3 3 3 3" xfId="14329" xr:uid="{2D763BA5-6220-40A2-9DCA-A964563A1632}"/>
    <cellStyle name="40% - Accent5 3 3 3 4" xfId="31223" xr:uid="{41486F6F-B972-42EF-A01D-DEA050289DC5}"/>
    <cellStyle name="40% - Accent5 3 3 4" xfId="9295" xr:uid="{0D42C89E-252E-426A-8E1F-7D3AD6B9FE55}"/>
    <cellStyle name="40% - Accent5 3 3 4 2" xfId="18559" xr:uid="{DFDCA669-1864-422E-843F-DF0BA4FB92EC}"/>
    <cellStyle name="40% - Accent5 3 3 4 3" xfId="35453" xr:uid="{0DE1824F-4A2A-4D8D-8D38-99FA723969A6}"/>
    <cellStyle name="40% - Accent5 3 3 5" xfId="10112" xr:uid="{28DFA546-07B2-4A9A-B0F8-F14A3B86E2B1}"/>
    <cellStyle name="40% - Accent5 3 3 6" xfId="27006" xr:uid="{306E10D4-9DA8-4360-AA41-9C2A5ACE04A5}"/>
    <cellStyle name="40% - Accent5 3 4" xfId="1108" xr:uid="{00000000-0005-0000-0000-0000AB060000}"/>
    <cellStyle name="40% - Accent5 3 4 2" xfId="3339" xr:uid="{00000000-0005-0000-0000-0000AC060000}"/>
    <cellStyle name="40% - Accent5 3 4 2 2" xfId="7561" xr:uid="{00000000-0005-0000-0000-0000AD060000}"/>
    <cellStyle name="40% - Accent5 3 4 2 2 2" xfId="25334" xr:uid="{C81E492D-412E-491F-A532-386E63BF4C81}"/>
    <cellStyle name="40% - Accent5 3 4 2 2 2 2" xfId="42228" xr:uid="{54D8C508-1B33-40B4-9054-8EC216065A52}"/>
    <cellStyle name="40% - Accent5 3 4 2 2 3" xfId="16887" xr:uid="{1F9FEF93-2983-484F-BDF6-57091FDEF522}"/>
    <cellStyle name="40% - Accent5 3 4 2 2 4" xfId="33781" xr:uid="{6974CD6A-6192-4166-88F3-ED2811D23C39}"/>
    <cellStyle name="40% - Accent5 3 4 2 3" xfId="21117" xr:uid="{448E2DDE-61DB-4CFF-8F11-084F97460378}"/>
    <cellStyle name="40% - Accent5 3 4 2 3 2" xfId="38011" xr:uid="{C290295B-3E3A-4F0B-BCEE-075DECD347C5}"/>
    <cellStyle name="40% - Accent5 3 4 2 4" xfId="12670" xr:uid="{963D5799-FADA-4D63-83AC-066EF494E0F3}"/>
    <cellStyle name="40% - Accent5 3 4 2 5" xfId="29564" xr:uid="{A3E503AD-3415-4C63-B959-8AA40323BDC4}"/>
    <cellStyle name="40% - Accent5 3 4 3" xfId="5416" xr:uid="{00000000-0005-0000-0000-0000AE060000}"/>
    <cellStyle name="40% - Accent5 3 4 3 2" xfId="23189" xr:uid="{B995BD0A-7C05-4AC2-B077-F9A2F326E74F}"/>
    <cellStyle name="40% - Accent5 3 4 3 2 2" xfId="40083" xr:uid="{BCFA44ED-EF17-4E17-A85F-0007A5C86B95}"/>
    <cellStyle name="40% - Accent5 3 4 3 3" xfId="14742" xr:uid="{D4178121-47E6-46DF-B101-1724F6A2F898}"/>
    <cellStyle name="40% - Accent5 3 4 3 4" xfId="31636" xr:uid="{241AB985-F1DA-4DEC-AD02-421DB2A3BC6E}"/>
    <cellStyle name="40% - Accent5 3 4 4" xfId="18972" xr:uid="{FE1CC373-949D-4EC2-8A5D-D3D6A1C83CCB}"/>
    <cellStyle name="40% - Accent5 3 4 4 2" xfId="35866" xr:uid="{BC071038-452A-4F31-ADDA-B2E52D267091}"/>
    <cellStyle name="40% - Accent5 3 4 5" xfId="10525" xr:uid="{4AC82CE1-52A9-40CD-9483-A771581FA3F7}"/>
    <cellStyle name="40% - Accent5 3 4 6" xfId="27419" xr:uid="{C74DD37F-4460-4FBE-806A-96813BF776DF}"/>
    <cellStyle name="40% - Accent5 3 5" xfId="1522" xr:uid="{00000000-0005-0000-0000-0000AF060000}"/>
    <cellStyle name="40% - Accent5 3 5 2" xfId="3752" xr:uid="{00000000-0005-0000-0000-0000B0060000}"/>
    <cellStyle name="40% - Accent5 3 5 2 2" xfId="7974" xr:uid="{00000000-0005-0000-0000-0000B1060000}"/>
    <cellStyle name="40% - Accent5 3 5 2 2 2" xfId="25747" xr:uid="{C6460B2F-1D76-47F3-96C0-2CCE1657B524}"/>
    <cellStyle name="40% - Accent5 3 5 2 2 2 2" xfId="42641" xr:uid="{A6E09A95-8E38-4978-B0F1-620C58718163}"/>
    <cellStyle name="40% - Accent5 3 5 2 2 3" xfId="17300" xr:uid="{B339E5E9-3693-4736-A606-989D2AA15592}"/>
    <cellStyle name="40% - Accent5 3 5 2 2 4" xfId="34194" xr:uid="{23A58222-3D12-4F03-B3D8-A080AE2DDE38}"/>
    <cellStyle name="40% - Accent5 3 5 2 3" xfId="21530" xr:uid="{C89A4253-9C27-41BF-9A71-9CD1FFD81E90}"/>
    <cellStyle name="40% - Accent5 3 5 2 3 2" xfId="38424" xr:uid="{BC498A99-C7E8-48AF-AC8D-75641F86347C}"/>
    <cellStyle name="40% - Accent5 3 5 2 4" xfId="13083" xr:uid="{51E63E15-9D6A-4BDC-ADB0-DA928959C5FD}"/>
    <cellStyle name="40% - Accent5 3 5 2 5" xfId="29977" xr:uid="{C8E19DCD-B471-49A8-BD70-9133D164D90C}"/>
    <cellStyle name="40% - Accent5 3 5 3" xfId="5829" xr:uid="{00000000-0005-0000-0000-0000B2060000}"/>
    <cellStyle name="40% - Accent5 3 5 3 2" xfId="23602" xr:uid="{7D49579C-7825-4D35-A8A0-5D273B3B2002}"/>
    <cellStyle name="40% - Accent5 3 5 3 2 2" xfId="40496" xr:uid="{4E8CD83A-E5E5-49E2-9B07-FE1018C52D6C}"/>
    <cellStyle name="40% - Accent5 3 5 3 3" xfId="15155" xr:uid="{D45F2FA9-8D57-4E7E-9109-7BD42AECE3CC}"/>
    <cellStyle name="40% - Accent5 3 5 3 4" xfId="32049" xr:uid="{6C27713C-23FB-4AF7-BA24-58400710FE81}"/>
    <cellStyle name="40% - Accent5 3 5 4" xfId="19385" xr:uid="{D879A61A-60CE-4BD2-A0A7-1816617382A5}"/>
    <cellStyle name="40% - Accent5 3 5 4 2" xfId="36279" xr:uid="{15C25AE0-1B38-4F0A-85FB-9C898399902D}"/>
    <cellStyle name="40% - Accent5 3 5 5" xfId="10938" xr:uid="{10980095-74A3-4447-AB8A-0604F2A1CBD2}"/>
    <cellStyle name="40% - Accent5 3 5 6" xfId="27832" xr:uid="{4D6259DB-62D8-419F-BC13-DC2904627D28}"/>
    <cellStyle name="40% - Accent5 3 6" xfId="1936" xr:uid="{00000000-0005-0000-0000-0000B3060000}"/>
    <cellStyle name="40% - Accent5 3 6 2" xfId="4165" xr:uid="{00000000-0005-0000-0000-0000B4060000}"/>
    <cellStyle name="40% - Accent5 3 6 2 2" xfId="8387" xr:uid="{00000000-0005-0000-0000-0000B5060000}"/>
    <cellStyle name="40% - Accent5 3 6 2 2 2" xfId="26160" xr:uid="{844FF6F3-5C10-4F33-ACAC-85203DA24898}"/>
    <cellStyle name="40% - Accent5 3 6 2 2 2 2" xfId="43054" xr:uid="{D804E0F8-93BE-4D5B-9EE4-50BE837BA02B}"/>
    <cellStyle name="40% - Accent5 3 6 2 2 3" xfId="17713" xr:uid="{22C3EA0B-297C-4F59-9C45-276471E79359}"/>
    <cellStyle name="40% - Accent5 3 6 2 2 4" xfId="34607" xr:uid="{14D319C0-A2A4-4620-A8FE-9FD08DC0EF10}"/>
    <cellStyle name="40% - Accent5 3 6 2 3" xfId="21943" xr:uid="{09257822-93AD-4E77-B994-E339EE7B3218}"/>
    <cellStyle name="40% - Accent5 3 6 2 3 2" xfId="38837" xr:uid="{CA37A22E-F98B-48A2-89EE-C3E2CFE08AE1}"/>
    <cellStyle name="40% - Accent5 3 6 2 4" xfId="13496" xr:uid="{53AB8077-63DB-4FE6-BF82-0DBEF4B1978F}"/>
    <cellStyle name="40% - Accent5 3 6 2 5" xfId="30390" xr:uid="{7B16882F-BD11-481C-A5AD-EF28B6E999B7}"/>
    <cellStyle name="40% - Accent5 3 6 3" xfId="6242" xr:uid="{00000000-0005-0000-0000-0000B6060000}"/>
    <cellStyle name="40% - Accent5 3 6 3 2" xfId="24015" xr:uid="{7D5C6248-8138-4E48-80C8-8A5C6E947B35}"/>
    <cellStyle name="40% - Accent5 3 6 3 2 2" xfId="40909" xr:uid="{8DA4CC93-B384-45D9-8E9D-E450AA328BE4}"/>
    <cellStyle name="40% - Accent5 3 6 3 3" xfId="15568" xr:uid="{0DD05DDE-EA5A-45B2-823E-D00F78CC6DC2}"/>
    <cellStyle name="40% - Accent5 3 6 3 4" xfId="32462" xr:uid="{7C43B274-3D5D-4815-9833-BB9F1DCD6CC7}"/>
    <cellStyle name="40% - Accent5 3 6 4" xfId="19798" xr:uid="{6C290B8F-8C0B-4E54-8B29-E802009B11AC}"/>
    <cellStyle name="40% - Accent5 3 6 4 2" xfId="36692" xr:uid="{ED8EE046-BB57-41D1-80FC-D4A87E4EE565}"/>
    <cellStyle name="40% - Accent5 3 6 5" xfId="11351" xr:uid="{E9CD192D-FA19-40D0-A88E-92C4E717D80D}"/>
    <cellStyle name="40% - Accent5 3 6 6" xfId="28245" xr:uid="{8FAB189D-803C-48A9-99DB-0D0684FA6C44}"/>
    <cellStyle name="40% - Accent5 3 7" xfId="2349" xr:uid="{00000000-0005-0000-0000-0000B7060000}"/>
    <cellStyle name="40% - Accent5 3 7 2" xfId="6655" xr:uid="{00000000-0005-0000-0000-0000B8060000}"/>
    <cellStyle name="40% - Accent5 3 7 2 2" xfId="24428" xr:uid="{3CB756F0-31C7-4EE6-937A-FBE9B1A0E499}"/>
    <cellStyle name="40% - Accent5 3 7 2 2 2" xfId="41322" xr:uid="{BF847FF8-EC0D-405C-B72A-27C2BA29DDEE}"/>
    <cellStyle name="40% - Accent5 3 7 2 3" xfId="15981" xr:uid="{96F2DA46-33F9-482E-972B-BEA235D7653A}"/>
    <cellStyle name="40% - Accent5 3 7 2 4" xfId="32875" xr:uid="{63E5775A-AB7E-4F82-B0D7-15A1B91C298F}"/>
    <cellStyle name="40% - Accent5 3 7 3" xfId="20211" xr:uid="{2DCEF317-BA9E-449B-A443-833C7F159EB7}"/>
    <cellStyle name="40% - Accent5 3 7 3 2" xfId="37105" xr:uid="{F1EC8C7B-CDA1-4281-A09E-533D654CC886}"/>
    <cellStyle name="40% - Accent5 3 7 4" xfId="11764" xr:uid="{BBF6DD81-1B17-4417-83A2-4AE10349E919}"/>
    <cellStyle name="40% - Accent5 3 7 5" xfId="28658" xr:uid="{402869DF-B4E8-495A-9052-B5DC595437B5}"/>
    <cellStyle name="40% - Accent5 3 8" xfId="4589" xr:uid="{00000000-0005-0000-0000-0000B9060000}"/>
    <cellStyle name="40% - Accent5 3 8 2" xfId="22362" xr:uid="{1D75BBB2-9F39-4854-8975-904B68E7E7E8}"/>
    <cellStyle name="40% - Accent5 3 8 2 2" xfId="39256" xr:uid="{51DC36E1-8FBA-4058-98A0-601E909ABC78}"/>
    <cellStyle name="40% - Accent5 3 8 3" xfId="13915" xr:uid="{EAF7F576-80A5-4450-958C-FA4A90EF603E}"/>
    <cellStyle name="40% - Accent5 3 8 4" xfId="30809" xr:uid="{9FFA9013-4DE9-4707-AB27-F692FDBBE928}"/>
    <cellStyle name="40% - Accent5 3 9" xfId="8870" xr:uid="{F7DB5D96-1272-4D48-B3B6-48053CFCBA44}"/>
    <cellStyle name="40% - Accent5 3 9 2" xfId="18145" xr:uid="{D7BA174F-6C5A-493F-86B9-F7C898779657}"/>
    <cellStyle name="40% - Accent5 3 9 3" xfId="35039" xr:uid="{BB40B2C2-0502-4167-9C9A-D440465F6C3E}"/>
    <cellStyle name="40% - Accent5 4" xfId="88" xr:uid="{00000000-0005-0000-0000-0000BA060000}"/>
    <cellStyle name="40% - Accent5 4 10" xfId="26594" xr:uid="{C093A0FA-26C6-475D-8DF5-CE7D732D9CE2}"/>
    <cellStyle name="40% - Accent5 4 2" xfId="657" xr:uid="{00000000-0005-0000-0000-0000BB060000}"/>
    <cellStyle name="40% - Accent5 4 2 2" xfId="2928" xr:uid="{00000000-0005-0000-0000-0000BC060000}"/>
    <cellStyle name="40% - Accent5 4 2 2 2" xfId="7150" xr:uid="{00000000-0005-0000-0000-0000BD060000}"/>
    <cellStyle name="40% - Accent5 4 2 2 2 2" xfId="24923" xr:uid="{2FBF79CA-42B1-4E63-A446-DEB24DCCE1FC}"/>
    <cellStyle name="40% - Accent5 4 2 2 2 2 2" xfId="41817" xr:uid="{9B1C7732-1D97-457A-B0F1-83455AB7AC3F}"/>
    <cellStyle name="40% - Accent5 4 2 2 2 3" xfId="16476" xr:uid="{060F24DB-76C4-4294-92A2-DF63B169C404}"/>
    <cellStyle name="40% - Accent5 4 2 2 2 4" xfId="33370" xr:uid="{3CEDCA6B-1EC4-4B70-ADC9-6D9703D89C0F}"/>
    <cellStyle name="40% - Accent5 4 2 2 3" xfId="20706" xr:uid="{C994FB2C-3BBF-478F-8A57-0FC170A198F5}"/>
    <cellStyle name="40% - Accent5 4 2 2 3 2" xfId="37600" xr:uid="{F661A1CA-7EF4-4B89-AF6C-655655848249}"/>
    <cellStyle name="40% - Accent5 4 2 2 4" xfId="12259" xr:uid="{B627BD6F-11A9-492E-8270-24E5BBBFB66D}"/>
    <cellStyle name="40% - Accent5 4 2 2 5" xfId="29153" xr:uid="{DA1A57B8-EEE0-4961-A277-C971CFC001E4}"/>
    <cellStyle name="40% - Accent5 4 2 3" xfId="5005" xr:uid="{00000000-0005-0000-0000-0000BE060000}"/>
    <cellStyle name="40% - Accent5 4 2 3 2" xfId="22778" xr:uid="{29CCE73B-5DBF-467D-8B39-459C290C50F7}"/>
    <cellStyle name="40% - Accent5 4 2 3 2 2" xfId="39672" xr:uid="{1AE0B8DD-A897-4880-9F48-840FA69EE840}"/>
    <cellStyle name="40% - Accent5 4 2 3 3" xfId="14331" xr:uid="{2A8BC2CF-F7F9-4932-B14A-C340CF1F2B85}"/>
    <cellStyle name="40% - Accent5 4 2 3 4" xfId="31225" xr:uid="{B7C7A895-E4D6-4787-8FDC-1B18B5053822}"/>
    <cellStyle name="40% - Accent5 4 2 4" xfId="9381" xr:uid="{6D86932C-AFC4-4FF0-967D-0F56E90E02E1}"/>
    <cellStyle name="40% - Accent5 4 2 4 2" xfId="18561" xr:uid="{9D05311A-B854-4AA8-8C1E-3BF462D9446D}"/>
    <cellStyle name="40% - Accent5 4 2 4 3" xfId="35455" xr:uid="{96F33964-219B-4285-BEFB-91029140AC46}"/>
    <cellStyle name="40% - Accent5 4 2 5" xfId="10114" xr:uid="{0937457D-30AE-4F99-82B0-507327EB3220}"/>
    <cellStyle name="40% - Accent5 4 2 6" xfId="27008" xr:uid="{39D26925-1D8D-4FD9-9873-9B723868ABCC}"/>
    <cellStyle name="40% - Accent5 4 3" xfId="1110" xr:uid="{00000000-0005-0000-0000-0000BF060000}"/>
    <cellStyle name="40% - Accent5 4 3 2" xfId="3341" xr:uid="{00000000-0005-0000-0000-0000C0060000}"/>
    <cellStyle name="40% - Accent5 4 3 2 2" xfId="7563" xr:uid="{00000000-0005-0000-0000-0000C1060000}"/>
    <cellStyle name="40% - Accent5 4 3 2 2 2" xfId="25336" xr:uid="{7EAA435A-6AC5-42B1-86EC-6A72739FD4F6}"/>
    <cellStyle name="40% - Accent5 4 3 2 2 2 2" xfId="42230" xr:uid="{13E63285-FD95-40B4-9F24-B014493236D3}"/>
    <cellStyle name="40% - Accent5 4 3 2 2 3" xfId="16889" xr:uid="{A4C5A0B7-FAA8-425F-9AA5-45E1776DD8D7}"/>
    <cellStyle name="40% - Accent5 4 3 2 2 4" xfId="33783" xr:uid="{C7BBF7AD-CEF2-44C3-9A7F-CEB159E83FB9}"/>
    <cellStyle name="40% - Accent5 4 3 2 3" xfId="21119" xr:uid="{F2F9F9D7-2E8A-4F0C-80A5-4C6B8F6A5A26}"/>
    <cellStyle name="40% - Accent5 4 3 2 3 2" xfId="38013" xr:uid="{4C306DE7-9808-4B1A-987E-766C1C3CAA9D}"/>
    <cellStyle name="40% - Accent5 4 3 2 4" xfId="12672" xr:uid="{6219D87C-47BB-40DA-BA5F-0D6ADBA75F5C}"/>
    <cellStyle name="40% - Accent5 4 3 2 5" xfId="29566" xr:uid="{0547B35C-373B-4545-B0B6-91EB602B5A1D}"/>
    <cellStyle name="40% - Accent5 4 3 3" xfId="5418" xr:uid="{00000000-0005-0000-0000-0000C2060000}"/>
    <cellStyle name="40% - Accent5 4 3 3 2" xfId="23191" xr:uid="{09E71169-4976-4B3B-ABFB-611673B80141}"/>
    <cellStyle name="40% - Accent5 4 3 3 2 2" xfId="40085" xr:uid="{1BED3533-98BE-49F0-8EA6-DC80DAECF63A}"/>
    <cellStyle name="40% - Accent5 4 3 3 3" xfId="14744" xr:uid="{263B982C-EF71-4066-B040-66EE7DEC36AF}"/>
    <cellStyle name="40% - Accent5 4 3 3 4" xfId="31638" xr:uid="{E126D4DA-937F-4457-9100-71F5B5F7C29F}"/>
    <cellStyle name="40% - Accent5 4 3 4" xfId="18974" xr:uid="{F1AAEC33-38D1-4FD0-B652-70CE410F486A}"/>
    <cellStyle name="40% - Accent5 4 3 4 2" xfId="35868" xr:uid="{25FF612B-2F1C-4BC5-85EA-D789FEAE6F38}"/>
    <cellStyle name="40% - Accent5 4 3 5" xfId="10527" xr:uid="{BBA9330D-5516-430F-B2A7-D01167E74054}"/>
    <cellStyle name="40% - Accent5 4 3 6" xfId="27421" xr:uid="{0DC45E34-3792-4F51-90AF-CB1944696C62}"/>
    <cellStyle name="40% - Accent5 4 4" xfId="1524" xr:uid="{00000000-0005-0000-0000-0000C3060000}"/>
    <cellStyle name="40% - Accent5 4 4 2" xfId="3754" xr:uid="{00000000-0005-0000-0000-0000C4060000}"/>
    <cellStyle name="40% - Accent5 4 4 2 2" xfId="7976" xr:uid="{00000000-0005-0000-0000-0000C5060000}"/>
    <cellStyle name="40% - Accent5 4 4 2 2 2" xfId="25749" xr:uid="{BC0434F7-0C0A-4DE2-9CCA-267206A3EE51}"/>
    <cellStyle name="40% - Accent5 4 4 2 2 2 2" xfId="42643" xr:uid="{3F079CCE-4EE1-4D14-8D62-B8D76CEEA464}"/>
    <cellStyle name="40% - Accent5 4 4 2 2 3" xfId="17302" xr:uid="{B86B75B2-9506-4FC7-8608-65C12B14293C}"/>
    <cellStyle name="40% - Accent5 4 4 2 2 4" xfId="34196" xr:uid="{FE11E57E-31E0-453F-9211-E9A89EECBABD}"/>
    <cellStyle name="40% - Accent5 4 4 2 3" xfId="21532" xr:uid="{BB2C7B54-EAD7-4111-B868-F932F8E5D9F5}"/>
    <cellStyle name="40% - Accent5 4 4 2 3 2" xfId="38426" xr:uid="{586C6944-4910-4154-8950-77FB056D188F}"/>
    <cellStyle name="40% - Accent5 4 4 2 4" xfId="13085" xr:uid="{E014A476-A6EC-473B-AAE3-BD9549F8E333}"/>
    <cellStyle name="40% - Accent5 4 4 2 5" xfId="29979" xr:uid="{23B60341-9647-4A2F-98B6-3EDB975D9F0A}"/>
    <cellStyle name="40% - Accent5 4 4 3" xfId="5831" xr:uid="{00000000-0005-0000-0000-0000C6060000}"/>
    <cellStyle name="40% - Accent5 4 4 3 2" xfId="23604" xr:uid="{93B94F10-611F-4CB1-87D8-C68823551EA4}"/>
    <cellStyle name="40% - Accent5 4 4 3 2 2" xfId="40498" xr:uid="{9EBE5A7C-7D3A-4FB3-BBE2-1125F120585D}"/>
    <cellStyle name="40% - Accent5 4 4 3 3" xfId="15157" xr:uid="{C9D1A49C-611A-4699-90CC-A2D133F46346}"/>
    <cellStyle name="40% - Accent5 4 4 3 4" xfId="32051" xr:uid="{0EF6FB40-74D1-489C-8F0C-1CEABEBFF542}"/>
    <cellStyle name="40% - Accent5 4 4 4" xfId="19387" xr:uid="{AB02DB9B-FF84-468A-909F-F0D708A4CB6B}"/>
    <cellStyle name="40% - Accent5 4 4 4 2" xfId="36281" xr:uid="{0EF665DF-E8F5-429D-9331-A1D90616A1AE}"/>
    <cellStyle name="40% - Accent5 4 4 5" xfId="10940" xr:uid="{ED7A1BA5-1333-4418-A20E-4D538070462F}"/>
    <cellStyle name="40% - Accent5 4 4 6" xfId="27834" xr:uid="{41CB0236-7EDF-4068-94CE-1BE36CEF8C54}"/>
    <cellStyle name="40% - Accent5 4 5" xfId="1938" xr:uid="{00000000-0005-0000-0000-0000C7060000}"/>
    <cellStyle name="40% - Accent5 4 5 2" xfId="4167" xr:uid="{00000000-0005-0000-0000-0000C8060000}"/>
    <cellStyle name="40% - Accent5 4 5 2 2" xfId="8389" xr:uid="{00000000-0005-0000-0000-0000C9060000}"/>
    <cellStyle name="40% - Accent5 4 5 2 2 2" xfId="26162" xr:uid="{A35F17E9-3A78-4210-87A0-7C22D875DB4B}"/>
    <cellStyle name="40% - Accent5 4 5 2 2 2 2" xfId="43056" xr:uid="{8432859A-CCC2-41A2-957A-C53186474497}"/>
    <cellStyle name="40% - Accent5 4 5 2 2 3" xfId="17715" xr:uid="{DD9C3022-6EC9-493B-9037-232EB2C5CFEC}"/>
    <cellStyle name="40% - Accent5 4 5 2 2 4" xfId="34609" xr:uid="{664FF3C2-E513-4FF8-8BCE-D5A417E5037C}"/>
    <cellStyle name="40% - Accent5 4 5 2 3" xfId="21945" xr:uid="{8C204623-74F1-4E47-9D51-48A59F37F24E}"/>
    <cellStyle name="40% - Accent5 4 5 2 3 2" xfId="38839" xr:uid="{C2133B0B-2BEE-45A4-A823-1EEA3921D727}"/>
    <cellStyle name="40% - Accent5 4 5 2 4" xfId="13498" xr:uid="{E19BEBA0-B851-4D70-A3C3-E22CE4204401}"/>
    <cellStyle name="40% - Accent5 4 5 2 5" xfId="30392" xr:uid="{C2B7B040-F5E0-4EF9-AA2C-3BCFB5775A17}"/>
    <cellStyle name="40% - Accent5 4 5 3" xfId="6244" xr:uid="{00000000-0005-0000-0000-0000CA060000}"/>
    <cellStyle name="40% - Accent5 4 5 3 2" xfId="24017" xr:uid="{84E646F9-7574-4A11-8DCF-5A0E046AD52E}"/>
    <cellStyle name="40% - Accent5 4 5 3 2 2" xfId="40911" xr:uid="{3CD78141-5864-4852-A285-55026B1C2FF9}"/>
    <cellStyle name="40% - Accent5 4 5 3 3" xfId="15570" xr:uid="{AE96C139-2D37-4126-91ED-1E166BCEA844}"/>
    <cellStyle name="40% - Accent5 4 5 3 4" xfId="32464" xr:uid="{EECF4550-B83F-41BE-BBAE-F96F22B76A3B}"/>
    <cellStyle name="40% - Accent5 4 5 4" xfId="19800" xr:uid="{94F77CE4-E539-4C59-A0DD-2B8B15EA8DCC}"/>
    <cellStyle name="40% - Accent5 4 5 4 2" xfId="36694" xr:uid="{96108195-BE32-41EB-B0A2-E8C4773F9B58}"/>
    <cellStyle name="40% - Accent5 4 5 5" xfId="11353" xr:uid="{DA7C4258-FA0A-4240-A403-18FC02E3370E}"/>
    <cellStyle name="40% - Accent5 4 5 6" xfId="28247" xr:uid="{FB7CCFE0-B73E-47A7-9642-D6EC08234FC9}"/>
    <cellStyle name="40% - Accent5 4 6" xfId="2351" xr:uid="{00000000-0005-0000-0000-0000CB060000}"/>
    <cellStyle name="40% - Accent5 4 6 2" xfId="6657" xr:uid="{00000000-0005-0000-0000-0000CC060000}"/>
    <cellStyle name="40% - Accent5 4 6 2 2" xfId="24430" xr:uid="{5DC22A20-63A9-403E-A042-72D449984C8B}"/>
    <cellStyle name="40% - Accent5 4 6 2 2 2" xfId="41324" xr:uid="{DF8321AF-F429-4671-AE27-EF9AEE964EF5}"/>
    <cellStyle name="40% - Accent5 4 6 2 3" xfId="15983" xr:uid="{BE69CDF6-F4E4-44DA-BB8C-99A994418ED7}"/>
    <cellStyle name="40% - Accent5 4 6 2 4" xfId="32877" xr:uid="{9AEA47D8-9F1B-408E-B7FF-74C87F0E2283}"/>
    <cellStyle name="40% - Accent5 4 6 3" xfId="20213" xr:uid="{12445467-7375-46E6-B700-B886410EF09C}"/>
    <cellStyle name="40% - Accent5 4 6 3 2" xfId="37107" xr:uid="{B6412C37-D00D-496E-98C0-0FE067420D28}"/>
    <cellStyle name="40% - Accent5 4 6 4" xfId="11766" xr:uid="{710D5721-0052-4C46-A9B6-13D17C8FF947}"/>
    <cellStyle name="40% - Accent5 4 6 5" xfId="28660" xr:uid="{2C4009A4-CBA1-489E-BF71-48FB5664516B}"/>
    <cellStyle name="40% - Accent5 4 7" xfId="4591" xr:uid="{00000000-0005-0000-0000-0000CD060000}"/>
    <cellStyle name="40% - Accent5 4 7 2" xfId="22364" xr:uid="{380DB149-32C0-4363-A20A-700045581872}"/>
    <cellStyle name="40% - Accent5 4 7 2 2" xfId="39258" xr:uid="{762E6D99-B4E8-48A0-B697-17933A3B0C23}"/>
    <cellStyle name="40% - Accent5 4 7 3" xfId="13917" xr:uid="{4661912B-8011-46BD-A467-0A269DD38D85}"/>
    <cellStyle name="40% - Accent5 4 7 4" xfId="30811" xr:uid="{274CF597-B742-42D0-AAF4-D7114248EB60}"/>
    <cellStyle name="40% - Accent5 4 8" xfId="8956" xr:uid="{20EBAEFE-DF5E-4B38-878B-CDA5BD3DABC1}"/>
    <cellStyle name="40% - Accent5 4 8 2" xfId="18147" xr:uid="{3FB805BF-9E01-4A74-BC06-7F8CC7DDA80A}"/>
    <cellStyle name="40% - Accent5 4 8 3" xfId="35041" xr:uid="{1F018FB3-7F58-48AC-B0DD-2534F385288B}"/>
    <cellStyle name="40% - Accent5 4 9" xfId="9700" xr:uid="{26C86488-11C8-40E5-BBF9-1E75F6E2E2E9}"/>
    <cellStyle name="40% - Accent5 5" xfId="650" xr:uid="{00000000-0005-0000-0000-0000CE060000}"/>
    <cellStyle name="40% - Accent5 5 2" xfId="2921" xr:uid="{00000000-0005-0000-0000-0000CF060000}"/>
    <cellStyle name="40% - Accent5 5 2 2" xfId="7143" xr:uid="{00000000-0005-0000-0000-0000D0060000}"/>
    <cellStyle name="40% - Accent5 5 2 2 2" xfId="24916" xr:uid="{CF592EF2-E6D0-4CA4-98F1-3E4CCF6A78AF}"/>
    <cellStyle name="40% - Accent5 5 2 2 2 2" xfId="41810" xr:uid="{2E6E9C69-91EC-463C-B5A8-3F9EF39E4980}"/>
    <cellStyle name="40% - Accent5 5 2 2 3" xfId="16469" xr:uid="{C65096A0-DBDD-45DC-88B3-6BF88DB62315}"/>
    <cellStyle name="40% - Accent5 5 2 2 4" xfId="33363" xr:uid="{051F65C7-AB83-480E-B4D6-A69945AC2835}"/>
    <cellStyle name="40% - Accent5 5 2 3" xfId="20699" xr:uid="{04BC8C3A-6282-45D3-ABB7-5398E9552914}"/>
    <cellStyle name="40% - Accent5 5 2 3 2" xfId="37593" xr:uid="{6619475E-F727-4D58-9654-C731848A70BE}"/>
    <cellStyle name="40% - Accent5 5 2 4" xfId="12252" xr:uid="{844B299E-365F-468E-9EAC-62C809B1C8FB}"/>
    <cellStyle name="40% - Accent5 5 2 5" xfId="29146" xr:uid="{DEA99597-CB66-4DED-BAD6-28F98F34A8A8}"/>
    <cellStyle name="40% - Accent5 5 3" xfId="4998" xr:uid="{00000000-0005-0000-0000-0000D1060000}"/>
    <cellStyle name="40% - Accent5 5 3 2" xfId="22771" xr:uid="{3B910A4D-3EF3-48BB-AF9E-0E3A3806F825}"/>
    <cellStyle name="40% - Accent5 5 3 2 2" xfId="39665" xr:uid="{CFDF1D87-53D3-48D9-B028-889CD8003213}"/>
    <cellStyle name="40% - Accent5 5 3 3" xfId="14324" xr:uid="{1A980B22-61DD-41BD-BBA8-7453749605ED}"/>
    <cellStyle name="40% - Accent5 5 3 4" xfId="31218" xr:uid="{AD922AC2-CFD0-4416-96E6-6CDDC9D54E84}"/>
    <cellStyle name="40% - Accent5 5 4" xfId="9189" xr:uid="{AE9A155E-B06B-4FF1-8984-8F7810581B15}"/>
    <cellStyle name="40% - Accent5 5 4 2" xfId="18554" xr:uid="{F01A136F-0545-4D9D-880D-37FAE20D6936}"/>
    <cellStyle name="40% - Accent5 5 4 3" xfId="35448" xr:uid="{8231C0F0-E7DD-4E76-B5DE-63EF3BC914D8}"/>
    <cellStyle name="40% - Accent5 5 5" xfId="10107" xr:uid="{A891238F-0A81-46B1-8296-2DD8C79E428A}"/>
    <cellStyle name="40% - Accent5 5 6" xfId="27001" xr:uid="{FC824413-61DA-45F8-9B35-4AB2E90A74B9}"/>
    <cellStyle name="40% - Accent5 6" xfId="1103" xr:uid="{00000000-0005-0000-0000-0000D2060000}"/>
    <cellStyle name="40% - Accent5 6 2" xfId="3334" xr:uid="{00000000-0005-0000-0000-0000D3060000}"/>
    <cellStyle name="40% - Accent5 6 2 2" xfId="7556" xr:uid="{00000000-0005-0000-0000-0000D4060000}"/>
    <cellStyle name="40% - Accent5 6 2 2 2" xfId="25329" xr:uid="{3536BD76-2C29-4D07-A8A6-56A5A46F08B3}"/>
    <cellStyle name="40% - Accent5 6 2 2 2 2" xfId="42223" xr:uid="{06549D55-4688-438C-856D-FB040893FFD4}"/>
    <cellStyle name="40% - Accent5 6 2 2 3" xfId="16882" xr:uid="{A7204171-F9DF-4844-BF90-EFD6C8834141}"/>
    <cellStyle name="40% - Accent5 6 2 2 4" xfId="33776" xr:uid="{310A6B9E-5884-4132-9F87-4635616CD375}"/>
    <cellStyle name="40% - Accent5 6 2 3" xfId="21112" xr:uid="{207BF6B4-06C8-436A-8F5A-9B5671AC348C}"/>
    <cellStyle name="40% - Accent5 6 2 3 2" xfId="38006" xr:uid="{CFE43DC9-19C0-46CC-B936-1B67726F2BB4}"/>
    <cellStyle name="40% - Accent5 6 2 4" xfId="12665" xr:uid="{6F3A5464-F2B0-4B4A-8342-DDA319933304}"/>
    <cellStyle name="40% - Accent5 6 2 5" xfId="29559" xr:uid="{0F019DE0-5894-4281-9DF2-7D6704561355}"/>
    <cellStyle name="40% - Accent5 6 3" xfId="5411" xr:uid="{00000000-0005-0000-0000-0000D5060000}"/>
    <cellStyle name="40% - Accent5 6 3 2" xfId="23184" xr:uid="{ADF21E65-8258-4BD3-99FE-702558FE8B3F}"/>
    <cellStyle name="40% - Accent5 6 3 2 2" xfId="40078" xr:uid="{B4A749DA-62F1-4F6F-B64A-EC68EF0FFAC8}"/>
    <cellStyle name="40% - Accent5 6 3 3" xfId="14737" xr:uid="{9B50F804-53E1-41AF-A43B-022F1D7C7804}"/>
    <cellStyle name="40% - Accent5 6 3 4" xfId="31631" xr:uid="{FE4EEC28-5983-45FB-92CE-8DFDDB37D65B}"/>
    <cellStyle name="40% - Accent5 6 4" xfId="18967" xr:uid="{E4377E1F-DA50-42F1-B97D-63C744428693}"/>
    <cellStyle name="40% - Accent5 6 4 2" xfId="35861" xr:uid="{3A7BACDB-B1FF-412C-9460-2BCF54EAFCF4}"/>
    <cellStyle name="40% - Accent5 6 5" xfId="10520" xr:uid="{82FD8BEE-9948-4E13-B86B-695764DF2754}"/>
    <cellStyle name="40% - Accent5 6 6" xfId="27414" xr:uid="{786A7CF8-0F6A-4DB9-9244-4E8407F4E3A1}"/>
    <cellStyle name="40% - Accent5 7" xfId="1517" xr:uid="{00000000-0005-0000-0000-0000D6060000}"/>
    <cellStyle name="40% - Accent5 7 2" xfId="3747" xr:uid="{00000000-0005-0000-0000-0000D7060000}"/>
    <cellStyle name="40% - Accent5 7 2 2" xfId="7969" xr:uid="{00000000-0005-0000-0000-0000D8060000}"/>
    <cellStyle name="40% - Accent5 7 2 2 2" xfId="25742" xr:uid="{F1F5A51E-BB6E-4741-B8CE-B34F19D5F3E3}"/>
    <cellStyle name="40% - Accent5 7 2 2 2 2" xfId="42636" xr:uid="{F1FB8F86-AF6A-4A08-9354-66C75F39DEF8}"/>
    <cellStyle name="40% - Accent5 7 2 2 3" xfId="17295" xr:uid="{421EAAF0-7EC9-40B8-8763-CF1A9CB4AB8C}"/>
    <cellStyle name="40% - Accent5 7 2 2 4" xfId="34189" xr:uid="{EF493A86-04D1-4290-BADB-B3AF64EA5494}"/>
    <cellStyle name="40% - Accent5 7 2 3" xfId="21525" xr:uid="{FB40D5D0-2DEC-4344-BDD4-AA12F4EFB7EE}"/>
    <cellStyle name="40% - Accent5 7 2 3 2" xfId="38419" xr:uid="{758D9A32-476E-48A3-9362-92A96DA45DC4}"/>
    <cellStyle name="40% - Accent5 7 2 4" xfId="13078" xr:uid="{D67F8759-08FA-4493-9A4C-614BA6930279}"/>
    <cellStyle name="40% - Accent5 7 2 5" xfId="29972" xr:uid="{1BD15EF5-BA0C-4D41-877E-6DFDDFA1BF8A}"/>
    <cellStyle name="40% - Accent5 7 3" xfId="5824" xr:uid="{00000000-0005-0000-0000-0000D9060000}"/>
    <cellStyle name="40% - Accent5 7 3 2" xfId="23597" xr:uid="{A222235A-BF36-4815-90CE-C03C4CFA4E9C}"/>
    <cellStyle name="40% - Accent5 7 3 2 2" xfId="40491" xr:uid="{F1D872BD-5DA3-491B-B615-3DCBDB5615B3}"/>
    <cellStyle name="40% - Accent5 7 3 3" xfId="15150" xr:uid="{C5DDB7EF-75B6-43EF-852C-5738D44470F5}"/>
    <cellStyle name="40% - Accent5 7 3 4" xfId="32044" xr:uid="{BC980C09-F791-4969-A79E-177F8796220B}"/>
    <cellStyle name="40% - Accent5 7 4" xfId="19380" xr:uid="{AF233D4B-ED6D-4143-9718-F63CB9455A02}"/>
    <cellStyle name="40% - Accent5 7 4 2" xfId="36274" xr:uid="{8D87DA33-8452-4F3F-BD28-C226E63F26D3}"/>
    <cellStyle name="40% - Accent5 7 5" xfId="10933" xr:uid="{291DDBE5-591D-4BCF-8DC1-C7C97D59C519}"/>
    <cellStyle name="40% - Accent5 7 6" xfId="27827" xr:uid="{1A2CBF67-37C7-4606-8071-6793EBF2C0BE}"/>
    <cellStyle name="40% - Accent5 8" xfId="1931" xr:uid="{00000000-0005-0000-0000-0000DA060000}"/>
    <cellStyle name="40% - Accent5 8 2" xfId="4160" xr:uid="{00000000-0005-0000-0000-0000DB060000}"/>
    <cellStyle name="40% - Accent5 8 2 2" xfId="8382" xr:uid="{00000000-0005-0000-0000-0000DC060000}"/>
    <cellStyle name="40% - Accent5 8 2 2 2" xfId="26155" xr:uid="{3284C54A-BFC9-4BB1-95A8-F9FF3ED18527}"/>
    <cellStyle name="40% - Accent5 8 2 2 2 2" xfId="43049" xr:uid="{F00FDE6E-9E83-44D3-BB00-8EE4705A5D96}"/>
    <cellStyle name="40% - Accent5 8 2 2 3" xfId="17708" xr:uid="{2DE998D9-ACFC-4FC6-A9F1-77ACCE569861}"/>
    <cellStyle name="40% - Accent5 8 2 2 4" xfId="34602" xr:uid="{7836277D-8E24-4D12-ABBE-CB259F2377F2}"/>
    <cellStyle name="40% - Accent5 8 2 3" xfId="21938" xr:uid="{F14A0764-6F36-42EE-B3AE-BB3136CD0ACD}"/>
    <cellStyle name="40% - Accent5 8 2 3 2" xfId="38832" xr:uid="{AEAFB2DB-80A0-455F-9D8B-7FC371A54FCC}"/>
    <cellStyle name="40% - Accent5 8 2 4" xfId="13491" xr:uid="{E805358F-7415-4262-8087-A4CA7D164566}"/>
    <cellStyle name="40% - Accent5 8 2 5" xfId="30385" xr:uid="{95D72C1E-199C-48A3-9D8A-EB72189E5949}"/>
    <cellStyle name="40% - Accent5 8 3" xfId="6237" xr:uid="{00000000-0005-0000-0000-0000DD060000}"/>
    <cellStyle name="40% - Accent5 8 3 2" xfId="24010" xr:uid="{B99A43AF-7BC5-4774-9A07-9AE659E470BF}"/>
    <cellStyle name="40% - Accent5 8 3 2 2" xfId="40904" xr:uid="{7F834B9A-D45F-4E49-B57C-85CE224D3257}"/>
    <cellStyle name="40% - Accent5 8 3 3" xfId="15563" xr:uid="{5AFCC981-5F62-4631-899D-8A3A14784844}"/>
    <cellStyle name="40% - Accent5 8 3 4" xfId="32457" xr:uid="{175BE396-3DB5-47CF-B23B-18474DDDFBC1}"/>
    <cellStyle name="40% - Accent5 8 4" xfId="19793" xr:uid="{B7275E34-3F42-4E76-8650-7EE84DE6E8C8}"/>
    <cellStyle name="40% - Accent5 8 4 2" xfId="36687" xr:uid="{56B2E7D5-9C96-42C3-A921-4A3354FF7301}"/>
    <cellStyle name="40% - Accent5 8 5" xfId="11346" xr:uid="{53084D89-852D-4C83-A80C-A2AC685334AC}"/>
    <cellStyle name="40% - Accent5 8 6" xfId="28240" xr:uid="{AF9FE1AE-68DF-4144-B5C2-5EEC853B16D5}"/>
    <cellStyle name="40% - Accent5 9" xfId="2344" xr:uid="{00000000-0005-0000-0000-0000DE060000}"/>
    <cellStyle name="40% - Accent5 9 2" xfId="6650" xr:uid="{00000000-0005-0000-0000-0000DF060000}"/>
    <cellStyle name="40% - Accent5 9 2 2" xfId="24423" xr:uid="{440A28C0-5A7C-47DF-B22A-1143FDFEF0CF}"/>
    <cellStyle name="40% - Accent5 9 2 2 2" xfId="41317" xr:uid="{066797B3-1B9E-4C27-A4AA-E2F3A7807A60}"/>
    <cellStyle name="40% - Accent5 9 2 3" xfId="15976" xr:uid="{BC925DE9-C606-457F-95CA-3601A65A005A}"/>
    <cellStyle name="40% - Accent5 9 2 4" xfId="32870" xr:uid="{6D390E69-316D-4FAF-83C8-9D9FA34195B6}"/>
    <cellStyle name="40% - Accent5 9 3" xfId="20206" xr:uid="{89EE4D4F-EE71-4523-89D1-6C808A12B9C9}"/>
    <cellStyle name="40% - Accent5 9 3 2" xfId="37100" xr:uid="{46FCC98D-B653-4EA0-B602-F8A1F108684D}"/>
    <cellStyle name="40% - Accent5 9 4" xfId="11759" xr:uid="{587B2F19-F489-482A-8DBA-2C8EEFC54137}"/>
    <cellStyle name="40% - Accent5 9 5" xfId="28653" xr:uid="{62C7775E-CFC5-4DD1-8B59-04ACB2DA5FEA}"/>
    <cellStyle name="40% - Accent6" xfId="89" builtinId="51" customBuiltin="1"/>
    <cellStyle name="40% - Accent6 10" xfId="4592" xr:uid="{00000000-0005-0000-0000-0000E1060000}"/>
    <cellStyle name="40% - Accent6 10 2" xfId="22365" xr:uid="{91E6BCD0-A2D7-463C-A6FB-3E36D70F2E92}"/>
    <cellStyle name="40% - Accent6 10 2 2" xfId="39259" xr:uid="{2ECF1DB4-D1A4-4BD9-912A-FD6F159EE65D}"/>
    <cellStyle name="40% - Accent6 10 3" xfId="13918" xr:uid="{6A23810F-53AC-4E2A-B76A-FC4B00F7D503}"/>
    <cellStyle name="40% - Accent6 10 4" xfId="30812" xr:uid="{52EFD250-8540-43B7-9432-BEFC03422A8D}"/>
    <cellStyle name="40% - Accent6 11" xfId="8769" xr:uid="{8369FE49-3815-490F-BF3A-3BEB88E35DFA}"/>
    <cellStyle name="40% - Accent6 11 2" xfId="18148" xr:uid="{0B874B3C-58FB-4C09-A177-E71B8C669FD4}"/>
    <cellStyle name="40% - Accent6 11 3" xfId="35042" xr:uid="{E584BDC6-75CE-4D80-9297-132377717E3B}"/>
    <cellStyle name="40% - Accent6 12" xfId="9701" xr:uid="{42EE927B-8E80-45DA-A41F-64A3EFDA0262}"/>
    <cellStyle name="40% - Accent6 13" xfId="26595" xr:uid="{64EBA3F9-6AFC-4BEC-BF37-89D35748E6F0}"/>
    <cellStyle name="40% - Accent6 2" xfId="90" xr:uid="{00000000-0005-0000-0000-0000E2060000}"/>
    <cellStyle name="40% - Accent6 2 10" xfId="8803" xr:uid="{3530B69D-EB1D-41EA-A6FB-440FE4FE29AB}"/>
    <cellStyle name="40% - Accent6 2 10 2" xfId="18149" xr:uid="{C41410EB-49FF-42C0-A4D2-3F65CEB8F274}"/>
    <cellStyle name="40% - Accent6 2 10 3" xfId="35043" xr:uid="{5B7750A7-CD7D-4194-89A4-56B651AC11AF}"/>
    <cellStyle name="40% - Accent6 2 11" xfId="9702" xr:uid="{48ABE41A-E4E9-4D40-A98D-4BB3A5E60382}"/>
    <cellStyle name="40% - Accent6 2 12" xfId="26596" xr:uid="{880707DA-F7A8-4C31-847C-C9D9F9B13D42}"/>
    <cellStyle name="40% - Accent6 2 2" xfId="91" xr:uid="{00000000-0005-0000-0000-0000E3060000}"/>
    <cellStyle name="40% - Accent6 2 2 10" xfId="9703" xr:uid="{FFD3D326-EE64-4FA4-B987-BE92A6C65F43}"/>
    <cellStyle name="40% - Accent6 2 2 11" xfId="26597" xr:uid="{A901A6BF-A588-42EE-93B5-C4B4CD691414}"/>
    <cellStyle name="40% - Accent6 2 2 2" xfId="92" xr:uid="{00000000-0005-0000-0000-0000E4060000}"/>
    <cellStyle name="40% - Accent6 2 2 2 10" xfId="26598" xr:uid="{418619C5-4724-4143-88C2-1D01E4EB1964}"/>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2 2 2" xfId="24927" xr:uid="{D9A01070-9C3B-47DE-8F83-8910E79848FD}"/>
    <cellStyle name="40% - Accent6 2 2 2 2 2 2 2 2" xfId="41821" xr:uid="{C5B6CDAA-DE8D-47A9-B3B4-CB7FFE54E8B3}"/>
    <cellStyle name="40% - Accent6 2 2 2 2 2 2 3" xfId="16480" xr:uid="{5E914C1C-C1F0-4692-9551-8B49FB383005}"/>
    <cellStyle name="40% - Accent6 2 2 2 2 2 2 4" xfId="33374" xr:uid="{A632FFA6-49B1-474A-B17B-BF590D173F8D}"/>
    <cellStyle name="40% - Accent6 2 2 2 2 2 3" xfId="20710" xr:uid="{8879BF35-74D1-4A8E-9C73-EEACCF8C51D6}"/>
    <cellStyle name="40% - Accent6 2 2 2 2 2 3 2" xfId="37604" xr:uid="{0B7137F0-160B-432E-8FBD-E8605CB55463}"/>
    <cellStyle name="40% - Accent6 2 2 2 2 2 4" xfId="12263" xr:uid="{A7B7AAA0-1FEE-444E-AA3E-5795508B6E69}"/>
    <cellStyle name="40% - Accent6 2 2 2 2 2 5" xfId="29157" xr:uid="{0566CE64-4EAC-4ABC-9FA1-BD7F4951A2B8}"/>
    <cellStyle name="40% - Accent6 2 2 2 2 3" xfId="5009" xr:uid="{00000000-0005-0000-0000-0000E8060000}"/>
    <cellStyle name="40% - Accent6 2 2 2 2 3 2" xfId="22782" xr:uid="{D961B79F-1753-488B-87BC-6766A02F2038}"/>
    <cellStyle name="40% - Accent6 2 2 2 2 3 2 2" xfId="39676" xr:uid="{5EDD8C00-202B-4DE3-8B28-2E1722FE314B}"/>
    <cellStyle name="40% - Accent6 2 2 2 2 3 3" xfId="14335" xr:uid="{D042D22F-5325-4AB4-87AC-EB2F33EEBB32}"/>
    <cellStyle name="40% - Accent6 2 2 2 2 3 4" xfId="31229" xr:uid="{82C0D5B6-1DED-484F-B5D2-E3BA1B7799F0}"/>
    <cellStyle name="40% - Accent6 2 2 2 2 4" xfId="9538" xr:uid="{D1801D0B-FDF1-4C59-8DE2-DEC53081BC5D}"/>
    <cellStyle name="40% - Accent6 2 2 2 2 4 2" xfId="18565" xr:uid="{CC80A2AB-DFFE-4121-B518-EB56722150B4}"/>
    <cellStyle name="40% - Accent6 2 2 2 2 4 3" xfId="35459" xr:uid="{8D85239A-57E2-42E2-B6C1-766262AE33C8}"/>
    <cellStyle name="40% - Accent6 2 2 2 2 5" xfId="10118" xr:uid="{959BE629-5E13-4822-B116-0D89C847D84E}"/>
    <cellStyle name="40% - Accent6 2 2 2 2 6" xfId="27012" xr:uid="{D3D244D8-44CB-4FDB-AA48-8160027FA2D9}"/>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2 2 2" xfId="25340" xr:uid="{806EF17D-17BC-4699-B5D9-8C172299BE48}"/>
    <cellStyle name="40% - Accent6 2 2 2 3 2 2 2 2" xfId="42234" xr:uid="{797B72FF-1281-47C0-896D-C9B54E720F8C}"/>
    <cellStyle name="40% - Accent6 2 2 2 3 2 2 3" xfId="16893" xr:uid="{39DD1FA9-838E-4BB6-AD2D-95D11EC80D51}"/>
    <cellStyle name="40% - Accent6 2 2 2 3 2 2 4" xfId="33787" xr:uid="{F2C8F131-18E6-4A38-AD24-0A5E5C8E87EB}"/>
    <cellStyle name="40% - Accent6 2 2 2 3 2 3" xfId="21123" xr:uid="{31F32644-7C33-4883-BE99-9287655821B2}"/>
    <cellStyle name="40% - Accent6 2 2 2 3 2 3 2" xfId="38017" xr:uid="{5FD30856-0605-41B0-93DF-0CD2C3547EAA}"/>
    <cellStyle name="40% - Accent6 2 2 2 3 2 4" xfId="12676" xr:uid="{34FBDD8F-E0EA-4F75-A8B3-1FEFAB90E7E9}"/>
    <cellStyle name="40% - Accent6 2 2 2 3 2 5" xfId="29570" xr:uid="{98D0CD0B-7958-4BCD-A581-3ECC31B806BE}"/>
    <cellStyle name="40% - Accent6 2 2 2 3 3" xfId="5422" xr:uid="{00000000-0005-0000-0000-0000EC060000}"/>
    <cellStyle name="40% - Accent6 2 2 2 3 3 2" xfId="23195" xr:uid="{7D8DFF36-B77E-48D9-8D41-658B6C571611}"/>
    <cellStyle name="40% - Accent6 2 2 2 3 3 2 2" xfId="40089" xr:uid="{B1392F9A-BC08-4D7E-9852-8250846746B9}"/>
    <cellStyle name="40% - Accent6 2 2 2 3 3 3" xfId="14748" xr:uid="{2F8086B9-7A10-423B-8C57-9351E7DC9304}"/>
    <cellStyle name="40% - Accent6 2 2 2 3 3 4" xfId="31642" xr:uid="{B9E22124-AAC5-43CC-9200-3A7178995A31}"/>
    <cellStyle name="40% - Accent6 2 2 2 3 4" xfId="18978" xr:uid="{27022DC3-5DB6-4922-B424-98521A1FBC35}"/>
    <cellStyle name="40% - Accent6 2 2 2 3 4 2" xfId="35872" xr:uid="{3D0403D8-86A9-4707-9A46-37F71DA3068A}"/>
    <cellStyle name="40% - Accent6 2 2 2 3 5" xfId="10531" xr:uid="{E915B067-E268-439C-9EB5-E9D441AA3E34}"/>
    <cellStyle name="40% - Accent6 2 2 2 3 6" xfId="27425" xr:uid="{1F03D687-A7CB-45F6-A300-6C324589335D}"/>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2 2 2" xfId="25753" xr:uid="{69337605-810C-4AA5-B101-269908497313}"/>
    <cellStyle name="40% - Accent6 2 2 2 4 2 2 2 2" xfId="42647" xr:uid="{9E887CF0-EB1E-495B-9449-1C1425CEF692}"/>
    <cellStyle name="40% - Accent6 2 2 2 4 2 2 3" xfId="17306" xr:uid="{443EFDCB-30FA-4066-B30C-FA6690AA66A8}"/>
    <cellStyle name="40% - Accent6 2 2 2 4 2 2 4" xfId="34200" xr:uid="{F6FBA094-0868-452F-954C-A615A865A368}"/>
    <cellStyle name="40% - Accent6 2 2 2 4 2 3" xfId="21536" xr:uid="{D6D82998-F864-4F63-B14B-F9EBB79784E0}"/>
    <cellStyle name="40% - Accent6 2 2 2 4 2 3 2" xfId="38430" xr:uid="{C995759A-E943-417B-BAD2-8DFEB1E5B5C3}"/>
    <cellStyle name="40% - Accent6 2 2 2 4 2 4" xfId="13089" xr:uid="{B68E9C0F-C519-4D71-BDE5-6479F632702B}"/>
    <cellStyle name="40% - Accent6 2 2 2 4 2 5" xfId="29983" xr:uid="{B75C2C56-7442-4AB9-A10B-D7A817B19632}"/>
    <cellStyle name="40% - Accent6 2 2 2 4 3" xfId="5835" xr:uid="{00000000-0005-0000-0000-0000F0060000}"/>
    <cellStyle name="40% - Accent6 2 2 2 4 3 2" xfId="23608" xr:uid="{1A7B4C43-FD05-48CA-92BC-F1025E20E417}"/>
    <cellStyle name="40% - Accent6 2 2 2 4 3 2 2" xfId="40502" xr:uid="{D42288F9-9CA3-4AE0-989B-A854E44580FD}"/>
    <cellStyle name="40% - Accent6 2 2 2 4 3 3" xfId="15161" xr:uid="{FED5CC86-3B59-42B4-B896-075C3597FB10}"/>
    <cellStyle name="40% - Accent6 2 2 2 4 3 4" xfId="32055" xr:uid="{EDFB3837-65B3-4E99-9511-C53D5F455FFE}"/>
    <cellStyle name="40% - Accent6 2 2 2 4 4" xfId="19391" xr:uid="{A05F8A26-C528-40F9-8E45-230DC68D4892}"/>
    <cellStyle name="40% - Accent6 2 2 2 4 4 2" xfId="36285" xr:uid="{E1AE0ABE-1401-4A2C-AD6A-13850897F3CD}"/>
    <cellStyle name="40% - Accent6 2 2 2 4 5" xfId="10944" xr:uid="{2B102129-1719-451E-B148-46DD00E1C061}"/>
    <cellStyle name="40% - Accent6 2 2 2 4 6" xfId="27838" xr:uid="{17DA671A-8ADF-4C40-AE30-1D7A45B67ACB}"/>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2 2 2" xfId="26166" xr:uid="{B0E1A711-4B06-47AE-BBF2-BFE37CB507ED}"/>
    <cellStyle name="40% - Accent6 2 2 2 5 2 2 2 2" xfId="43060" xr:uid="{A10EFA63-BD8A-441E-9F67-851C49F91636}"/>
    <cellStyle name="40% - Accent6 2 2 2 5 2 2 3" xfId="17719" xr:uid="{EE844289-D962-45D4-8EEA-E37984371150}"/>
    <cellStyle name="40% - Accent6 2 2 2 5 2 2 4" xfId="34613" xr:uid="{952C89E3-38B3-4548-83A0-CBD78EFC350B}"/>
    <cellStyle name="40% - Accent6 2 2 2 5 2 3" xfId="21949" xr:uid="{F94F3834-0E3C-4721-9F90-DD188D4649C1}"/>
    <cellStyle name="40% - Accent6 2 2 2 5 2 3 2" xfId="38843" xr:uid="{F5ED566A-D677-49E3-92DE-776635F687B4}"/>
    <cellStyle name="40% - Accent6 2 2 2 5 2 4" xfId="13502" xr:uid="{5644E0B2-0C48-450E-B1CC-852E3C863A58}"/>
    <cellStyle name="40% - Accent6 2 2 2 5 2 5" xfId="30396" xr:uid="{4EC1D518-4B9F-4924-9CFA-384B42A62482}"/>
    <cellStyle name="40% - Accent6 2 2 2 5 3" xfId="6248" xr:uid="{00000000-0005-0000-0000-0000F4060000}"/>
    <cellStyle name="40% - Accent6 2 2 2 5 3 2" xfId="24021" xr:uid="{1E7533FC-F1AD-415C-83F1-08C697FE50D8}"/>
    <cellStyle name="40% - Accent6 2 2 2 5 3 2 2" xfId="40915" xr:uid="{EB4CA560-948F-4CD8-BC58-83B490DC84AF}"/>
    <cellStyle name="40% - Accent6 2 2 2 5 3 3" xfId="15574" xr:uid="{9637D343-B5A5-4FCF-8394-F1B64EC6B461}"/>
    <cellStyle name="40% - Accent6 2 2 2 5 3 4" xfId="32468" xr:uid="{C61E96B1-1A4A-4A55-ACD1-38999F0ADF5A}"/>
    <cellStyle name="40% - Accent6 2 2 2 5 4" xfId="19804" xr:uid="{99BBEE60-6A14-4273-957B-EB7863F8F521}"/>
    <cellStyle name="40% - Accent6 2 2 2 5 4 2" xfId="36698" xr:uid="{EA188FF7-B68C-444A-B5DA-F9810125DFD2}"/>
    <cellStyle name="40% - Accent6 2 2 2 5 5" xfId="11357" xr:uid="{6BCA4D02-0747-4CD3-A9F0-BEA0275F06BF}"/>
    <cellStyle name="40% - Accent6 2 2 2 5 6" xfId="28251" xr:uid="{0BB44260-8A01-44BA-A91D-74F09E521FB9}"/>
    <cellStyle name="40% - Accent6 2 2 2 6" xfId="2355" xr:uid="{00000000-0005-0000-0000-0000F5060000}"/>
    <cellStyle name="40% - Accent6 2 2 2 6 2" xfId="6661" xr:uid="{00000000-0005-0000-0000-0000F6060000}"/>
    <cellStyle name="40% - Accent6 2 2 2 6 2 2" xfId="24434" xr:uid="{7E1F2A15-4129-499B-805E-222C040B466C}"/>
    <cellStyle name="40% - Accent6 2 2 2 6 2 2 2" xfId="41328" xr:uid="{7ABA29CF-B63C-461E-9362-9586138AC6CA}"/>
    <cellStyle name="40% - Accent6 2 2 2 6 2 3" xfId="15987" xr:uid="{CFEB216C-383D-4F88-961E-F044FD2D2764}"/>
    <cellStyle name="40% - Accent6 2 2 2 6 2 4" xfId="32881" xr:uid="{3EB9201A-0582-4A8E-92B8-A4D50FB24640}"/>
    <cellStyle name="40% - Accent6 2 2 2 6 3" xfId="20217" xr:uid="{848CA082-F7C2-4F30-9E02-1807DAD26271}"/>
    <cellStyle name="40% - Accent6 2 2 2 6 3 2" xfId="37111" xr:uid="{33CD1388-03F3-462D-AAF0-FA93E4A7DA4B}"/>
    <cellStyle name="40% - Accent6 2 2 2 6 4" xfId="11770" xr:uid="{13F4CAA0-29F0-4C2C-B29B-7DDE9553022D}"/>
    <cellStyle name="40% - Accent6 2 2 2 6 5" xfId="28664" xr:uid="{5660F4E5-63C9-4B4D-BD58-BB7820C2A4F7}"/>
    <cellStyle name="40% - Accent6 2 2 2 7" xfId="4595" xr:uid="{00000000-0005-0000-0000-0000F7060000}"/>
    <cellStyle name="40% - Accent6 2 2 2 7 2" xfId="22368" xr:uid="{F42DD6A4-444D-4BD0-83E4-BADB7FE70A57}"/>
    <cellStyle name="40% - Accent6 2 2 2 7 2 2" xfId="39262" xr:uid="{2D55F9B4-E096-4526-94B6-485FA3B84BEA}"/>
    <cellStyle name="40% - Accent6 2 2 2 7 3" xfId="13921" xr:uid="{DDF3ED36-E308-4DD7-B52F-E1A0EEE838A0}"/>
    <cellStyle name="40% - Accent6 2 2 2 7 4" xfId="30815" xr:uid="{CA935D48-699A-413C-B0ED-C6AE385B7D21}"/>
    <cellStyle name="40% - Accent6 2 2 2 8" xfId="9113" xr:uid="{D9373B4A-E1DA-437A-874A-FCE4D00708EB}"/>
    <cellStyle name="40% - Accent6 2 2 2 8 2" xfId="18151" xr:uid="{43E8990F-D0F3-42E0-B798-EC926AA8D6B4}"/>
    <cellStyle name="40% - Accent6 2 2 2 8 3" xfId="35045" xr:uid="{A8E86CA3-EFB9-4B88-9391-8E9E3390D883}"/>
    <cellStyle name="40% - Accent6 2 2 2 9" xfId="9704" xr:uid="{7E32288F-B348-40DD-A713-5DDA7C19008E}"/>
    <cellStyle name="40% - Accent6 2 2 3" xfId="660" xr:uid="{00000000-0005-0000-0000-0000F8060000}"/>
    <cellStyle name="40% - Accent6 2 2 3 2" xfId="2931" xr:uid="{00000000-0005-0000-0000-0000F9060000}"/>
    <cellStyle name="40% - Accent6 2 2 3 2 2" xfId="7153" xr:uid="{00000000-0005-0000-0000-0000FA060000}"/>
    <cellStyle name="40% - Accent6 2 2 3 2 2 2" xfId="24926" xr:uid="{603BFC95-35D4-48DC-B449-5477E9D7D4E6}"/>
    <cellStyle name="40% - Accent6 2 2 3 2 2 2 2" xfId="41820" xr:uid="{B80701E8-E6BF-4FD2-850C-8D3D6F4EAB68}"/>
    <cellStyle name="40% - Accent6 2 2 3 2 2 3" xfId="16479" xr:uid="{D155270B-895A-45B0-9E4F-779168595FD6}"/>
    <cellStyle name="40% - Accent6 2 2 3 2 2 4" xfId="33373" xr:uid="{2E51BA7E-9B5C-4764-8990-9CA0AEA7EE7D}"/>
    <cellStyle name="40% - Accent6 2 2 3 2 3" xfId="20709" xr:uid="{860BEC3A-3E35-40FE-AA6A-A9AC2853AFF2}"/>
    <cellStyle name="40% - Accent6 2 2 3 2 3 2" xfId="37603" xr:uid="{57724B75-A437-47CF-8CE9-C7CD8835A1F9}"/>
    <cellStyle name="40% - Accent6 2 2 3 2 4" xfId="12262" xr:uid="{075CA363-CE70-4480-BC19-C1CA5B2C3142}"/>
    <cellStyle name="40% - Accent6 2 2 3 2 5" xfId="29156" xr:uid="{D04F59DB-7573-4DEB-8D6A-C4E3D5EE2C61}"/>
    <cellStyle name="40% - Accent6 2 2 3 3" xfId="5008" xr:uid="{00000000-0005-0000-0000-0000FB060000}"/>
    <cellStyle name="40% - Accent6 2 2 3 3 2" xfId="22781" xr:uid="{7ED480E0-1F02-4B6A-8893-4ACC1C7AA429}"/>
    <cellStyle name="40% - Accent6 2 2 3 3 2 2" xfId="39675" xr:uid="{413138A9-E28C-465E-894D-932BD516586F}"/>
    <cellStyle name="40% - Accent6 2 2 3 3 3" xfId="14334" xr:uid="{3E133850-2ABB-4200-966F-B9EEC587BECB}"/>
    <cellStyle name="40% - Accent6 2 2 3 3 4" xfId="31228" xr:uid="{12A9CF18-6E8B-4375-A46E-1C8A3D0032D8}"/>
    <cellStyle name="40% - Accent6 2 2 3 4" xfId="9331" xr:uid="{223B62DA-AA8A-4703-B6D5-D6AA8918B034}"/>
    <cellStyle name="40% - Accent6 2 2 3 4 2" xfId="18564" xr:uid="{81A68CF7-2872-4E48-9403-594C94A4409B}"/>
    <cellStyle name="40% - Accent6 2 2 3 4 3" xfId="35458" xr:uid="{D78D26C3-70A9-4412-962F-5353912D4708}"/>
    <cellStyle name="40% - Accent6 2 2 3 5" xfId="10117" xr:uid="{292B7B51-7CB0-4382-B927-CF853B7E07B2}"/>
    <cellStyle name="40% - Accent6 2 2 3 6" xfId="27011" xr:uid="{6BCECB70-68A1-41CE-A95D-EE3AE94F2ED1}"/>
    <cellStyle name="40% - Accent6 2 2 4" xfId="1113" xr:uid="{00000000-0005-0000-0000-0000FC060000}"/>
    <cellStyle name="40% - Accent6 2 2 4 2" xfId="3344" xr:uid="{00000000-0005-0000-0000-0000FD060000}"/>
    <cellStyle name="40% - Accent6 2 2 4 2 2" xfId="7566" xr:uid="{00000000-0005-0000-0000-0000FE060000}"/>
    <cellStyle name="40% - Accent6 2 2 4 2 2 2" xfId="25339" xr:uid="{0F494557-5478-4142-84D6-7DE268DAFFEE}"/>
    <cellStyle name="40% - Accent6 2 2 4 2 2 2 2" xfId="42233" xr:uid="{033157E2-ABE9-4987-8512-AF33F7E321BA}"/>
    <cellStyle name="40% - Accent6 2 2 4 2 2 3" xfId="16892" xr:uid="{DDC108D8-C9ED-422C-80CA-8171E05C60F1}"/>
    <cellStyle name="40% - Accent6 2 2 4 2 2 4" xfId="33786" xr:uid="{11729E4F-9E53-4DBD-A05F-3EA79EB8BEF7}"/>
    <cellStyle name="40% - Accent6 2 2 4 2 3" xfId="21122" xr:uid="{34AC3876-2071-473C-A7E9-AA7BC91D357C}"/>
    <cellStyle name="40% - Accent6 2 2 4 2 3 2" xfId="38016" xr:uid="{37D4656F-AFC2-4F6B-B713-EBA9D4AA98A2}"/>
    <cellStyle name="40% - Accent6 2 2 4 2 4" xfId="12675" xr:uid="{EDC55907-1EBE-4187-9C9C-ADE6E2B4CBAA}"/>
    <cellStyle name="40% - Accent6 2 2 4 2 5" xfId="29569" xr:uid="{87635311-834B-4E9F-AFCC-AC36C320C8F9}"/>
    <cellStyle name="40% - Accent6 2 2 4 3" xfId="5421" xr:uid="{00000000-0005-0000-0000-0000FF060000}"/>
    <cellStyle name="40% - Accent6 2 2 4 3 2" xfId="23194" xr:uid="{DEB766BA-92E5-46E1-967E-ECD0F09F3458}"/>
    <cellStyle name="40% - Accent6 2 2 4 3 2 2" xfId="40088" xr:uid="{BE997DD8-6210-459C-A472-2B6E0FD4DA8B}"/>
    <cellStyle name="40% - Accent6 2 2 4 3 3" xfId="14747" xr:uid="{31BE6D74-6988-40C0-8CDA-EF5B86911874}"/>
    <cellStyle name="40% - Accent6 2 2 4 3 4" xfId="31641" xr:uid="{A91BAF01-F7FD-4CD1-953A-FAD3F0BC95D5}"/>
    <cellStyle name="40% - Accent6 2 2 4 4" xfId="18977" xr:uid="{617F77B3-5A18-4BAE-93B1-D966A1D06861}"/>
    <cellStyle name="40% - Accent6 2 2 4 4 2" xfId="35871" xr:uid="{DDFE856C-57D1-4F35-8141-759DD944CB06}"/>
    <cellStyle name="40% - Accent6 2 2 4 5" xfId="10530" xr:uid="{EB4E438D-340F-4037-8D56-3F468134F7A5}"/>
    <cellStyle name="40% - Accent6 2 2 4 6" xfId="27424" xr:uid="{E0D95113-744C-4780-B3F9-3B2FE6A2A2C9}"/>
    <cellStyle name="40% - Accent6 2 2 5" xfId="1527" xr:uid="{00000000-0005-0000-0000-000000070000}"/>
    <cellStyle name="40% - Accent6 2 2 5 2" xfId="3757" xr:uid="{00000000-0005-0000-0000-000001070000}"/>
    <cellStyle name="40% - Accent6 2 2 5 2 2" xfId="7979" xr:uid="{00000000-0005-0000-0000-000002070000}"/>
    <cellStyle name="40% - Accent6 2 2 5 2 2 2" xfId="25752" xr:uid="{254DBBB9-F4E3-45FB-ABD5-F7022B03EE33}"/>
    <cellStyle name="40% - Accent6 2 2 5 2 2 2 2" xfId="42646" xr:uid="{F432EBA6-590A-47CD-83DD-3A67E04376DF}"/>
    <cellStyle name="40% - Accent6 2 2 5 2 2 3" xfId="17305" xr:uid="{CB35621C-68AC-4E82-BDEC-0D4792BD4866}"/>
    <cellStyle name="40% - Accent6 2 2 5 2 2 4" xfId="34199" xr:uid="{BB2C5952-588D-4CA2-A116-A9E2DF57D4AB}"/>
    <cellStyle name="40% - Accent6 2 2 5 2 3" xfId="21535" xr:uid="{46305E55-B164-4E24-ADF6-58CE1FBDDF58}"/>
    <cellStyle name="40% - Accent6 2 2 5 2 3 2" xfId="38429" xr:uid="{497FD69B-1243-4289-8403-608D81EAFE9B}"/>
    <cellStyle name="40% - Accent6 2 2 5 2 4" xfId="13088" xr:uid="{81531AE5-8A46-428A-8C0F-399DA1B53EBA}"/>
    <cellStyle name="40% - Accent6 2 2 5 2 5" xfId="29982" xr:uid="{662747FB-157E-48E8-9BCD-A8013BEA13A1}"/>
    <cellStyle name="40% - Accent6 2 2 5 3" xfId="5834" xr:uid="{00000000-0005-0000-0000-000003070000}"/>
    <cellStyle name="40% - Accent6 2 2 5 3 2" xfId="23607" xr:uid="{C3C1E853-059C-4350-8D04-54EE97A84B9F}"/>
    <cellStyle name="40% - Accent6 2 2 5 3 2 2" xfId="40501" xr:uid="{2D58FCD1-123E-4546-834B-3F619789D10C}"/>
    <cellStyle name="40% - Accent6 2 2 5 3 3" xfId="15160" xr:uid="{33C2E341-189D-4749-B8E5-C31F68FB8334}"/>
    <cellStyle name="40% - Accent6 2 2 5 3 4" xfId="32054" xr:uid="{259536BE-F9FC-4F21-8F96-C7C86DD606D9}"/>
    <cellStyle name="40% - Accent6 2 2 5 4" xfId="19390" xr:uid="{76A392F9-0BFD-4B48-9DC0-CCEA483B2495}"/>
    <cellStyle name="40% - Accent6 2 2 5 4 2" xfId="36284" xr:uid="{FAA0FAF0-566F-4F0E-95A2-866DC87CBB60}"/>
    <cellStyle name="40% - Accent6 2 2 5 5" xfId="10943" xr:uid="{195CD13A-275D-4558-93B0-DA87018730C3}"/>
    <cellStyle name="40% - Accent6 2 2 5 6" xfId="27837" xr:uid="{813F24FB-E614-4B11-8DD3-D89170A78AFB}"/>
    <cellStyle name="40% - Accent6 2 2 6" xfId="1941" xr:uid="{00000000-0005-0000-0000-000004070000}"/>
    <cellStyle name="40% - Accent6 2 2 6 2" xfId="4170" xr:uid="{00000000-0005-0000-0000-000005070000}"/>
    <cellStyle name="40% - Accent6 2 2 6 2 2" xfId="8392" xr:uid="{00000000-0005-0000-0000-000006070000}"/>
    <cellStyle name="40% - Accent6 2 2 6 2 2 2" xfId="26165" xr:uid="{0DF87A6E-F7A2-454C-899D-54BD4798C21A}"/>
    <cellStyle name="40% - Accent6 2 2 6 2 2 2 2" xfId="43059" xr:uid="{EC8BF8ED-ECC1-4127-BDD7-68B01F546F5C}"/>
    <cellStyle name="40% - Accent6 2 2 6 2 2 3" xfId="17718" xr:uid="{E956453B-9249-4AA8-8A78-91EE9C750EC3}"/>
    <cellStyle name="40% - Accent6 2 2 6 2 2 4" xfId="34612" xr:uid="{BF6FF749-7ED6-4B5A-BC79-8EA750DBA8A5}"/>
    <cellStyle name="40% - Accent6 2 2 6 2 3" xfId="21948" xr:uid="{49FA6494-770E-4E71-912F-38812C95FAA1}"/>
    <cellStyle name="40% - Accent6 2 2 6 2 3 2" xfId="38842" xr:uid="{23848C58-D9CE-4EFE-A276-C22EE00641EA}"/>
    <cellStyle name="40% - Accent6 2 2 6 2 4" xfId="13501" xr:uid="{FCAE9AE0-9040-4A07-ACD6-D75EBF5E8D8E}"/>
    <cellStyle name="40% - Accent6 2 2 6 2 5" xfId="30395" xr:uid="{4265CDCB-BB44-4AE6-B3E1-8BA8D445E2C7}"/>
    <cellStyle name="40% - Accent6 2 2 6 3" xfId="6247" xr:uid="{00000000-0005-0000-0000-000007070000}"/>
    <cellStyle name="40% - Accent6 2 2 6 3 2" xfId="24020" xr:uid="{46B3BE8E-3807-412A-B357-2DE7D2C5F55C}"/>
    <cellStyle name="40% - Accent6 2 2 6 3 2 2" xfId="40914" xr:uid="{8683AB26-F1C8-4A40-A386-E8697DAD9259}"/>
    <cellStyle name="40% - Accent6 2 2 6 3 3" xfId="15573" xr:uid="{4D3CE326-3D3C-495E-9A92-E339872708CC}"/>
    <cellStyle name="40% - Accent6 2 2 6 3 4" xfId="32467" xr:uid="{EB2B2302-7C79-44EF-9325-82AA2DA63302}"/>
    <cellStyle name="40% - Accent6 2 2 6 4" xfId="19803" xr:uid="{B8126050-268C-4A54-A72A-9A4395B4F470}"/>
    <cellStyle name="40% - Accent6 2 2 6 4 2" xfId="36697" xr:uid="{ECBE8750-1785-4E88-8113-EB1C3A3CD96F}"/>
    <cellStyle name="40% - Accent6 2 2 6 5" xfId="11356" xr:uid="{03F212E6-F54D-467D-A77F-940380541FDF}"/>
    <cellStyle name="40% - Accent6 2 2 6 6" xfId="28250" xr:uid="{451F37AB-7D1D-4A97-90F6-297A74F48037}"/>
    <cellStyle name="40% - Accent6 2 2 7" xfId="2354" xr:uid="{00000000-0005-0000-0000-000008070000}"/>
    <cellStyle name="40% - Accent6 2 2 7 2" xfId="6660" xr:uid="{00000000-0005-0000-0000-000009070000}"/>
    <cellStyle name="40% - Accent6 2 2 7 2 2" xfId="24433" xr:uid="{CA228838-2FC8-4941-96CB-12EA6FE57F0F}"/>
    <cellStyle name="40% - Accent6 2 2 7 2 2 2" xfId="41327" xr:uid="{715D5006-05F8-4144-9D9D-8F32F18143DA}"/>
    <cellStyle name="40% - Accent6 2 2 7 2 3" xfId="15986" xr:uid="{C558B01C-7724-40BD-AD5A-69918F8D3EA2}"/>
    <cellStyle name="40% - Accent6 2 2 7 2 4" xfId="32880" xr:uid="{989D1447-EE77-4AF7-B176-7CF0D8C6C490}"/>
    <cellStyle name="40% - Accent6 2 2 7 3" xfId="20216" xr:uid="{6F9E3D7B-DB95-4242-BE56-A5C763EAC9B7}"/>
    <cellStyle name="40% - Accent6 2 2 7 3 2" xfId="37110" xr:uid="{262F6940-77E6-4810-A930-9B2E7D745DF1}"/>
    <cellStyle name="40% - Accent6 2 2 7 4" xfId="11769" xr:uid="{DE9D19DE-4C81-430A-A6FC-3C774F74B91B}"/>
    <cellStyle name="40% - Accent6 2 2 7 5" xfId="28663" xr:uid="{5BEA0D7A-D4B6-4081-AC7C-989D346D38B4}"/>
    <cellStyle name="40% - Accent6 2 2 8" xfId="4594" xr:uid="{00000000-0005-0000-0000-00000A070000}"/>
    <cellStyle name="40% - Accent6 2 2 8 2" xfId="22367" xr:uid="{9F7F3CBA-9091-4BD8-AC94-01B78EB8B57C}"/>
    <cellStyle name="40% - Accent6 2 2 8 2 2" xfId="39261" xr:uid="{9B44249F-1738-4029-AE4C-3A45E620EE46}"/>
    <cellStyle name="40% - Accent6 2 2 8 3" xfId="13920" xr:uid="{B494A53B-A5D3-46E5-A20F-6A9BCBD2A496}"/>
    <cellStyle name="40% - Accent6 2 2 8 4" xfId="30814" xr:uid="{2605177F-3123-4DCD-926F-865FAF609C73}"/>
    <cellStyle name="40% - Accent6 2 2 9" xfId="8906" xr:uid="{C30FCA09-BA1A-4F54-9397-4FC676425C46}"/>
    <cellStyle name="40% - Accent6 2 2 9 2" xfId="18150" xr:uid="{F33F1686-9ED8-4652-99D6-E15E13F23C73}"/>
    <cellStyle name="40% - Accent6 2 2 9 3" xfId="35044" xr:uid="{FD20EDF2-1E4E-42BA-B36F-7A57F679189E}"/>
    <cellStyle name="40% - Accent6 2 3" xfId="93" xr:uid="{00000000-0005-0000-0000-00000B070000}"/>
    <cellStyle name="40% - Accent6 2 3 10" xfId="26599" xr:uid="{DE3B1199-9BE3-4FA4-8E8F-A6D1436E98EF}"/>
    <cellStyle name="40% - Accent6 2 3 2" xfId="662" xr:uid="{00000000-0005-0000-0000-00000C070000}"/>
    <cellStyle name="40% - Accent6 2 3 2 2" xfId="2933" xr:uid="{00000000-0005-0000-0000-00000D070000}"/>
    <cellStyle name="40% - Accent6 2 3 2 2 2" xfId="7155" xr:uid="{00000000-0005-0000-0000-00000E070000}"/>
    <cellStyle name="40% - Accent6 2 3 2 2 2 2" xfId="24928" xr:uid="{DDABBDA6-0669-4B9C-9A24-9AEB0485945D}"/>
    <cellStyle name="40% - Accent6 2 3 2 2 2 2 2" xfId="41822" xr:uid="{0A5C180C-86C6-4160-958E-2DF7108A8AA5}"/>
    <cellStyle name="40% - Accent6 2 3 2 2 2 3" xfId="16481" xr:uid="{79B8C3BE-2D86-46CA-985D-077F98D7A25A}"/>
    <cellStyle name="40% - Accent6 2 3 2 2 2 4" xfId="33375" xr:uid="{E973C7ED-15A2-4518-BAFB-9034C262AA36}"/>
    <cellStyle name="40% - Accent6 2 3 2 2 3" xfId="20711" xr:uid="{E1C947F8-1EA4-4B9E-9C79-BCA937BB624C}"/>
    <cellStyle name="40% - Accent6 2 3 2 2 3 2" xfId="37605" xr:uid="{21A7CCDC-B487-4482-A57E-6096F8767473}"/>
    <cellStyle name="40% - Accent6 2 3 2 2 4" xfId="12264" xr:uid="{FAD195CD-1B1B-4BA9-B38E-58B295D6D40E}"/>
    <cellStyle name="40% - Accent6 2 3 2 2 5" xfId="29158" xr:uid="{F48BF454-8160-47D7-BB14-69C7AD2C7BB8}"/>
    <cellStyle name="40% - Accent6 2 3 2 3" xfId="5010" xr:uid="{00000000-0005-0000-0000-00000F070000}"/>
    <cellStyle name="40% - Accent6 2 3 2 3 2" xfId="22783" xr:uid="{3D3678DB-BD91-4084-94E5-D5A2B2E5DD25}"/>
    <cellStyle name="40% - Accent6 2 3 2 3 2 2" xfId="39677" xr:uid="{22167C96-B3CE-45E6-A838-A84D0B59DB41}"/>
    <cellStyle name="40% - Accent6 2 3 2 3 3" xfId="14336" xr:uid="{389896F8-19AE-4BD2-A817-70C9EAFD1F76}"/>
    <cellStyle name="40% - Accent6 2 3 2 3 4" xfId="31230" xr:uid="{98A54D21-2E5A-4A62-8EF2-63385EA64F49}"/>
    <cellStyle name="40% - Accent6 2 3 2 4" xfId="9435" xr:uid="{36535681-1736-4584-8CB6-F8F38C9E0E5B}"/>
    <cellStyle name="40% - Accent6 2 3 2 4 2" xfId="18566" xr:uid="{6C1F5D34-1056-4057-9117-09582D094637}"/>
    <cellStyle name="40% - Accent6 2 3 2 4 3" xfId="35460" xr:uid="{57ECA717-7F9E-474D-BFAA-AEFC4EADCF72}"/>
    <cellStyle name="40% - Accent6 2 3 2 5" xfId="10119" xr:uid="{6BC7736C-B6D8-467A-A7CF-09FCE97DFEE1}"/>
    <cellStyle name="40% - Accent6 2 3 2 6" xfId="27013" xr:uid="{406A1E39-4A00-4E4C-BD32-5EB32D5D4DA0}"/>
    <cellStyle name="40% - Accent6 2 3 3" xfId="1115" xr:uid="{00000000-0005-0000-0000-000010070000}"/>
    <cellStyle name="40% - Accent6 2 3 3 2" xfId="3346" xr:uid="{00000000-0005-0000-0000-000011070000}"/>
    <cellStyle name="40% - Accent6 2 3 3 2 2" xfId="7568" xr:uid="{00000000-0005-0000-0000-000012070000}"/>
    <cellStyle name="40% - Accent6 2 3 3 2 2 2" xfId="25341" xr:uid="{7C922BFB-A9A2-4930-A7B9-06EDFD75676E}"/>
    <cellStyle name="40% - Accent6 2 3 3 2 2 2 2" xfId="42235" xr:uid="{2D65135E-4F0A-4BA8-9373-25FDAB1136B7}"/>
    <cellStyle name="40% - Accent6 2 3 3 2 2 3" xfId="16894" xr:uid="{8AA0C69E-08CA-4AD8-BA17-151389DBBBD2}"/>
    <cellStyle name="40% - Accent6 2 3 3 2 2 4" xfId="33788" xr:uid="{61C6C02E-F104-4AC0-AD40-52BC00A79538}"/>
    <cellStyle name="40% - Accent6 2 3 3 2 3" xfId="21124" xr:uid="{F7127BC1-5405-4529-A93A-4CD2DB248B66}"/>
    <cellStyle name="40% - Accent6 2 3 3 2 3 2" xfId="38018" xr:uid="{FF4E4E03-8A75-4983-A575-7A0BF7F342B7}"/>
    <cellStyle name="40% - Accent6 2 3 3 2 4" xfId="12677" xr:uid="{713DC931-6CD2-4C0C-A1BC-998A9184A016}"/>
    <cellStyle name="40% - Accent6 2 3 3 2 5" xfId="29571" xr:uid="{5E41D346-0D36-4FB7-8293-2787E348B588}"/>
    <cellStyle name="40% - Accent6 2 3 3 3" xfId="5423" xr:uid="{00000000-0005-0000-0000-000013070000}"/>
    <cellStyle name="40% - Accent6 2 3 3 3 2" xfId="23196" xr:uid="{7C4B652B-6676-47F7-9105-CA090EF147F6}"/>
    <cellStyle name="40% - Accent6 2 3 3 3 2 2" xfId="40090" xr:uid="{761C032A-469A-4491-987F-CCC25DD0ABB5}"/>
    <cellStyle name="40% - Accent6 2 3 3 3 3" xfId="14749" xr:uid="{222B4F8A-C9DD-43CC-BC57-75D07ED8ED01}"/>
    <cellStyle name="40% - Accent6 2 3 3 3 4" xfId="31643" xr:uid="{693E77D9-20BB-4439-A1B5-DB947DA0475E}"/>
    <cellStyle name="40% - Accent6 2 3 3 4" xfId="18979" xr:uid="{D75CC3AE-C148-460F-B12A-E11979AC299B}"/>
    <cellStyle name="40% - Accent6 2 3 3 4 2" xfId="35873" xr:uid="{B8C1AD69-6B3B-4868-8004-87DDC79D0232}"/>
    <cellStyle name="40% - Accent6 2 3 3 5" xfId="10532" xr:uid="{96BB317D-C740-40A0-843F-2C2E3499F0F1}"/>
    <cellStyle name="40% - Accent6 2 3 3 6" xfId="27426" xr:uid="{C41DCE74-4BF7-4574-B9AB-6FEC934AD676}"/>
    <cellStyle name="40% - Accent6 2 3 4" xfId="1529" xr:uid="{00000000-0005-0000-0000-000014070000}"/>
    <cellStyle name="40% - Accent6 2 3 4 2" xfId="3759" xr:uid="{00000000-0005-0000-0000-000015070000}"/>
    <cellStyle name="40% - Accent6 2 3 4 2 2" xfId="7981" xr:uid="{00000000-0005-0000-0000-000016070000}"/>
    <cellStyle name="40% - Accent6 2 3 4 2 2 2" xfId="25754" xr:uid="{9876DDAA-7078-4616-AECD-0D0B1E4C0B44}"/>
    <cellStyle name="40% - Accent6 2 3 4 2 2 2 2" xfId="42648" xr:uid="{C8FAEA71-1F28-47D1-B4D3-5E3DC6083237}"/>
    <cellStyle name="40% - Accent6 2 3 4 2 2 3" xfId="17307" xr:uid="{44D1E944-0E73-4B59-9F2A-29D6BE3F967C}"/>
    <cellStyle name="40% - Accent6 2 3 4 2 2 4" xfId="34201" xr:uid="{23FA531E-A1C8-4334-8AE3-63737DFDAC2C}"/>
    <cellStyle name="40% - Accent6 2 3 4 2 3" xfId="21537" xr:uid="{EC510770-25BE-4839-ACF8-32243D4C03A0}"/>
    <cellStyle name="40% - Accent6 2 3 4 2 3 2" xfId="38431" xr:uid="{546039D6-A1DE-4E8B-ADF9-79DC7FDDB0C8}"/>
    <cellStyle name="40% - Accent6 2 3 4 2 4" xfId="13090" xr:uid="{5F725DAA-D1E3-44DB-AB8F-A911B2974833}"/>
    <cellStyle name="40% - Accent6 2 3 4 2 5" xfId="29984" xr:uid="{538D0BFF-25B6-4B9C-9DFB-B5CA876E70D1}"/>
    <cellStyle name="40% - Accent6 2 3 4 3" xfId="5836" xr:uid="{00000000-0005-0000-0000-000017070000}"/>
    <cellStyle name="40% - Accent6 2 3 4 3 2" xfId="23609" xr:uid="{7F5980A7-4336-4666-A57B-F479ED48E9D0}"/>
    <cellStyle name="40% - Accent6 2 3 4 3 2 2" xfId="40503" xr:uid="{67827BAE-A0F5-484F-AE6F-11AA9E7F6A8A}"/>
    <cellStyle name="40% - Accent6 2 3 4 3 3" xfId="15162" xr:uid="{29969A38-E440-43D0-BD38-D533750595C3}"/>
    <cellStyle name="40% - Accent6 2 3 4 3 4" xfId="32056" xr:uid="{152BFF8E-CF2A-48A2-A179-71EBD0F32F0C}"/>
    <cellStyle name="40% - Accent6 2 3 4 4" xfId="19392" xr:uid="{25547EE8-2FC4-4685-9F05-AB1A77EC0E66}"/>
    <cellStyle name="40% - Accent6 2 3 4 4 2" xfId="36286" xr:uid="{99E99409-5A6C-4CBA-89D1-07904A29E881}"/>
    <cellStyle name="40% - Accent6 2 3 4 5" xfId="10945" xr:uid="{E7FB8A59-F4CD-440B-A2A4-2751103627A7}"/>
    <cellStyle name="40% - Accent6 2 3 4 6" xfId="27839" xr:uid="{EFE76FB3-A2B4-4035-9926-B8FF262F1EF7}"/>
    <cellStyle name="40% - Accent6 2 3 5" xfId="1943" xr:uid="{00000000-0005-0000-0000-000018070000}"/>
    <cellStyle name="40% - Accent6 2 3 5 2" xfId="4172" xr:uid="{00000000-0005-0000-0000-000019070000}"/>
    <cellStyle name="40% - Accent6 2 3 5 2 2" xfId="8394" xr:uid="{00000000-0005-0000-0000-00001A070000}"/>
    <cellStyle name="40% - Accent6 2 3 5 2 2 2" xfId="26167" xr:uid="{D4BCDD63-2F55-4E4C-A04E-E5613ABA4843}"/>
    <cellStyle name="40% - Accent6 2 3 5 2 2 2 2" xfId="43061" xr:uid="{A90E4501-115E-4DC0-A608-3EB32B6F304F}"/>
    <cellStyle name="40% - Accent6 2 3 5 2 2 3" xfId="17720" xr:uid="{00CC9B36-33D0-45AE-B549-79C0D8404533}"/>
    <cellStyle name="40% - Accent6 2 3 5 2 2 4" xfId="34614" xr:uid="{DDAA715B-5DAB-48E2-8668-C61BCC743DA0}"/>
    <cellStyle name="40% - Accent6 2 3 5 2 3" xfId="21950" xr:uid="{CC83B37C-223D-4658-AA8F-443126536FC1}"/>
    <cellStyle name="40% - Accent6 2 3 5 2 3 2" xfId="38844" xr:uid="{AAFC7316-CDD7-420B-8068-1C46756C0187}"/>
    <cellStyle name="40% - Accent6 2 3 5 2 4" xfId="13503" xr:uid="{985F2583-61B2-4D6A-BEA5-165D462835E5}"/>
    <cellStyle name="40% - Accent6 2 3 5 2 5" xfId="30397" xr:uid="{EF772ACC-69D3-4121-BCDA-B1C8571134F4}"/>
    <cellStyle name="40% - Accent6 2 3 5 3" xfId="6249" xr:uid="{00000000-0005-0000-0000-00001B070000}"/>
    <cellStyle name="40% - Accent6 2 3 5 3 2" xfId="24022" xr:uid="{1F07A87F-46C3-497E-811B-FB99B5761AC8}"/>
    <cellStyle name="40% - Accent6 2 3 5 3 2 2" xfId="40916" xr:uid="{18E4150A-F8BC-443B-AD5B-145714D7746C}"/>
    <cellStyle name="40% - Accent6 2 3 5 3 3" xfId="15575" xr:uid="{8BE4F502-94C0-4901-8871-BA99876C420D}"/>
    <cellStyle name="40% - Accent6 2 3 5 3 4" xfId="32469" xr:uid="{06E76056-53FF-4F42-B0AB-605EEAF94E97}"/>
    <cellStyle name="40% - Accent6 2 3 5 4" xfId="19805" xr:uid="{A24CAD14-8CC9-481E-8D93-8BE6BAA378D8}"/>
    <cellStyle name="40% - Accent6 2 3 5 4 2" xfId="36699" xr:uid="{26F46348-D758-44E5-BC6F-3BBA7D14542A}"/>
    <cellStyle name="40% - Accent6 2 3 5 5" xfId="11358" xr:uid="{6E88785B-7BDC-4F58-9D93-6A4FB9E19DBE}"/>
    <cellStyle name="40% - Accent6 2 3 5 6" xfId="28252" xr:uid="{BD01B3EE-15BD-4748-B893-D60D938AF960}"/>
    <cellStyle name="40% - Accent6 2 3 6" xfId="2356" xr:uid="{00000000-0005-0000-0000-00001C070000}"/>
    <cellStyle name="40% - Accent6 2 3 6 2" xfId="6662" xr:uid="{00000000-0005-0000-0000-00001D070000}"/>
    <cellStyle name="40% - Accent6 2 3 6 2 2" xfId="24435" xr:uid="{243C0973-AB30-48BB-9293-45A0A958C4A5}"/>
    <cellStyle name="40% - Accent6 2 3 6 2 2 2" xfId="41329" xr:uid="{C4352285-7307-4126-A7A1-F9486A3E8F6A}"/>
    <cellStyle name="40% - Accent6 2 3 6 2 3" xfId="15988" xr:uid="{865516A6-E8FA-4D0D-B8ED-DA72A8A55D4B}"/>
    <cellStyle name="40% - Accent6 2 3 6 2 4" xfId="32882" xr:uid="{65E62595-79E5-489C-A6B1-BFC2A68E4AA0}"/>
    <cellStyle name="40% - Accent6 2 3 6 3" xfId="20218" xr:uid="{3FF5683A-6006-4064-9000-A1ED721D30D8}"/>
    <cellStyle name="40% - Accent6 2 3 6 3 2" xfId="37112" xr:uid="{11B87C92-2576-4116-9FCF-B246EF04A7E2}"/>
    <cellStyle name="40% - Accent6 2 3 6 4" xfId="11771" xr:uid="{6D12502F-A73C-4091-BCCA-E295871B7D2E}"/>
    <cellStyle name="40% - Accent6 2 3 6 5" xfId="28665" xr:uid="{83196001-E5E5-4748-B0CE-E5DF06104250}"/>
    <cellStyle name="40% - Accent6 2 3 7" xfId="4596" xr:uid="{00000000-0005-0000-0000-00001E070000}"/>
    <cellStyle name="40% - Accent6 2 3 7 2" xfId="22369" xr:uid="{5A33AFC4-1C66-4209-80F9-BB95A8B63F15}"/>
    <cellStyle name="40% - Accent6 2 3 7 2 2" xfId="39263" xr:uid="{1A6159C3-A87C-469D-BA5F-39D70C66AB9C}"/>
    <cellStyle name="40% - Accent6 2 3 7 3" xfId="13922" xr:uid="{CD319EBB-5AFA-415D-8885-A981DF080652}"/>
    <cellStyle name="40% - Accent6 2 3 7 4" xfId="30816" xr:uid="{67C2389D-D63D-4A0E-BC94-DDCE4E14AC35}"/>
    <cellStyle name="40% - Accent6 2 3 8" xfId="9010" xr:uid="{63E1B5F8-FE5F-441F-B768-94B1D98CB2B1}"/>
    <cellStyle name="40% - Accent6 2 3 8 2" xfId="18152" xr:uid="{5219FFDE-8535-413C-B53E-68A87E7F6FA7}"/>
    <cellStyle name="40% - Accent6 2 3 8 3" xfId="35046" xr:uid="{045B1023-8A2B-4FA9-BC0F-83F000C87A89}"/>
    <cellStyle name="40% - Accent6 2 3 9" xfId="9705" xr:uid="{1039419B-CDBE-44CC-A4F5-5E869D175A1F}"/>
    <cellStyle name="40% - Accent6 2 4" xfId="659" xr:uid="{00000000-0005-0000-0000-00001F070000}"/>
    <cellStyle name="40% - Accent6 2 4 2" xfId="2930" xr:uid="{00000000-0005-0000-0000-000020070000}"/>
    <cellStyle name="40% - Accent6 2 4 2 2" xfId="7152" xr:uid="{00000000-0005-0000-0000-000021070000}"/>
    <cellStyle name="40% - Accent6 2 4 2 2 2" xfId="24925" xr:uid="{0ED79866-7D34-40D6-A75F-3CDB9585918D}"/>
    <cellStyle name="40% - Accent6 2 4 2 2 2 2" xfId="41819" xr:uid="{B7F05ECA-74DD-4666-8994-26F1FE1BD166}"/>
    <cellStyle name="40% - Accent6 2 4 2 2 3" xfId="16478" xr:uid="{66F76954-3D7C-48AF-9E37-9FEC48204DE4}"/>
    <cellStyle name="40% - Accent6 2 4 2 2 4" xfId="33372" xr:uid="{AE0F44A5-7B81-41B4-B1F9-DB19D3FD8E8F}"/>
    <cellStyle name="40% - Accent6 2 4 2 3" xfId="20708" xr:uid="{CC9227BC-D1AA-4A56-928E-2B4C75CEC70C}"/>
    <cellStyle name="40% - Accent6 2 4 2 3 2" xfId="37602" xr:uid="{861984A4-63DF-4114-A219-CBD0DE3FDBEC}"/>
    <cellStyle name="40% - Accent6 2 4 2 4" xfId="12261" xr:uid="{3BB15F5E-3187-41AB-B062-14646AF57A29}"/>
    <cellStyle name="40% - Accent6 2 4 2 5" xfId="29155" xr:uid="{EE9B7ED7-A09E-4156-B3DC-C48277F506FC}"/>
    <cellStyle name="40% - Accent6 2 4 3" xfId="5007" xr:uid="{00000000-0005-0000-0000-000022070000}"/>
    <cellStyle name="40% - Accent6 2 4 3 2" xfId="22780" xr:uid="{3C53DD66-9729-402F-BB27-D400C788AD53}"/>
    <cellStyle name="40% - Accent6 2 4 3 2 2" xfId="39674" xr:uid="{BD7F540A-C242-4E5F-91CD-343BE01CBAA7}"/>
    <cellStyle name="40% - Accent6 2 4 3 3" xfId="14333" xr:uid="{CEBB23A0-8A82-4EE0-A5B0-D70268B3C8F4}"/>
    <cellStyle name="40% - Accent6 2 4 3 4" xfId="31227" xr:uid="{4596485A-A9EE-4FD0-924C-9BE72713FE73}"/>
    <cellStyle name="40% - Accent6 2 4 4" xfId="9227" xr:uid="{61BC3AC1-FAE9-47DF-8143-7EECE05FF8D3}"/>
    <cellStyle name="40% - Accent6 2 4 4 2" xfId="18563" xr:uid="{C40F9174-2888-4B66-9142-60FB9C969AB7}"/>
    <cellStyle name="40% - Accent6 2 4 4 3" xfId="35457" xr:uid="{23E86B85-4E4D-4BC4-8CE9-FB811F6A4ADD}"/>
    <cellStyle name="40% - Accent6 2 4 5" xfId="10116" xr:uid="{9EFF8A33-3E8A-4793-95C5-A42E1B188E83}"/>
    <cellStyle name="40% - Accent6 2 4 6" xfId="27010" xr:uid="{62D9A23E-0436-472A-87C7-92FAB47A2FC9}"/>
    <cellStyle name="40% - Accent6 2 5" xfId="1112" xr:uid="{00000000-0005-0000-0000-000023070000}"/>
    <cellStyle name="40% - Accent6 2 5 2" xfId="3343" xr:uid="{00000000-0005-0000-0000-000024070000}"/>
    <cellStyle name="40% - Accent6 2 5 2 2" xfId="7565" xr:uid="{00000000-0005-0000-0000-000025070000}"/>
    <cellStyle name="40% - Accent6 2 5 2 2 2" xfId="25338" xr:uid="{BB7D5FB2-4855-46BC-A6CA-26C04BD2E826}"/>
    <cellStyle name="40% - Accent6 2 5 2 2 2 2" xfId="42232" xr:uid="{88F9EA4A-C483-485D-BB93-194447204ABC}"/>
    <cellStyle name="40% - Accent6 2 5 2 2 3" xfId="16891" xr:uid="{DE926875-CBB9-4C6A-84C1-76CBC475D916}"/>
    <cellStyle name="40% - Accent6 2 5 2 2 4" xfId="33785" xr:uid="{66C8DFE7-7C25-4F4E-B77C-47DB37EEB829}"/>
    <cellStyle name="40% - Accent6 2 5 2 3" xfId="21121" xr:uid="{769D7967-C1AE-45AA-AE79-9C23D4231D89}"/>
    <cellStyle name="40% - Accent6 2 5 2 3 2" xfId="38015" xr:uid="{83BB6F10-5CFE-4160-81D0-7507A7C66EEF}"/>
    <cellStyle name="40% - Accent6 2 5 2 4" xfId="12674" xr:uid="{CA11EA79-41B9-4EE7-8B71-61045027F910}"/>
    <cellStyle name="40% - Accent6 2 5 2 5" xfId="29568" xr:uid="{D30048C5-6B7C-459D-B961-E41F444B4B66}"/>
    <cellStyle name="40% - Accent6 2 5 3" xfId="5420" xr:uid="{00000000-0005-0000-0000-000026070000}"/>
    <cellStyle name="40% - Accent6 2 5 3 2" xfId="23193" xr:uid="{DB551B4A-4329-4B69-AD51-B978423FA374}"/>
    <cellStyle name="40% - Accent6 2 5 3 2 2" xfId="40087" xr:uid="{3188A5AD-F2D4-447D-9A36-C0EB1A77A06D}"/>
    <cellStyle name="40% - Accent6 2 5 3 3" xfId="14746" xr:uid="{1BEB2B5F-1B9D-4D92-9415-C108048D4441}"/>
    <cellStyle name="40% - Accent6 2 5 3 4" xfId="31640" xr:uid="{FBB7EA1C-201D-4DC5-A9A4-ABB978A13233}"/>
    <cellStyle name="40% - Accent6 2 5 4" xfId="18976" xr:uid="{CE33BA82-1D30-4379-9050-DBD37DEE8284}"/>
    <cellStyle name="40% - Accent6 2 5 4 2" xfId="35870" xr:uid="{9E1C3B28-F669-4EDF-B685-7D8AD196341D}"/>
    <cellStyle name="40% - Accent6 2 5 5" xfId="10529" xr:uid="{5C20EA31-06D7-4296-8249-3297525EDFAC}"/>
    <cellStyle name="40% - Accent6 2 5 6" xfId="27423" xr:uid="{4424439A-9CC9-42BC-95DE-D9706554EE99}"/>
    <cellStyle name="40% - Accent6 2 6" xfId="1526" xr:uid="{00000000-0005-0000-0000-000027070000}"/>
    <cellStyle name="40% - Accent6 2 6 2" xfId="3756" xr:uid="{00000000-0005-0000-0000-000028070000}"/>
    <cellStyle name="40% - Accent6 2 6 2 2" xfId="7978" xr:uid="{00000000-0005-0000-0000-000029070000}"/>
    <cellStyle name="40% - Accent6 2 6 2 2 2" xfId="25751" xr:uid="{E6C32064-E381-419C-ABE7-9970335FC531}"/>
    <cellStyle name="40% - Accent6 2 6 2 2 2 2" xfId="42645" xr:uid="{C45A5ACA-083D-4CF3-BC33-75C8D45B66AA}"/>
    <cellStyle name="40% - Accent6 2 6 2 2 3" xfId="17304" xr:uid="{CF059FF4-B152-42BE-BA2C-6F4EE812957F}"/>
    <cellStyle name="40% - Accent6 2 6 2 2 4" xfId="34198" xr:uid="{7ED040B5-72C4-49B7-9F52-2C4D8770AD6B}"/>
    <cellStyle name="40% - Accent6 2 6 2 3" xfId="21534" xr:uid="{B23B2A2C-8279-474E-BEB2-6A56DB1B2C6B}"/>
    <cellStyle name="40% - Accent6 2 6 2 3 2" xfId="38428" xr:uid="{9109E57B-B8FF-453D-B7DE-D58595C94127}"/>
    <cellStyle name="40% - Accent6 2 6 2 4" xfId="13087" xr:uid="{AE078CA2-1B7C-46F6-9DA3-9285EAD86F8A}"/>
    <cellStyle name="40% - Accent6 2 6 2 5" xfId="29981" xr:uid="{6041C897-EC45-4435-9D62-93EF0F93A09D}"/>
    <cellStyle name="40% - Accent6 2 6 3" xfId="5833" xr:uid="{00000000-0005-0000-0000-00002A070000}"/>
    <cellStyle name="40% - Accent6 2 6 3 2" xfId="23606" xr:uid="{D100B4A5-9077-4ED4-8B4D-3C761ED1F59D}"/>
    <cellStyle name="40% - Accent6 2 6 3 2 2" xfId="40500" xr:uid="{C418A8D7-7227-44A8-A7F9-623AB336EE68}"/>
    <cellStyle name="40% - Accent6 2 6 3 3" xfId="15159" xr:uid="{A14F23D9-609B-42C0-A384-CB67F458C0D7}"/>
    <cellStyle name="40% - Accent6 2 6 3 4" xfId="32053" xr:uid="{D87EDD6D-5022-433D-8E3C-8D01EE58E15D}"/>
    <cellStyle name="40% - Accent6 2 6 4" xfId="19389" xr:uid="{0E35416C-1FD7-426F-9FE7-57739A23FC86}"/>
    <cellStyle name="40% - Accent6 2 6 4 2" xfId="36283" xr:uid="{F22832D4-2B8A-470A-BBF2-3B7B30120A9C}"/>
    <cellStyle name="40% - Accent6 2 6 5" xfId="10942" xr:uid="{02A8F243-931A-4324-8A05-22364E7ECB39}"/>
    <cellStyle name="40% - Accent6 2 6 6" xfId="27836" xr:uid="{C3E30834-0F56-48DC-A582-F823F2E8FF90}"/>
    <cellStyle name="40% - Accent6 2 7" xfId="1940" xr:uid="{00000000-0005-0000-0000-00002B070000}"/>
    <cellStyle name="40% - Accent6 2 7 2" xfId="4169" xr:uid="{00000000-0005-0000-0000-00002C070000}"/>
    <cellStyle name="40% - Accent6 2 7 2 2" xfId="8391" xr:uid="{00000000-0005-0000-0000-00002D070000}"/>
    <cellStyle name="40% - Accent6 2 7 2 2 2" xfId="26164" xr:uid="{D4E9EE88-A7F1-4AEC-9B70-202CDCD34F77}"/>
    <cellStyle name="40% - Accent6 2 7 2 2 2 2" xfId="43058" xr:uid="{EC1BEAF8-6E37-470C-A2A4-8DB2013F83B0}"/>
    <cellStyle name="40% - Accent6 2 7 2 2 3" xfId="17717" xr:uid="{C62FC9CB-ADA8-4090-8BA6-B80DD14E5AAA}"/>
    <cellStyle name="40% - Accent6 2 7 2 2 4" xfId="34611" xr:uid="{64538ECA-ACBF-4AD6-8437-1B8949CEB4AC}"/>
    <cellStyle name="40% - Accent6 2 7 2 3" xfId="21947" xr:uid="{4138F695-9E22-4061-93E6-719E12691274}"/>
    <cellStyle name="40% - Accent6 2 7 2 3 2" xfId="38841" xr:uid="{8F9F6B7F-2F51-475B-8FBF-92B03A05A9A2}"/>
    <cellStyle name="40% - Accent6 2 7 2 4" xfId="13500" xr:uid="{39EADDDB-4BF7-4D75-8D15-F57250CA1E4D}"/>
    <cellStyle name="40% - Accent6 2 7 2 5" xfId="30394" xr:uid="{DC373EC4-422E-4128-9521-2122168C6E73}"/>
    <cellStyle name="40% - Accent6 2 7 3" xfId="6246" xr:uid="{00000000-0005-0000-0000-00002E070000}"/>
    <cellStyle name="40% - Accent6 2 7 3 2" xfId="24019" xr:uid="{780AD80D-88B3-4B66-9BCB-250C7B4E64AC}"/>
    <cellStyle name="40% - Accent6 2 7 3 2 2" xfId="40913" xr:uid="{87B37CA2-86E4-45EE-ACBD-A20FAC44B12C}"/>
    <cellStyle name="40% - Accent6 2 7 3 3" xfId="15572" xr:uid="{AB26F342-AF30-4956-A690-FE10937CB6CD}"/>
    <cellStyle name="40% - Accent6 2 7 3 4" xfId="32466" xr:uid="{FAF61598-5146-4A06-A931-A6BB8CC45720}"/>
    <cellStyle name="40% - Accent6 2 7 4" xfId="19802" xr:uid="{CB1CFA7A-BCFE-4B3A-BF8E-86C6F52E2027}"/>
    <cellStyle name="40% - Accent6 2 7 4 2" xfId="36696" xr:uid="{C585F245-676F-410E-80F6-E02E49DE4D7C}"/>
    <cellStyle name="40% - Accent6 2 7 5" xfId="11355" xr:uid="{08F89E2C-90BD-41A5-BC8E-D1DD25423487}"/>
    <cellStyle name="40% - Accent6 2 7 6" xfId="28249" xr:uid="{E9AFFD15-1ADF-4081-AC15-4D0FC631711F}"/>
    <cellStyle name="40% - Accent6 2 8" xfId="2353" xr:uid="{00000000-0005-0000-0000-00002F070000}"/>
    <cellStyle name="40% - Accent6 2 8 2" xfId="6659" xr:uid="{00000000-0005-0000-0000-000030070000}"/>
    <cellStyle name="40% - Accent6 2 8 2 2" xfId="24432" xr:uid="{F56C417B-71A7-4642-9B98-B4823BDAD19C}"/>
    <cellStyle name="40% - Accent6 2 8 2 2 2" xfId="41326" xr:uid="{E2351AAA-2B8F-4B7F-8861-51F162DD899F}"/>
    <cellStyle name="40% - Accent6 2 8 2 3" xfId="15985" xr:uid="{9F2FA64C-0CEF-4476-A323-38956BC5BCD4}"/>
    <cellStyle name="40% - Accent6 2 8 2 4" xfId="32879" xr:uid="{FE12BA7D-CA2F-41D4-BBE7-CF29D49D98BB}"/>
    <cellStyle name="40% - Accent6 2 8 3" xfId="20215" xr:uid="{D4179D5E-4A05-406C-9EFB-9D3F22AE67E0}"/>
    <cellStyle name="40% - Accent6 2 8 3 2" xfId="37109" xr:uid="{8F5F99D7-F987-4001-AAE0-A91815D6E7BB}"/>
    <cellStyle name="40% - Accent6 2 8 4" xfId="11768" xr:uid="{6B2406DF-034C-4D35-B049-16A391189721}"/>
    <cellStyle name="40% - Accent6 2 8 5" xfId="28662" xr:uid="{017E884A-3AA8-43CB-BC25-34336CAF8090}"/>
    <cellStyle name="40% - Accent6 2 9" xfId="4593" xr:uid="{00000000-0005-0000-0000-000031070000}"/>
    <cellStyle name="40% - Accent6 2 9 2" xfId="22366" xr:uid="{D9750C8D-AF0E-4923-9A67-614DE8F615FF}"/>
    <cellStyle name="40% - Accent6 2 9 2 2" xfId="39260" xr:uid="{D90484F6-5C54-4E65-8577-A00AF3C48042}"/>
    <cellStyle name="40% - Accent6 2 9 3" xfId="13919" xr:uid="{3365A81F-A7CE-4B53-BAF8-0C01E6396EF0}"/>
    <cellStyle name="40% - Accent6 2 9 4" xfId="30813" xr:uid="{6515D898-323E-44E4-BBDC-B6B2C3BD354B}"/>
    <cellStyle name="40% - Accent6 3" xfId="94" xr:uid="{00000000-0005-0000-0000-000032070000}"/>
    <cellStyle name="40% - Accent6 3 10" xfId="9706" xr:uid="{B729D140-C45A-475F-9B88-5DA0E32DCE3B}"/>
    <cellStyle name="40% - Accent6 3 11" xfId="26600" xr:uid="{3A47AD54-C0A8-49F7-AFCC-AB13DF5E1212}"/>
    <cellStyle name="40% - Accent6 3 2" xfId="95" xr:uid="{00000000-0005-0000-0000-000033070000}"/>
    <cellStyle name="40% - Accent6 3 2 10" xfId="26601" xr:uid="{2DC530E4-867B-4AD4-8EDB-C9B75F931222}"/>
    <cellStyle name="40% - Accent6 3 2 2" xfId="664" xr:uid="{00000000-0005-0000-0000-000034070000}"/>
    <cellStyle name="40% - Accent6 3 2 2 2" xfId="2935" xr:uid="{00000000-0005-0000-0000-000035070000}"/>
    <cellStyle name="40% - Accent6 3 2 2 2 2" xfId="7157" xr:uid="{00000000-0005-0000-0000-000036070000}"/>
    <cellStyle name="40% - Accent6 3 2 2 2 2 2" xfId="24930" xr:uid="{857896E5-8CC5-4EA3-B8FE-FA438381B8B7}"/>
    <cellStyle name="40% - Accent6 3 2 2 2 2 2 2" xfId="41824" xr:uid="{6A534776-A050-4678-92D0-85CCE8BD8F2D}"/>
    <cellStyle name="40% - Accent6 3 2 2 2 2 3" xfId="16483" xr:uid="{4AC59167-9A99-4E54-B6C6-B47965466411}"/>
    <cellStyle name="40% - Accent6 3 2 2 2 2 4" xfId="33377" xr:uid="{B9856BCD-1834-4BCD-BDC4-E25E8ED6B41B}"/>
    <cellStyle name="40% - Accent6 3 2 2 2 3" xfId="20713" xr:uid="{EB9900BA-4270-4A53-AB9A-4F6AF9412695}"/>
    <cellStyle name="40% - Accent6 3 2 2 2 3 2" xfId="37607" xr:uid="{E2824AE5-18B5-4D5C-A9F5-FA5509D6DFC1}"/>
    <cellStyle name="40% - Accent6 3 2 2 2 4" xfId="12266" xr:uid="{14A74E3F-3A2E-4D46-8595-0A56141747B3}"/>
    <cellStyle name="40% - Accent6 3 2 2 2 5" xfId="29160" xr:uid="{0FE6F606-806F-4C05-9611-4503E4A99896}"/>
    <cellStyle name="40% - Accent6 3 2 2 3" xfId="5012" xr:uid="{00000000-0005-0000-0000-000037070000}"/>
    <cellStyle name="40% - Accent6 3 2 2 3 2" xfId="22785" xr:uid="{8F461794-8722-4710-87F2-8EEBABAA12D9}"/>
    <cellStyle name="40% - Accent6 3 2 2 3 2 2" xfId="39679" xr:uid="{7ED291F4-451E-483B-9D28-0E9749514D2C}"/>
    <cellStyle name="40% - Accent6 3 2 2 3 3" xfId="14338" xr:uid="{F5FA8379-E364-4BF3-A41B-1AD8EABFE2E0}"/>
    <cellStyle name="40% - Accent6 3 2 2 3 4" xfId="31232" xr:uid="{549FE0B8-61D5-40F0-9292-A970CBDDBDE1}"/>
    <cellStyle name="40% - Accent6 3 2 2 4" xfId="9504" xr:uid="{23E46585-FD8F-4BA3-8B65-284D6884E4FD}"/>
    <cellStyle name="40% - Accent6 3 2 2 4 2" xfId="18568" xr:uid="{A37EC82A-DB6D-4CC2-A67B-9C969E8C6127}"/>
    <cellStyle name="40% - Accent6 3 2 2 4 3" xfId="35462" xr:uid="{A7FF1BF9-C8C3-48CD-A64A-A81C252C369B}"/>
    <cellStyle name="40% - Accent6 3 2 2 5" xfId="10121" xr:uid="{224E5820-E570-4887-8E66-92B32937D43D}"/>
    <cellStyle name="40% - Accent6 3 2 2 6" xfId="27015" xr:uid="{B309C2A4-CE2D-4645-A926-9957711AC160}"/>
    <cellStyle name="40% - Accent6 3 2 3" xfId="1117" xr:uid="{00000000-0005-0000-0000-000038070000}"/>
    <cellStyle name="40% - Accent6 3 2 3 2" xfId="3348" xr:uid="{00000000-0005-0000-0000-000039070000}"/>
    <cellStyle name="40% - Accent6 3 2 3 2 2" xfId="7570" xr:uid="{00000000-0005-0000-0000-00003A070000}"/>
    <cellStyle name="40% - Accent6 3 2 3 2 2 2" xfId="25343" xr:uid="{C52AF993-27F1-490C-80B4-C64472E10748}"/>
    <cellStyle name="40% - Accent6 3 2 3 2 2 2 2" xfId="42237" xr:uid="{B704A781-0491-4690-8F89-2A3397386FAD}"/>
    <cellStyle name="40% - Accent6 3 2 3 2 2 3" xfId="16896" xr:uid="{B8610C60-26F9-4C77-ABDA-CC748012DA87}"/>
    <cellStyle name="40% - Accent6 3 2 3 2 2 4" xfId="33790" xr:uid="{F84CB263-8CBB-4898-B80B-9BE498FE855B}"/>
    <cellStyle name="40% - Accent6 3 2 3 2 3" xfId="21126" xr:uid="{D8A25DFC-1CDF-4375-9D4D-FAF35503A15B}"/>
    <cellStyle name="40% - Accent6 3 2 3 2 3 2" xfId="38020" xr:uid="{4FD8A93E-D99F-4D3C-A3A3-965401CB83AD}"/>
    <cellStyle name="40% - Accent6 3 2 3 2 4" xfId="12679" xr:uid="{FD51B543-3F4C-4D69-ADDB-04B990C11150}"/>
    <cellStyle name="40% - Accent6 3 2 3 2 5" xfId="29573" xr:uid="{92545977-EADF-4E7E-A149-54EF55B331A1}"/>
    <cellStyle name="40% - Accent6 3 2 3 3" xfId="5425" xr:uid="{00000000-0005-0000-0000-00003B070000}"/>
    <cellStyle name="40% - Accent6 3 2 3 3 2" xfId="23198" xr:uid="{7152E0F5-6846-40CF-B002-48FE8C03DF1A}"/>
    <cellStyle name="40% - Accent6 3 2 3 3 2 2" xfId="40092" xr:uid="{F4B60DDB-1A64-41DA-AA58-47CCAF69EF40}"/>
    <cellStyle name="40% - Accent6 3 2 3 3 3" xfId="14751" xr:uid="{E994EF9A-3BEA-4547-9687-8913E0FE4591}"/>
    <cellStyle name="40% - Accent6 3 2 3 3 4" xfId="31645" xr:uid="{2B83200E-D09F-4515-A8D6-BD01106C151B}"/>
    <cellStyle name="40% - Accent6 3 2 3 4" xfId="18981" xr:uid="{3E21E979-20EB-416A-80BD-D237FE2E1445}"/>
    <cellStyle name="40% - Accent6 3 2 3 4 2" xfId="35875" xr:uid="{17929EE1-E5E2-4BEE-AAA6-B010B24E5FB1}"/>
    <cellStyle name="40% - Accent6 3 2 3 5" xfId="10534" xr:uid="{184223B6-01CD-4713-87B3-872BD4927404}"/>
    <cellStyle name="40% - Accent6 3 2 3 6" xfId="27428" xr:uid="{D70DCA41-2457-4C3E-B66A-E04F5786CA9F}"/>
    <cellStyle name="40% - Accent6 3 2 4" xfId="1531" xr:uid="{00000000-0005-0000-0000-00003C070000}"/>
    <cellStyle name="40% - Accent6 3 2 4 2" xfId="3761" xr:uid="{00000000-0005-0000-0000-00003D070000}"/>
    <cellStyle name="40% - Accent6 3 2 4 2 2" xfId="7983" xr:uid="{00000000-0005-0000-0000-00003E070000}"/>
    <cellStyle name="40% - Accent6 3 2 4 2 2 2" xfId="25756" xr:uid="{255B5D78-9182-4458-8E10-787F6F0DE2C0}"/>
    <cellStyle name="40% - Accent6 3 2 4 2 2 2 2" xfId="42650" xr:uid="{CA1EF1CE-91A0-426D-9860-9ADF0FA90224}"/>
    <cellStyle name="40% - Accent6 3 2 4 2 2 3" xfId="17309" xr:uid="{4B530D26-8FBF-4B14-950A-CE144E0CDF56}"/>
    <cellStyle name="40% - Accent6 3 2 4 2 2 4" xfId="34203" xr:uid="{B3CD588C-2ECC-401A-B773-1EF7F03B67CC}"/>
    <cellStyle name="40% - Accent6 3 2 4 2 3" xfId="21539" xr:uid="{03B6B4C3-2E21-4CF4-9065-B410071FC384}"/>
    <cellStyle name="40% - Accent6 3 2 4 2 3 2" xfId="38433" xr:uid="{AEE99CC6-582F-4EE5-B9DE-DA4396CA8CB6}"/>
    <cellStyle name="40% - Accent6 3 2 4 2 4" xfId="13092" xr:uid="{7AA5B9AD-7553-4306-964B-3C90C8BDE6B0}"/>
    <cellStyle name="40% - Accent6 3 2 4 2 5" xfId="29986" xr:uid="{40F44F84-682B-4527-9564-A85AE41CD942}"/>
    <cellStyle name="40% - Accent6 3 2 4 3" xfId="5838" xr:uid="{00000000-0005-0000-0000-00003F070000}"/>
    <cellStyle name="40% - Accent6 3 2 4 3 2" xfId="23611" xr:uid="{A6A5EC51-203C-4BAC-A7FF-56A12A91A174}"/>
    <cellStyle name="40% - Accent6 3 2 4 3 2 2" xfId="40505" xr:uid="{4D27FC73-4A47-46FD-A16D-4633E42D06B5}"/>
    <cellStyle name="40% - Accent6 3 2 4 3 3" xfId="15164" xr:uid="{319BC7F9-C589-4F04-BF46-B8702A3F9E07}"/>
    <cellStyle name="40% - Accent6 3 2 4 3 4" xfId="32058" xr:uid="{E62FA626-FCF2-4E43-810C-3B3695278612}"/>
    <cellStyle name="40% - Accent6 3 2 4 4" xfId="19394" xr:uid="{434AA041-F7BF-40F1-B2BD-0B3B715AC1C0}"/>
    <cellStyle name="40% - Accent6 3 2 4 4 2" xfId="36288" xr:uid="{4CE10750-F109-45DA-8934-66661C1A5E2F}"/>
    <cellStyle name="40% - Accent6 3 2 4 5" xfId="10947" xr:uid="{AD61F055-18A0-4403-BE57-87B2A1615CE9}"/>
    <cellStyle name="40% - Accent6 3 2 4 6" xfId="27841" xr:uid="{774CD2C7-EC93-4F2B-B8D2-1852D8CF6DD9}"/>
    <cellStyle name="40% - Accent6 3 2 5" xfId="1945" xr:uid="{00000000-0005-0000-0000-000040070000}"/>
    <cellStyle name="40% - Accent6 3 2 5 2" xfId="4174" xr:uid="{00000000-0005-0000-0000-000041070000}"/>
    <cellStyle name="40% - Accent6 3 2 5 2 2" xfId="8396" xr:uid="{00000000-0005-0000-0000-000042070000}"/>
    <cellStyle name="40% - Accent6 3 2 5 2 2 2" xfId="26169" xr:uid="{3AFE2CFB-4232-4521-AC0B-E6075FDA62E8}"/>
    <cellStyle name="40% - Accent6 3 2 5 2 2 2 2" xfId="43063" xr:uid="{2CBE7166-C658-4972-A699-882209D57B5B}"/>
    <cellStyle name="40% - Accent6 3 2 5 2 2 3" xfId="17722" xr:uid="{379B7D81-AA49-4309-99E8-B52B4492C65D}"/>
    <cellStyle name="40% - Accent6 3 2 5 2 2 4" xfId="34616" xr:uid="{4A815997-11AF-4E53-9C1A-4F88E33C8C5D}"/>
    <cellStyle name="40% - Accent6 3 2 5 2 3" xfId="21952" xr:uid="{B6A6E717-E43E-42FE-83BF-93BC14FD52B6}"/>
    <cellStyle name="40% - Accent6 3 2 5 2 3 2" xfId="38846" xr:uid="{5911F561-6A88-4E05-BFDD-C509EBF7DE8C}"/>
    <cellStyle name="40% - Accent6 3 2 5 2 4" xfId="13505" xr:uid="{BF80198D-F9F6-4558-BD64-BDF34125DDCD}"/>
    <cellStyle name="40% - Accent6 3 2 5 2 5" xfId="30399" xr:uid="{0B2180E2-8242-4A19-A9AF-91209FE998E5}"/>
    <cellStyle name="40% - Accent6 3 2 5 3" xfId="6251" xr:uid="{00000000-0005-0000-0000-000043070000}"/>
    <cellStyle name="40% - Accent6 3 2 5 3 2" xfId="24024" xr:uid="{3A3D98E9-2BA0-41B9-B69C-2D0E0F3AB5CA}"/>
    <cellStyle name="40% - Accent6 3 2 5 3 2 2" xfId="40918" xr:uid="{BD158B18-086A-4703-AF5E-A550E7DCF33F}"/>
    <cellStyle name="40% - Accent6 3 2 5 3 3" xfId="15577" xr:uid="{048A143B-CFB1-483A-A18C-EE46A35A08A8}"/>
    <cellStyle name="40% - Accent6 3 2 5 3 4" xfId="32471" xr:uid="{466A15DA-EF5E-49CD-B0EE-8BE3C5013896}"/>
    <cellStyle name="40% - Accent6 3 2 5 4" xfId="19807" xr:uid="{3849E2A1-B1F9-465F-963D-2A16899F3AE6}"/>
    <cellStyle name="40% - Accent6 3 2 5 4 2" xfId="36701" xr:uid="{83228F89-1347-4D51-9653-0DFAE41FEC58}"/>
    <cellStyle name="40% - Accent6 3 2 5 5" xfId="11360" xr:uid="{1A78E5AE-3841-44D3-AC53-930276DA531A}"/>
    <cellStyle name="40% - Accent6 3 2 5 6" xfId="28254" xr:uid="{792B37A1-1744-44E4-B7B2-B3C7C679B110}"/>
    <cellStyle name="40% - Accent6 3 2 6" xfId="2358" xr:uid="{00000000-0005-0000-0000-000044070000}"/>
    <cellStyle name="40% - Accent6 3 2 6 2" xfId="6664" xr:uid="{00000000-0005-0000-0000-000045070000}"/>
    <cellStyle name="40% - Accent6 3 2 6 2 2" xfId="24437" xr:uid="{A95182DF-E9DA-49BD-AC2C-1D1BC5261419}"/>
    <cellStyle name="40% - Accent6 3 2 6 2 2 2" xfId="41331" xr:uid="{500F263C-CBFF-434C-A897-0BAAE07CAD33}"/>
    <cellStyle name="40% - Accent6 3 2 6 2 3" xfId="15990" xr:uid="{A93EFC93-D704-4A52-8163-5457A324FF1B}"/>
    <cellStyle name="40% - Accent6 3 2 6 2 4" xfId="32884" xr:uid="{EA9613D4-F601-4066-B8C7-099E4909859F}"/>
    <cellStyle name="40% - Accent6 3 2 6 3" xfId="20220" xr:uid="{E842E464-5111-46CA-ACC9-2CD310A5B446}"/>
    <cellStyle name="40% - Accent6 3 2 6 3 2" xfId="37114" xr:uid="{4EDDFE91-F051-4B19-8CA1-9E1C0460AE0B}"/>
    <cellStyle name="40% - Accent6 3 2 6 4" xfId="11773" xr:uid="{E8131616-F393-4438-BB89-854988BC5A1F}"/>
    <cellStyle name="40% - Accent6 3 2 6 5" xfId="28667" xr:uid="{F17AF1FA-EFC5-49F5-9DCC-DABD1182CE9E}"/>
    <cellStyle name="40% - Accent6 3 2 7" xfId="4598" xr:uid="{00000000-0005-0000-0000-000046070000}"/>
    <cellStyle name="40% - Accent6 3 2 7 2" xfId="22371" xr:uid="{46090E7D-3525-446B-9D9B-9E9EBF30A773}"/>
    <cellStyle name="40% - Accent6 3 2 7 2 2" xfId="39265" xr:uid="{C0F22592-1530-4D46-826D-53934028A80A}"/>
    <cellStyle name="40% - Accent6 3 2 7 3" xfId="13924" xr:uid="{CDBF4947-BC03-4C7F-97B4-5B66927C787E}"/>
    <cellStyle name="40% - Accent6 3 2 7 4" xfId="30818" xr:uid="{42982F99-E893-497D-A27C-6AAE606B56F4}"/>
    <cellStyle name="40% - Accent6 3 2 8" xfId="9079" xr:uid="{7FA93E2E-699F-4676-8533-A3CC5F80D807}"/>
    <cellStyle name="40% - Accent6 3 2 8 2" xfId="18154" xr:uid="{3AA0A026-243F-4FCF-AC3A-B1D718B410E3}"/>
    <cellStyle name="40% - Accent6 3 2 8 3" xfId="35048" xr:uid="{79FF73CE-E2E9-4878-9AB5-A850931D0619}"/>
    <cellStyle name="40% - Accent6 3 2 9" xfId="9707" xr:uid="{332BDAE1-9A60-4EDD-A6A0-7FC7E810E092}"/>
    <cellStyle name="40% - Accent6 3 3" xfId="663" xr:uid="{00000000-0005-0000-0000-000047070000}"/>
    <cellStyle name="40% - Accent6 3 3 2" xfId="2934" xr:uid="{00000000-0005-0000-0000-000048070000}"/>
    <cellStyle name="40% - Accent6 3 3 2 2" xfId="7156" xr:uid="{00000000-0005-0000-0000-000049070000}"/>
    <cellStyle name="40% - Accent6 3 3 2 2 2" xfId="24929" xr:uid="{F5ED0F85-3360-4EC0-A177-2025CFC0A452}"/>
    <cellStyle name="40% - Accent6 3 3 2 2 2 2" xfId="41823" xr:uid="{CF2189C6-2CB5-469E-AA5C-C1115FA08013}"/>
    <cellStyle name="40% - Accent6 3 3 2 2 3" xfId="16482" xr:uid="{DCA6C588-2B17-4E78-89F7-13FC0D0AB669}"/>
    <cellStyle name="40% - Accent6 3 3 2 2 4" xfId="33376" xr:uid="{F9BCCC9D-F082-4FFB-8D02-AE15E2C3DA6D}"/>
    <cellStyle name="40% - Accent6 3 3 2 3" xfId="20712" xr:uid="{0B67853A-7EC0-43FE-A7A0-D834335EA892}"/>
    <cellStyle name="40% - Accent6 3 3 2 3 2" xfId="37606" xr:uid="{D3F82B40-296D-45CB-B986-3DB6CCAA0EA4}"/>
    <cellStyle name="40% - Accent6 3 3 2 4" xfId="12265" xr:uid="{EA4DB252-5F10-4636-B898-B71346E0B3D9}"/>
    <cellStyle name="40% - Accent6 3 3 2 5" xfId="29159" xr:uid="{024031AE-A77E-4424-B33F-7CF245353C42}"/>
    <cellStyle name="40% - Accent6 3 3 3" xfId="5011" xr:uid="{00000000-0005-0000-0000-00004A070000}"/>
    <cellStyle name="40% - Accent6 3 3 3 2" xfId="22784" xr:uid="{2FC63759-92A8-4B1D-AAA3-125BFC240C31}"/>
    <cellStyle name="40% - Accent6 3 3 3 2 2" xfId="39678" xr:uid="{A40929F0-5CED-46B4-855B-D03769BD4AE4}"/>
    <cellStyle name="40% - Accent6 3 3 3 3" xfId="14337" xr:uid="{42B67BB0-E003-48D5-8AE0-402050BAA74D}"/>
    <cellStyle name="40% - Accent6 3 3 3 4" xfId="31231" xr:uid="{99D285F6-7057-47BF-B248-77BCFDC1043E}"/>
    <cellStyle name="40% - Accent6 3 3 4" xfId="9297" xr:uid="{1226E28F-09E7-4580-8D19-7F14AC1CB4B3}"/>
    <cellStyle name="40% - Accent6 3 3 4 2" xfId="18567" xr:uid="{05334B72-34D3-425A-A6EA-BAC1B9E6C742}"/>
    <cellStyle name="40% - Accent6 3 3 4 3" xfId="35461" xr:uid="{AC9059AA-0B0C-42E6-97AB-CB182CD5868B}"/>
    <cellStyle name="40% - Accent6 3 3 5" xfId="10120" xr:uid="{941CF206-CF41-4850-8AD5-3B422B2977AA}"/>
    <cellStyle name="40% - Accent6 3 3 6" xfId="27014" xr:uid="{50479788-6EC7-4972-AA96-3956B3C29007}"/>
    <cellStyle name="40% - Accent6 3 4" xfId="1116" xr:uid="{00000000-0005-0000-0000-00004B070000}"/>
    <cellStyle name="40% - Accent6 3 4 2" xfId="3347" xr:uid="{00000000-0005-0000-0000-00004C070000}"/>
    <cellStyle name="40% - Accent6 3 4 2 2" xfId="7569" xr:uid="{00000000-0005-0000-0000-00004D070000}"/>
    <cellStyle name="40% - Accent6 3 4 2 2 2" xfId="25342" xr:uid="{7232DEC8-D1F1-42A7-BC8E-A74B48BFF975}"/>
    <cellStyle name="40% - Accent6 3 4 2 2 2 2" xfId="42236" xr:uid="{D0C0D4D9-FB8C-4454-933A-6F16CC692C24}"/>
    <cellStyle name="40% - Accent6 3 4 2 2 3" xfId="16895" xr:uid="{25B31B09-9323-41E1-8B43-6F160C9F2DCD}"/>
    <cellStyle name="40% - Accent6 3 4 2 2 4" xfId="33789" xr:uid="{B86807BE-482E-452F-9C79-82976ED553D2}"/>
    <cellStyle name="40% - Accent6 3 4 2 3" xfId="21125" xr:uid="{4A0A68CB-8BCC-49C9-9F79-561CD0D92D6B}"/>
    <cellStyle name="40% - Accent6 3 4 2 3 2" xfId="38019" xr:uid="{14E6A577-65D6-47F8-91B4-339DC7E89605}"/>
    <cellStyle name="40% - Accent6 3 4 2 4" xfId="12678" xr:uid="{C50DA998-CC49-4EF3-9571-FA31EFEBEDCA}"/>
    <cellStyle name="40% - Accent6 3 4 2 5" xfId="29572" xr:uid="{9454FF5E-84E7-4C08-9DA0-DC3842EB6FFB}"/>
    <cellStyle name="40% - Accent6 3 4 3" xfId="5424" xr:uid="{00000000-0005-0000-0000-00004E070000}"/>
    <cellStyle name="40% - Accent6 3 4 3 2" xfId="23197" xr:uid="{53C6AEC5-DECF-4EFD-96E5-0D4BC665C8AC}"/>
    <cellStyle name="40% - Accent6 3 4 3 2 2" xfId="40091" xr:uid="{71D70C56-CAF2-4525-819E-5A11D8C48076}"/>
    <cellStyle name="40% - Accent6 3 4 3 3" xfId="14750" xr:uid="{B56FE186-B091-4A35-A598-744D40FA126C}"/>
    <cellStyle name="40% - Accent6 3 4 3 4" xfId="31644" xr:uid="{5DA24B9A-F999-4644-B0C1-697F34B02B15}"/>
    <cellStyle name="40% - Accent6 3 4 4" xfId="18980" xr:uid="{EDC97FBE-1053-4ADC-B6D8-1039F43ED594}"/>
    <cellStyle name="40% - Accent6 3 4 4 2" xfId="35874" xr:uid="{5E9168F8-3C37-4B23-AD5A-26AC697EA70E}"/>
    <cellStyle name="40% - Accent6 3 4 5" xfId="10533" xr:uid="{3D7C3772-3C86-469A-8657-FFA8749BE1C4}"/>
    <cellStyle name="40% - Accent6 3 4 6" xfId="27427" xr:uid="{B288847A-D775-42CB-8424-81C0C1A8B539}"/>
    <cellStyle name="40% - Accent6 3 5" xfId="1530" xr:uid="{00000000-0005-0000-0000-00004F070000}"/>
    <cellStyle name="40% - Accent6 3 5 2" xfId="3760" xr:uid="{00000000-0005-0000-0000-000050070000}"/>
    <cellStyle name="40% - Accent6 3 5 2 2" xfId="7982" xr:uid="{00000000-0005-0000-0000-000051070000}"/>
    <cellStyle name="40% - Accent6 3 5 2 2 2" xfId="25755" xr:uid="{DA5FF88B-32F3-44AD-B07D-B3622578111B}"/>
    <cellStyle name="40% - Accent6 3 5 2 2 2 2" xfId="42649" xr:uid="{6A18FBD3-70BC-4B62-AA40-05C230F192EB}"/>
    <cellStyle name="40% - Accent6 3 5 2 2 3" xfId="17308" xr:uid="{89DE22F2-D603-4DFA-A1A3-0F5AC97233FC}"/>
    <cellStyle name="40% - Accent6 3 5 2 2 4" xfId="34202" xr:uid="{BBD71828-4135-4BE7-8A53-ABD555CFC1C5}"/>
    <cellStyle name="40% - Accent6 3 5 2 3" xfId="21538" xr:uid="{8EDDB466-55B3-43A1-B60B-54BE9E32A413}"/>
    <cellStyle name="40% - Accent6 3 5 2 3 2" xfId="38432" xr:uid="{948CFE0C-0632-4ADC-AB9B-61B562F6A3F2}"/>
    <cellStyle name="40% - Accent6 3 5 2 4" xfId="13091" xr:uid="{C7A4D713-ABF2-4FD5-8163-1A820B53F528}"/>
    <cellStyle name="40% - Accent6 3 5 2 5" xfId="29985" xr:uid="{12399110-B362-4A40-BC45-7CD15148052F}"/>
    <cellStyle name="40% - Accent6 3 5 3" xfId="5837" xr:uid="{00000000-0005-0000-0000-000052070000}"/>
    <cellStyle name="40% - Accent6 3 5 3 2" xfId="23610" xr:uid="{0B4FCF11-2FB8-4C07-BEE5-EF9459330B57}"/>
    <cellStyle name="40% - Accent6 3 5 3 2 2" xfId="40504" xr:uid="{0E62FFDA-D739-4460-8A99-A6D5BFBD9DE7}"/>
    <cellStyle name="40% - Accent6 3 5 3 3" xfId="15163" xr:uid="{EBF3E352-CC79-4048-BC71-BEC1059466FF}"/>
    <cellStyle name="40% - Accent6 3 5 3 4" xfId="32057" xr:uid="{D7221C01-488B-4F77-A13A-9CADC59C7D39}"/>
    <cellStyle name="40% - Accent6 3 5 4" xfId="19393" xr:uid="{46DC5F8C-BAA0-48CD-95E3-18A213911C7D}"/>
    <cellStyle name="40% - Accent6 3 5 4 2" xfId="36287" xr:uid="{D4E3EA9E-510E-4A1F-A77B-BA3E6EC6E223}"/>
    <cellStyle name="40% - Accent6 3 5 5" xfId="10946" xr:uid="{AEFCFFBD-757B-4577-97A7-5C642CC3D839}"/>
    <cellStyle name="40% - Accent6 3 5 6" xfId="27840" xr:uid="{F7B8E989-C0F4-4162-AA64-8FB13296F7F6}"/>
    <cellStyle name="40% - Accent6 3 6" xfId="1944" xr:uid="{00000000-0005-0000-0000-000053070000}"/>
    <cellStyle name="40% - Accent6 3 6 2" xfId="4173" xr:uid="{00000000-0005-0000-0000-000054070000}"/>
    <cellStyle name="40% - Accent6 3 6 2 2" xfId="8395" xr:uid="{00000000-0005-0000-0000-000055070000}"/>
    <cellStyle name="40% - Accent6 3 6 2 2 2" xfId="26168" xr:uid="{B60997E6-F369-4235-B268-EDDCE944FE82}"/>
    <cellStyle name="40% - Accent6 3 6 2 2 2 2" xfId="43062" xr:uid="{59355347-F9E6-418A-A711-F0DB7AAD7025}"/>
    <cellStyle name="40% - Accent6 3 6 2 2 3" xfId="17721" xr:uid="{26CD0E92-1E29-45EB-875E-17DBFCC92824}"/>
    <cellStyle name="40% - Accent6 3 6 2 2 4" xfId="34615" xr:uid="{5044ED4F-3608-4EB9-B886-43CB65CA0EB7}"/>
    <cellStyle name="40% - Accent6 3 6 2 3" xfId="21951" xr:uid="{7108B64E-1226-4287-878C-07C4D37F8F6E}"/>
    <cellStyle name="40% - Accent6 3 6 2 3 2" xfId="38845" xr:uid="{F9214163-166F-400B-BB14-30916CAA64B8}"/>
    <cellStyle name="40% - Accent6 3 6 2 4" xfId="13504" xr:uid="{89A04E1E-D7A4-49A8-B6F4-59230E7F83C5}"/>
    <cellStyle name="40% - Accent6 3 6 2 5" xfId="30398" xr:uid="{5EB9E107-E46D-4343-B8AE-D6284C7C6954}"/>
    <cellStyle name="40% - Accent6 3 6 3" xfId="6250" xr:uid="{00000000-0005-0000-0000-000056070000}"/>
    <cellStyle name="40% - Accent6 3 6 3 2" xfId="24023" xr:uid="{B24F383D-4807-41D3-B1E3-0E4B563FA004}"/>
    <cellStyle name="40% - Accent6 3 6 3 2 2" xfId="40917" xr:uid="{9EE1EF2D-DD53-4E3B-A3C9-56EECC09C9EF}"/>
    <cellStyle name="40% - Accent6 3 6 3 3" xfId="15576" xr:uid="{F10EAB8D-181C-4AE2-BE04-CCF7796B66FE}"/>
    <cellStyle name="40% - Accent6 3 6 3 4" xfId="32470" xr:uid="{84384E55-9F41-4744-8AA9-525E91C46529}"/>
    <cellStyle name="40% - Accent6 3 6 4" xfId="19806" xr:uid="{17A88DAF-1886-4F7E-875A-8A8AE775B6A6}"/>
    <cellStyle name="40% - Accent6 3 6 4 2" xfId="36700" xr:uid="{C79DEFFA-EA45-422F-B45F-CFEF9C6A810F}"/>
    <cellStyle name="40% - Accent6 3 6 5" xfId="11359" xr:uid="{0F0BCF07-4C90-4540-8DC0-186043AD145A}"/>
    <cellStyle name="40% - Accent6 3 6 6" xfId="28253" xr:uid="{3F8DAF61-4B4C-4C82-93AC-78C8AAD50329}"/>
    <cellStyle name="40% - Accent6 3 7" xfId="2357" xr:uid="{00000000-0005-0000-0000-000057070000}"/>
    <cellStyle name="40% - Accent6 3 7 2" xfId="6663" xr:uid="{00000000-0005-0000-0000-000058070000}"/>
    <cellStyle name="40% - Accent6 3 7 2 2" xfId="24436" xr:uid="{F2883F90-CCF8-492D-BF5C-763C4D391599}"/>
    <cellStyle name="40% - Accent6 3 7 2 2 2" xfId="41330" xr:uid="{CD25E11A-9440-42F0-A85F-5B6EC862FABC}"/>
    <cellStyle name="40% - Accent6 3 7 2 3" xfId="15989" xr:uid="{F6AB1DE1-E445-44C8-A856-4B7A1D8F94FF}"/>
    <cellStyle name="40% - Accent6 3 7 2 4" xfId="32883" xr:uid="{FB7B278F-1756-4D5C-AD4C-72DF7E3A7307}"/>
    <cellStyle name="40% - Accent6 3 7 3" xfId="20219" xr:uid="{D229B121-148E-4E72-8E33-ABFEA96BA81F}"/>
    <cellStyle name="40% - Accent6 3 7 3 2" xfId="37113" xr:uid="{D9DBA7C5-F83A-4ABF-A1CF-813452F742ED}"/>
    <cellStyle name="40% - Accent6 3 7 4" xfId="11772" xr:uid="{1569E717-9BA9-4E08-82C3-82C7719720F9}"/>
    <cellStyle name="40% - Accent6 3 7 5" xfId="28666" xr:uid="{C12096F5-9151-4CFC-8DF1-ED4A15503A9A}"/>
    <cellStyle name="40% - Accent6 3 8" xfId="4597" xr:uid="{00000000-0005-0000-0000-000059070000}"/>
    <cellStyle name="40% - Accent6 3 8 2" xfId="22370" xr:uid="{C9CC33D6-578D-40AE-A0A2-D0D5F114FF9F}"/>
    <cellStyle name="40% - Accent6 3 8 2 2" xfId="39264" xr:uid="{67EAA2AA-5F3E-4333-94C7-A89747F23632}"/>
    <cellStyle name="40% - Accent6 3 8 3" xfId="13923" xr:uid="{C26A6E45-249C-4957-8B42-4E986F1EAA92}"/>
    <cellStyle name="40% - Accent6 3 8 4" xfId="30817" xr:uid="{0BD553D5-6053-4FF8-A655-4CE95D0F8200}"/>
    <cellStyle name="40% - Accent6 3 9" xfId="8872" xr:uid="{E018AF0F-504E-4DED-BF70-CC97997D74E9}"/>
    <cellStyle name="40% - Accent6 3 9 2" xfId="18153" xr:uid="{7C08D59B-CB0B-4552-B0CB-95EA86B32126}"/>
    <cellStyle name="40% - Accent6 3 9 3" xfId="35047" xr:uid="{7AD52E2B-7479-40A3-8E0D-DA1E26A5B1DB}"/>
    <cellStyle name="40% - Accent6 4" xfId="96" xr:uid="{00000000-0005-0000-0000-00005A070000}"/>
    <cellStyle name="40% - Accent6 4 10" xfId="26602" xr:uid="{2203C838-41DB-4895-A1F5-BB2EE6BCA2CC}"/>
    <cellStyle name="40% - Accent6 4 2" xfId="665" xr:uid="{00000000-0005-0000-0000-00005B070000}"/>
    <cellStyle name="40% - Accent6 4 2 2" xfId="2936" xr:uid="{00000000-0005-0000-0000-00005C070000}"/>
    <cellStyle name="40% - Accent6 4 2 2 2" xfId="7158" xr:uid="{00000000-0005-0000-0000-00005D070000}"/>
    <cellStyle name="40% - Accent6 4 2 2 2 2" xfId="24931" xr:uid="{C1600E3D-EF85-4BEE-B829-0FC3EE8366A6}"/>
    <cellStyle name="40% - Accent6 4 2 2 2 2 2" xfId="41825" xr:uid="{0FC9514B-BC40-4A19-B46F-7691EDCF6009}"/>
    <cellStyle name="40% - Accent6 4 2 2 2 3" xfId="16484" xr:uid="{25807D2C-FFBC-4952-AC78-D8E195BF2E0D}"/>
    <cellStyle name="40% - Accent6 4 2 2 2 4" xfId="33378" xr:uid="{424F2BA4-CA9F-4927-9182-1E5E5349EA06}"/>
    <cellStyle name="40% - Accent6 4 2 2 3" xfId="20714" xr:uid="{AF747B7A-9569-4110-BF1C-0071F5008414}"/>
    <cellStyle name="40% - Accent6 4 2 2 3 2" xfId="37608" xr:uid="{BF69B684-1A25-45F2-8D38-030678CF5373}"/>
    <cellStyle name="40% - Accent6 4 2 2 4" xfId="12267" xr:uid="{4D7F9DE7-13C9-4B3E-9823-627241B56BA3}"/>
    <cellStyle name="40% - Accent6 4 2 2 5" xfId="29161" xr:uid="{00C1B54F-EFF7-478A-BFE2-BE14A532438A}"/>
    <cellStyle name="40% - Accent6 4 2 3" xfId="5013" xr:uid="{00000000-0005-0000-0000-00005E070000}"/>
    <cellStyle name="40% - Accent6 4 2 3 2" xfId="22786" xr:uid="{C953B967-3AA8-456C-A5D1-7E31FC2D87DC}"/>
    <cellStyle name="40% - Accent6 4 2 3 2 2" xfId="39680" xr:uid="{0C105F34-FDA4-4F24-8520-8AF5BDBCDA07}"/>
    <cellStyle name="40% - Accent6 4 2 3 3" xfId="14339" xr:uid="{8A0964D1-00BE-416B-AC33-8AEABE2D5B5E}"/>
    <cellStyle name="40% - Accent6 4 2 3 4" xfId="31233" xr:uid="{5EC490F2-738F-42A5-B442-4ABD71B48703}"/>
    <cellStyle name="40% - Accent6 4 2 4" xfId="9383" xr:uid="{07C7426F-B517-4815-A0BF-2BAE02B26B53}"/>
    <cellStyle name="40% - Accent6 4 2 4 2" xfId="18569" xr:uid="{1FF40765-5C7B-447A-BA9A-E95BC28092AB}"/>
    <cellStyle name="40% - Accent6 4 2 4 3" xfId="35463" xr:uid="{A909E635-E219-4067-A8C8-81B337F1D3BD}"/>
    <cellStyle name="40% - Accent6 4 2 5" xfId="10122" xr:uid="{6EB7504E-A108-4EA0-827F-89D897841818}"/>
    <cellStyle name="40% - Accent6 4 2 6" xfId="27016" xr:uid="{FA6C25AA-665E-4244-BAA6-8612A39069C0}"/>
    <cellStyle name="40% - Accent6 4 3" xfId="1118" xr:uid="{00000000-0005-0000-0000-00005F070000}"/>
    <cellStyle name="40% - Accent6 4 3 2" xfId="3349" xr:uid="{00000000-0005-0000-0000-000060070000}"/>
    <cellStyle name="40% - Accent6 4 3 2 2" xfId="7571" xr:uid="{00000000-0005-0000-0000-000061070000}"/>
    <cellStyle name="40% - Accent6 4 3 2 2 2" xfId="25344" xr:uid="{10058EF6-65A4-4BA9-B208-03A1B1D1FA08}"/>
    <cellStyle name="40% - Accent6 4 3 2 2 2 2" xfId="42238" xr:uid="{A92A7022-C0C5-444B-94CD-9192C792955B}"/>
    <cellStyle name="40% - Accent6 4 3 2 2 3" xfId="16897" xr:uid="{C9416D40-7420-46C2-859B-019E3D0F8C39}"/>
    <cellStyle name="40% - Accent6 4 3 2 2 4" xfId="33791" xr:uid="{FE8CC061-06C0-4AD1-BC97-76341B88B7BC}"/>
    <cellStyle name="40% - Accent6 4 3 2 3" xfId="21127" xr:uid="{22CE15C6-56BA-47C9-A601-0984D60FB439}"/>
    <cellStyle name="40% - Accent6 4 3 2 3 2" xfId="38021" xr:uid="{B5939F98-B213-43BB-B5B5-4A6C8D94D47F}"/>
    <cellStyle name="40% - Accent6 4 3 2 4" xfId="12680" xr:uid="{8AB48CE4-C588-47A9-8194-74023A2BC589}"/>
    <cellStyle name="40% - Accent6 4 3 2 5" xfId="29574" xr:uid="{C609091F-337E-4931-BA1D-66F3C8823BCB}"/>
    <cellStyle name="40% - Accent6 4 3 3" xfId="5426" xr:uid="{00000000-0005-0000-0000-000062070000}"/>
    <cellStyle name="40% - Accent6 4 3 3 2" xfId="23199" xr:uid="{C1F3BFFE-F75B-4164-8E5E-B0B294266886}"/>
    <cellStyle name="40% - Accent6 4 3 3 2 2" xfId="40093" xr:uid="{FAC7F6FF-7A06-4842-9198-2843DCA761C5}"/>
    <cellStyle name="40% - Accent6 4 3 3 3" xfId="14752" xr:uid="{06CC5F77-A3A1-4F8A-A3C6-2C5C0295F02A}"/>
    <cellStyle name="40% - Accent6 4 3 3 4" xfId="31646" xr:uid="{D7B164B3-E990-4D89-BD84-4D166F3387C6}"/>
    <cellStyle name="40% - Accent6 4 3 4" xfId="18982" xr:uid="{ED1AB64A-0582-4CD9-814B-E1A315876567}"/>
    <cellStyle name="40% - Accent6 4 3 4 2" xfId="35876" xr:uid="{1E97EB75-75C9-45AB-ADBE-3F0DDD379550}"/>
    <cellStyle name="40% - Accent6 4 3 5" xfId="10535" xr:uid="{6EB6C3A0-62E8-4BFA-AD35-C2F8C16E5100}"/>
    <cellStyle name="40% - Accent6 4 3 6" xfId="27429" xr:uid="{CEAB41D5-4B4A-4A08-AE33-581742FB2291}"/>
    <cellStyle name="40% - Accent6 4 4" xfId="1532" xr:uid="{00000000-0005-0000-0000-000063070000}"/>
    <cellStyle name="40% - Accent6 4 4 2" xfId="3762" xr:uid="{00000000-0005-0000-0000-000064070000}"/>
    <cellStyle name="40% - Accent6 4 4 2 2" xfId="7984" xr:uid="{00000000-0005-0000-0000-000065070000}"/>
    <cellStyle name="40% - Accent6 4 4 2 2 2" xfId="25757" xr:uid="{51C5016A-AF4D-46F3-A6DA-E164FBFB5668}"/>
    <cellStyle name="40% - Accent6 4 4 2 2 2 2" xfId="42651" xr:uid="{FA9B218D-0A62-4758-AC26-171F2946FE0D}"/>
    <cellStyle name="40% - Accent6 4 4 2 2 3" xfId="17310" xr:uid="{F19E7173-B8C4-4785-A328-AFF9F0D92908}"/>
    <cellStyle name="40% - Accent6 4 4 2 2 4" xfId="34204" xr:uid="{371450D3-C6C6-4E7E-AB44-F8D137394AB2}"/>
    <cellStyle name="40% - Accent6 4 4 2 3" xfId="21540" xr:uid="{E69E8844-F979-4FC8-8522-CEABF45820F9}"/>
    <cellStyle name="40% - Accent6 4 4 2 3 2" xfId="38434" xr:uid="{85294754-B4BF-45CE-B7EC-F491CDB00604}"/>
    <cellStyle name="40% - Accent6 4 4 2 4" xfId="13093" xr:uid="{EB22FCC6-432C-499E-B25F-FA61A2F8BBB0}"/>
    <cellStyle name="40% - Accent6 4 4 2 5" xfId="29987" xr:uid="{45AB121C-C04C-4C65-B147-80D81607AF23}"/>
    <cellStyle name="40% - Accent6 4 4 3" xfId="5839" xr:uid="{00000000-0005-0000-0000-000066070000}"/>
    <cellStyle name="40% - Accent6 4 4 3 2" xfId="23612" xr:uid="{F6D56B2C-4F74-47D5-9F86-77B31E82C037}"/>
    <cellStyle name="40% - Accent6 4 4 3 2 2" xfId="40506" xr:uid="{D75DC8D9-6CA9-4500-97B9-24BA0A4CD2EA}"/>
    <cellStyle name="40% - Accent6 4 4 3 3" xfId="15165" xr:uid="{B51BA289-FEE8-407F-BD61-494119999511}"/>
    <cellStyle name="40% - Accent6 4 4 3 4" xfId="32059" xr:uid="{9E71E3AF-3530-408C-92A6-4AB67A1D28C6}"/>
    <cellStyle name="40% - Accent6 4 4 4" xfId="19395" xr:uid="{5072514D-AC88-499B-B3A5-F46A132DC080}"/>
    <cellStyle name="40% - Accent6 4 4 4 2" xfId="36289" xr:uid="{A9DF19A4-B1AE-4F9F-81B2-F59729B71080}"/>
    <cellStyle name="40% - Accent6 4 4 5" xfId="10948" xr:uid="{CF778BBC-5D6A-47DD-9D91-AC64323E4598}"/>
    <cellStyle name="40% - Accent6 4 4 6" xfId="27842" xr:uid="{E6C31341-AF21-422A-8EC9-BD3244D09875}"/>
    <cellStyle name="40% - Accent6 4 5" xfId="1946" xr:uid="{00000000-0005-0000-0000-000067070000}"/>
    <cellStyle name="40% - Accent6 4 5 2" xfId="4175" xr:uid="{00000000-0005-0000-0000-000068070000}"/>
    <cellStyle name="40% - Accent6 4 5 2 2" xfId="8397" xr:uid="{00000000-0005-0000-0000-000069070000}"/>
    <cellStyle name="40% - Accent6 4 5 2 2 2" xfId="26170" xr:uid="{E71C8AAE-B309-454F-AF04-DA4960127EAF}"/>
    <cellStyle name="40% - Accent6 4 5 2 2 2 2" xfId="43064" xr:uid="{3A0F9362-22CD-48B5-81F2-884911A552FA}"/>
    <cellStyle name="40% - Accent6 4 5 2 2 3" xfId="17723" xr:uid="{65F23BF8-76A4-4ED4-B6F3-384FEC2D16D8}"/>
    <cellStyle name="40% - Accent6 4 5 2 2 4" xfId="34617" xr:uid="{FCAD6B48-D141-4A7D-AB92-F6818EE74E29}"/>
    <cellStyle name="40% - Accent6 4 5 2 3" xfId="21953" xr:uid="{AE3A8D0C-9130-43A6-A92D-8D300DAB3257}"/>
    <cellStyle name="40% - Accent6 4 5 2 3 2" xfId="38847" xr:uid="{98B903D0-BDC2-4BB0-93CA-0E02C112175A}"/>
    <cellStyle name="40% - Accent6 4 5 2 4" xfId="13506" xr:uid="{0C4C53DC-A0A4-4727-8157-998E3E7AF90F}"/>
    <cellStyle name="40% - Accent6 4 5 2 5" xfId="30400" xr:uid="{5C81F3C6-4DE2-4E58-B4EC-116D7E31DD84}"/>
    <cellStyle name="40% - Accent6 4 5 3" xfId="6252" xr:uid="{00000000-0005-0000-0000-00006A070000}"/>
    <cellStyle name="40% - Accent6 4 5 3 2" xfId="24025" xr:uid="{3D78A543-230E-4FD6-BD28-462B945E41C5}"/>
    <cellStyle name="40% - Accent6 4 5 3 2 2" xfId="40919" xr:uid="{D88C600E-4901-4E5F-9A8E-4A10888C0229}"/>
    <cellStyle name="40% - Accent6 4 5 3 3" xfId="15578" xr:uid="{6BB7BC98-B6F4-4547-BFC6-EC810C85C4DE}"/>
    <cellStyle name="40% - Accent6 4 5 3 4" xfId="32472" xr:uid="{5CFA984A-B660-4526-A915-75420AB4CEF4}"/>
    <cellStyle name="40% - Accent6 4 5 4" xfId="19808" xr:uid="{355177C2-C670-4BD0-8127-841DE7DEEDCF}"/>
    <cellStyle name="40% - Accent6 4 5 4 2" xfId="36702" xr:uid="{2202B6EB-FB1C-4699-BB24-B51FEE748E26}"/>
    <cellStyle name="40% - Accent6 4 5 5" xfId="11361" xr:uid="{FB0C931B-6388-4F4B-9460-99D848A78BF1}"/>
    <cellStyle name="40% - Accent6 4 5 6" xfId="28255" xr:uid="{5F06E937-1A19-41B7-A7F4-245237CECBC6}"/>
    <cellStyle name="40% - Accent6 4 6" xfId="2359" xr:uid="{00000000-0005-0000-0000-00006B070000}"/>
    <cellStyle name="40% - Accent6 4 6 2" xfId="6665" xr:uid="{00000000-0005-0000-0000-00006C070000}"/>
    <cellStyle name="40% - Accent6 4 6 2 2" xfId="24438" xr:uid="{9AE544A8-7DCD-42AE-8B63-D397AB21509A}"/>
    <cellStyle name="40% - Accent6 4 6 2 2 2" xfId="41332" xr:uid="{397AA8E4-A42F-4EE7-A6B4-0DEE6E74A82A}"/>
    <cellStyle name="40% - Accent6 4 6 2 3" xfId="15991" xr:uid="{60F2E459-284E-426D-99E8-755AB0A327A2}"/>
    <cellStyle name="40% - Accent6 4 6 2 4" xfId="32885" xr:uid="{DC7D8627-83CB-498E-8C41-FD94BF343A1B}"/>
    <cellStyle name="40% - Accent6 4 6 3" xfId="20221" xr:uid="{587DB895-F1BB-43E8-83CB-9AD47E66CE23}"/>
    <cellStyle name="40% - Accent6 4 6 3 2" xfId="37115" xr:uid="{8CF09B66-9C86-47C1-A383-355D2BEF60AD}"/>
    <cellStyle name="40% - Accent6 4 6 4" xfId="11774" xr:uid="{34F6568B-A691-4B50-A9FE-315907E19CB4}"/>
    <cellStyle name="40% - Accent6 4 6 5" xfId="28668" xr:uid="{88899681-E08B-4CFE-926D-8F9F662EF2FC}"/>
    <cellStyle name="40% - Accent6 4 7" xfId="4599" xr:uid="{00000000-0005-0000-0000-00006D070000}"/>
    <cellStyle name="40% - Accent6 4 7 2" xfId="22372" xr:uid="{3B80A27B-BCAE-46EB-BFD6-E8301A9CC6AA}"/>
    <cellStyle name="40% - Accent6 4 7 2 2" xfId="39266" xr:uid="{3D9F94B9-BD15-4BC4-9200-B9F082DF43C5}"/>
    <cellStyle name="40% - Accent6 4 7 3" xfId="13925" xr:uid="{69EAC92B-3C89-47F5-A360-5B09160285B0}"/>
    <cellStyle name="40% - Accent6 4 7 4" xfId="30819" xr:uid="{1627F931-0D6F-40FC-A525-6C4C47B058FD}"/>
    <cellStyle name="40% - Accent6 4 8" xfId="8958" xr:uid="{058203D5-6D6D-4106-8D68-93F66B236239}"/>
    <cellStyle name="40% - Accent6 4 8 2" xfId="18155" xr:uid="{B80AF52A-93AC-4B29-BCD8-BC451E021A48}"/>
    <cellStyle name="40% - Accent6 4 8 3" xfId="35049" xr:uid="{7F508453-F166-4DA8-BAF8-335275CAF674}"/>
    <cellStyle name="40% - Accent6 4 9" xfId="9708" xr:uid="{C8F26A40-483A-4916-8573-5F6A202A6779}"/>
    <cellStyle name="40% - Accent6 5" xfId="658" xr:uid="{00000000-0005-0000-0000-00006E070000}"/>
    <cellStyle name="40% - Accent6 5 2" xfId="2929" xr:uid="{00000000-0005-0000-0000-00006F070000}"/>
    <cellStyle name="40% - Accent6 5 2 2" xfId="7151" xr:uid="{00000000-0005-0000-0000-000070070000}"/>
    <cellStyle name="40% - Accent6 5 2 2 2" xfId="24924" xr:uid="{63E57859-641A-44F7-B9F8-B9C327CD903C}"/>
    <cellStyle name="40% - Accent6 5 2 2 2 2" xfId="41818" xr:uid="{C14DFE24-8A3C-46AD-8C02-785121523008}"/>
    <cellStyle name="40% - Accent6 5 2 2 3" xfId="16477" xr:uid="{8F8E48C3-EA06-4459-8778-92318908BF2C}"/>
    <cellStyle name="40% - Accent6 5 2 2 4" xfId="33371" xr:uid="{12B0371B-0288-4980-86E0-BF2147D2FBD6}"/>
    <cellStyle name="40% - Accent6 5 2 3" xfId="20707" xr:uid="{16A2BBB4-C536-45F0-AA5B-E3AFD6FD751A}"/>
    <cellStyle name="40% - Accent6 5 2 3 2" xfId="37601" xr:uid="{7E3259E3-F4F6-4B1B-BEA8-4AFFE5406B27}"/>
    <cellStyle name="40% - Accent6 5 2 4" xfId="12260" xr:uid="{BFFB5582-9186-4019-83F4-B10B28BF7D10}"/>
    <cellStyle name="40% - Accent6 5 2 5" xfId="29154" xr:uid="{D7600059-79FA-4879-B8B0-83F5D98FAFB7}"/>
    <cellStyle name="40% - Accent6 5 3" xfId="5006" xr:uid="{00000000-0005-0000-0000-000071070000}"/>
    <cellStyle name="40% - Accent6 5 3 2" xfId="22779" xr:uid="{C066586D-04D1-43FE-BDF5-4AD62D1E380E}"/>
    <cellStyle name="40% - Accent6 5 3 2 2" xfId="39673" xr:uid="{C1288569-89FD-470A-80F4-8A5A52087ECE}"/>
    <cellStyle name="40% - Accent6 5 3 3" xfId="14332" xr:uid="{CB819506-5A40-41C0-B384-3D9FE6529C3D}"/>
    <cellStyle name="40% - Accent6 5 3 4" xfId="31226" xr:uid="{6F26C24E-2B4C-40D6-83B7-33EAFE375DAB}"/>
    <cellStyle name="40% - Accent6 5 4" xfId="9192" xr:uid="{19661A88-B46A-4EF9-A9F3-4BCF8E242108}"/>
    <cellStyle name="40% - Accent6 5 4 2" xfId="18562" xr:uid="{FB604EE2-AC99-4AAB-A8C2-9ABA81CA65B1}"/>
    <cellStyle name="40% - Accent6 5 4 3" xfId="35456" xr:uid="{4F706F0D-2DB2-4021-9AF8-EE1D886DF9A1}"/>
    <cellStyle name="40% - Accent6 5 5" xfId="10115" xr:uid="{02676065-4E4F-4983-B068-0CFBC418CE9A}"/>
    <cellStyle name="40% - Accent6 5 6" xfId="27009" xr:uid="{F34528E5-7C8A-41DB-8D58-D2BE372ED225}"/>
    <cellStyle name="40% - Accent6 6" xfId="1111" xr:uid="{00000000-0005-0000-0000-000072070000}"/>
    <cellStyle name="40% - Accent6 6 2" xfId="3342" xr:uid="{00000000-0005-0000-0000-000073070000}"/>
    <cellStyle name="40% - Accent6 6 2 2" xfId="7564" xr:uid="{00000000-0005-0000-0000-000074070000}"/>
    <cellStyle name="40% - Accent6 6 2 2 2" xfId="25337" xr:uid="{76002DE3-81CF-4587-86C3-D10B9B2213E7}"/>
    <cellStyle name="40% - Accent6 6 2 2 2 2" xfId="42231" xr:uid="{61A3A935-7533-4AE8-976B-B0BF8C85C9B0}"/>
    <cellStyle name="40% - Accent6 6 2 2 3" xfId="16890" xr:uid="{D9D79329-933D-4869-B6C6-614BB5EC9A51}"/>
    <cellStyle name="40% - Accent6 6 2 2 4" xfId="33784" xr:uid="{EB157793-821B-4343-A15E-F671632398A0}"/>
    <cellStyle name="40% - Accent6 6 2 3" xfId="21120" xr:uid="{970B0786-4542-40CE-87FF-33EE5C00B440}"/>
    <cellStyle name="40% - Accent6 6 2 3 2" xfId="38014" xr:uid="{AE4EE4AA-09E6-417C-BFA6-42A38BB35DD4}"/>
    <cellStyle name="40% - Accent6 6 2 4" xfId="12673" xr:uid="{34613BE8-0796-46FF-8C47-6E02D3939DE1}"/>
    <cellStyle name="40% - Accent6 6 2 5" xfId="29567" xr:uid="{06772DE9-9700-492F-A411-6BDBBD3B33C7}"/>
    <cellStyle name="40% - Accent6 6 3" xfId="5419" xr:uid="{00000000-0005-0000-0000-000075070000}"/>
    <cellStyle name="40% - Accent6 6 3 2" xfId="23192" xr:uid="{F8B9C68A-D3D2-4A06-A5C3-2B5013794F19}"/>
    <cellStyle name="40% - Accent6 6 3 2 2" xfId="40086" xr:uid="{9CE0D2BC-C89D-47D8-9B6D-5275C0C3315D}"/>
    <cellStyle name="40% - Accent6 6 3 3" xfId="14745" xr:uid="{3084E4AD-CAFC-4517-8438-AFD9BD793D50}"/>
    <cellStyle name="40% - Accent6 6 3 4" xfId="31639" xr:uid="{A613C487-FC09-4DCF-BC2E-5431B8F4BDD5}"/>
    <cellStyle name="40% - Accent6 6 4" xfId="18975" xr:uid="{63CC4D54-74E8-4DDE-93EA-22D126EA06D5}"/>
    <cellStyle name="40% - Accent6 6 4 2" xfId="35869" xr:uid="{58A3C061-CC05-474E-A432-86AA4BDA29DA}"/>
    <cellStyle name="40% - Accent6 6 5" xfId="10528" xr:uid="{43777082-9923-4EBD-A39F-F04BBF9F6F87}"/>
    <cellStyle name="40% - Accent6 6 6" xfId="27422" xr:uid="{BEE407A4-603B-40AC-B28B-B2E50CED893A}"/>
    <cellStyle name="40% - Accent6 7" xfId="1525" xr:uid="{00000000-0005-0000-0000-000076070000}"/>
    <cellStyle name="40% - Accent6 7 2" xfId="3755" xr:uid="{00000000-0005-0000-0000-000077070000}"/>
    <cellStyle name="40% - Accent6 7 2 2" xfId="7977" xr:uid="{00000000-0005-0000-0000-000078070000}"/>
    <cellStyle name="40% - Accent6 7 2 2 2" xfId="25750" xr:uid="{6787D766-28EA-4A00-8D3D-0CB08B479546}"/>
    <cellStyle name="40% - Accent6 7 2 2 2 2" xfId="42644" xr:uid="{A56B32E9-4DE2-4002-9A75-DE31480076D0}"/>
    <cellStyle name="40% - Accent6 7 2 2 3" xfId="17303" xr:uid="{1E8278E6-94E1-4D1F-9D35-A1E297A78BF3}"/>
    <cellStyle name="40% - Accent6 7 2 2 4" xfId="34197" xr:uid="{EE90E329-8C94-4C39-8163-68C6B1EA2C5A}"/>
    <cellStyle name="40% - Accent6 7 2 3" xfId="21533" xr:uid="{BBB0F7F1-C519-407E-AD5F-48775EF76FA7}"/>
    <cellStyle name="40% - Accent6 7 2 3 2" xfId="38427" xr:uid="{33D0F4E4-4625-4C0D-A5D9-890643C18661}"/>
    <cellStyle name="40% - Accent6 7 2 4" xfId="13086" xr:uid="{C33A724D-43CF-4C54-9048-8DD81DA946F3}"/>
    <cellStyle name="40% - Accent6 7 2 5" xfId="29980" xr:uid="{D1C40360-A853-4D4B-9CE2-C4C936E23D91}"/>
    <cellStyle name="40% - Accent6 7 3" xfId="5832" xr:uid="{00000000-0005-0000-0000-000079070000}"/>
    <cellStyle name="40% - Accent6 7 3 2" xfId="23605" xr:uid="{1F04C9FF-AD7D-4322-95CE-9F350FB38C15}"/>
    <cellStyle name="40% - Accent6 7 3 2 2" xfId="40499" xr:uid="{48D90C0B-C8FE-4328-9684-1C6109ED4406}"/>
    <cellStyle name="40% - Accent6 7 3 3" xfId="15158" xr:uid="{886475A0-6152-408B-A505-D3A2CD5B7BE7}"/>
    <cellStyle name="40% - Accent6 7 3 4" xfId="32052" xr:uid="{985E8C4A-EA64-4BD9-8461-959367AA95A3}"/>
    <cellStyle name="40% - Accent6 7 4" xfId="19388" xr:uid="{66524897-F159-4D66-BE55-AE0641A42B6A}"/>
    <cellStyle name="40% - Accent6 7 4 2" xfId="36282" xr:uid="{82C174D2-DFD0-49F8-9070-99ED88C61EF0}"/>
    <cellStyle name="40% - Accent6 7 5" xfId="10941" xr:uid="{348DCDAA-3DF1-407D-8849-E2647689827A}"/>
    <cellStyle name="40% - Accent6 7 6" xfId="27835" xr:uid="{32D0F370-B4C6-4EC9-975E-523A0F291988}"/>
    <cellStyle name="40% - Accent6 8" xfId="1939" xr:uid="{00000000-0005-0000-0000-00007A070000}"/>
    <cellStyle name="40% - Accent6 8 2" xfId="4168" xr:uid="{00000000-0005-0000-0000-00007B070000}"/>
    <cellStyle name="40% - Accent6 8 2 2" xfId="8390" xr:uid="{00000000-0005-0000-0000-00007C070000}"/>
    <cellStyle name="40% - Accent6 8 2 2 2" xfId="26163" xr:uid="{1452A990-56AB-4086-9D64-F4426CBD1E23}"/>
    <cellStyle name="40% - Accent6 8 2 2 2 2" xfId="43057" xr:uid="{6858B45F-5F40-41AA-9C34-373935EE50AA}"/>
    <cellStyle name="40% - Accent6 8 2 2 3" xfId="17716" xr:uid="{022C149D-B5E0-487F-A5AA-7778932CF179}"/>
    <cellStyle name="40% - Accent6 8 2 2 4" xfId="34610" xr:uid="{0F8997EB-5CC7-4BC2-86DF-4DE4B05CF003}"/>
    <cellStyle name="40% - Accent6 8 2 3" xfId="21946" xr:uid="{4341893E-53CB-4F72-B6BE-6ED4C36F2303}"/>
    <cellStyle name="40% - Accent6 8 2 3 2" xfId="38840" xr:uid="{66CA134D-26D6-43A6-964E-004C896DE0EE}"/>
    <cellStyle name="40% - Accent6 8 2 4" xfId="13499" xr:uid="{D46D3A7E-FAF7-4C89-A46A-4087F5906CAA}"/>
    <cellStyle name="40% - Accent6 8 2 5" xfId="30393" xr:uid="{B2ED42A6-D725-45E3-A2D2-9F1BC48CA2B7}"/>
    <cellStyle name="40% - Accent6 8 3" xfId="6245" xr:uid="{00000000-0005-0000-0000-00007D070000}"/>
    <cellStyle name="40% - Accent6 8 3 2" xfId="24018" xr:uid="{9F277C08-7CC1-4EDF-9DA3-1D661A7B8452}"/>
    <cellStyle name="40% - Accent6 8 3 2 2" xfId="40912" xr:uid="{8AFF9C45-31A9-45DE-B935-8E944373AAEF}"/>
    <cellStyle name="40% - Accent6 8 3 3" xfId="15571" xr:uid="{0478E6A4-5280-437B-AE43-0A243DD59533}"/>
    <cellStyle name="40% - Accent6 8 3 4" xfId="32465" xr:uid="{1E696D84-C6C7-4725-A2EC-8A12659E8F41}"/>
    <cellStyle name="40% - Accent6 8 4" xfId="19801" xr:uid="{BB65C83C-AEB9-4714-BB98-0AD4282A40B5}"/>
    <cellStyle name="40% - Accent6 8 4 2" xfId="36695" xr:uid="{C22A61E9-F3BD-43BA-AFCB-765E7EB5CC7A}"/>
    <cellStyle name="40% - Accent6 8 5" xfId="11354" xr:uid="{45B1EDC2-C8B5-4531-B102-2CBAC364F6E7}"/>
    <cellStyle name="40% - Accent6 8 6" xfId="28248" xr:uid="{3DFB189C-2798-4BBD-BDC9-3EECB57BB1CE}"/>
    <cellStyle name="40% - Accent6 9" xfId="2352" xr:uid="{00000000-0005-0000-0000-00007E070000}"/>
    <cellStyle name="40% - Accent6 9 2" xfId="6658" xr:uid="{00000000-0005-0000-0000-00007F070000}"/>
    <cellStyle name="40% - Accent6 9 2 2" xfId="24431" xr:uid="{C34AF96A-320A-4FCF-A50E-44B3CA9A8CE6}"/>
    <cellStyle name="40% - Accent6 9 2 2 2" xfId="41325" xr:uid="{7B366F04-CA6D-4311-87A8-10ECAB9D2CF8}"/>
    <cellStyle name="40% - Accent6 9 2 3" xfId="15984" xr:uid="{FDA7AEFC-EBD7-4444-A71E-A602992EBF53}"/>
    <cellStyle name="40% - Accent6 9 2 4" xfId="32878" xr:uid="{A354B429-060C-43B1-96DD-5696770AD6CA}"/>
    <cellStyle name="40% - Accent6 9 3" xfId="20214" xr:uid="{478A8582-A759-4617-A833-9238B31D97A4}"/>
    <cellStyle name="40% - Accent6 9 3 2" xfId="37108" xr:uid="{A6772A7B-BA8E-4AD6-89FE-E7B725C57390}"/>
    <cellStyle name="40% - Accent6 9 4" xfId="11767" xr:uid="{D1552E5F-9599-497B-BAD1-D2A3D70CA531}"/>
    <cellStyle name="40% - Accent6 9 5" xfId="28661" xr:uid="{ED58AAE3-1518-4BE0-A978-82453BF5F80F}"/>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0 2 2" xfId="24756" xr:uid="{5220AFFE-ED89-4090-9ECE-2E76BC64C6A7}"/>
    <cellStyle name="Comma 4 2 2 2 10 2 2 2" xfId="41650" xr:uid="{B8CB91A9-1D2E-4C55-B015-C5239892D5CB}"/>
    <cellStyle name="Comma 4 2 2 2 10 2 3" xfId="16309" xr:uid="{F5A3FB3D-DEDD-47CD-ABDD-CBA02BC1732B}"/>
    <cellStyle name="Comma 4 2 2 2 10 2 4" xfId="33203" xr:uid="{CDFEF26D-799E-4821-96DF-9427778E02DF}"/>
    <cellStyle name="Comma 4 2 2 2 10 3" xfId="20539" xr:uid="{A1C754B4-48E3-4E21-B019-6FD6D8D7C018}"/>
    <cellStyle name="Comma 4 2 2 2 10 3 2" xfId="37433" xr:uid="{1BEE2056-5F8E-4A9F-81F4-5472FE9A658A}"/>
    <cellStyle name="Comma 4 2 2 2 10 4" xfId="12092" xr:uid="{23C4FD42-B1E2-42E1-A8DD-1FD003452D7E}"/>
    <cellStyle name="Comma 4 2 2 2 10 5" xfId="28986" xr:uid="{A70AA6CF-2731-4EC3-8C25-1EC7C9012D41}"/>
    <cellStyle name="Comma 4 2 2 2 11" xfId="4600" xr:uid="{00000000-0005-0000-0000-0000A3070000}"/>
    <cellStyle name="Comma 4 2 2 2 11 2" xfId="22373" xr:uid="{92A07A7F-CE57-46CD-964C-062E18EEFB72}"/>
    <cellStyle name="Comma 4 2 2 2 11 2 2" xfId="39267" xr:uid="{29DA8490-31AE-4118-9EE0-12497F1E8EF4}"/>
    <cellStyle name="Comma 4 2 2 2 11 3" xfId="13926" xr:uid="{92B23624-918E-41BF-B176-4C973906A156}"/>
    <cellStyle name="Comma 4 2 2 2 11 4" xfId="30820" xr:uid="{B851E1BE-01ED-4B15-9AAA-D744E7ECB384}"/>
    <cellStyle name="Comma 4 2 2 2 12" xfId="8806" xr:uid="{6C773D0B-D2E3-4A8C-B041-8DA2843B9E25}"/>
    <cellStyle name="Comma 4 2 2 2 12 2" xfId="18156" xr:uid="{CA63CDDE-8866-4726-828B-5B24E41EFF44}"/>
    <cellStyle name="Comma 4 2 2 2 12 3" xfId="35050" xr:uid="{DE732ABC-F501-4F43-8B93-62E3AD13D895}"/>
    <cellStyle name="Comma 4 2 2 2 13" xfId="9709" xr:uid="{B05E93C0-2984-4828-B014-D8A8FC800B81}"/>
    <cellStyle name="Comma 4 2 2 2 14" xfId="26603" xr:uid="{37CB4008-2BAE-400C-B03B-CF6290755013}"/>
    <cellStyle name="Comma 4 2 2 2 2" xfId="129" xr:uid="{00000000-0005-0000-0000-0000A4070000}"/>
    <cellStyle name="Comma 4 2 2 2 2 10" xfId="4601" xr:uid="{00000000-0005-0000-0000-0000A5070000}"/>
    <cellStyle name="Comma 4 2 2 2 2 10 2" xfId="22374" xr:uid="{A43E50B4-9261-44EB-898B-4C10CA5C0C7C}"/>
    <cellStyle name="Comma 4 2 2 2 2 10 2 2" xfId="39268" xr:uid="{E55EDE68-96E3-4F03-9C39-3AA60D8B3BD5}"/>
    <cellStyle name="Comma 4 2 2 2 2 10 3" xfId="13927" xr:uid="{78C32191-1D72-425E-B80E-3BB37BD13D29}"/>
    <cellStyle name="Comma 4 2 2 2 2 10 4" xfId="30821" xr:uid="{1ABDBB7F-F230-464F-A6EC-DF8DE199C75F}"/>
    <cellStyle name="Comma 4 2 2 2 2 11" xfId="8909" xr:uid="{477FCE05-1F49-4658-A03C-A8A5E7983C47}"/>
    <cellStyle name="Comma 4 2 2 2 2 11 2" xfId="18157" xr:uid="{E0007570-A35C-4FA6-8E7F-7034C876D3CB}"/>
    <cellStyle name="Comma 4 2 2 2 2 11 3" xfId="35051" xr:uid="{C14E231A-22F5-4E2A-B8B1-44B2A287C0FE}"/>
    <cellStyle name="Comma 4 2 2 2 2 12" xfId="9710" xr:uid="{8923DB8C-4773-4824-BB56-282FD139F335}"/>
    <cellStyle name="Comma 4 2 2 2 2 13" xfId="26604" xr:uid="{F27F036C-2478-47A5-8945-DF176B1B49F8}"/>
    <cellStyle name="Comma 4 2 2 2 2 2" xfId="130" xr:uid="{00000000-0005-0000-0000-0000A6070000}"/>
    <cellStyle name="Comma 4 2 2 2 2 2 10" xfId="9116" xr:uid="{7A07505D-6B4C-4086-90B5-B5D345FB7611}"/>
    <cellStyle name="Comma 4 2 2 2 2 2 10 2" xfId="18158" xr:uid="{2D7707D2-F6A0-4D81-95D7-9047FCC97A4D}"/>
    <cellStyle name="Comma 4 2 2 2 2 2 10 3" xfId="35052" xr:uid="{D542DFE8-D48E-450E-A76A-339ABA05B841}"/>
    <cellStyle name="Comma 4 2 2 2 2 2 11" xfId="9711" xr:uid="{28BE826C-3AFB-4FBA-B37E-1480B58EFCC4}"/>
    <cellStyle name="Comma 4 2 2 2 2 2 12" xfId="26605" xr:uid="{6FD38621-53F9-4747-8D86-DD5004EF99A3}"/>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2 2 2" xfId="24934" xr:uid="{B1CF517B-B56D-4B17-85BF-604A9866C5DF}"/>
    <cellStyle name="Comma 4 2 2 2 2 2 2 2 2 2 2" xfId="41828" xr:uid="{1E872F09-0AFD-4D69-B841-9128F8E57D47}"/>
    <cellStyle name="Comma 4 2 2 2 2 2 2 2 2 3" xfId="16487" xr:uid="{F34F2E00-A4E4-4531-A695-6FEE25701741}"/>
    <cellStyle name="Comma 4 2 2 2 2 2 2 2 2 4" xfId="33381" xr:uid="{F45E1B07-EEA5-4F36-9971-B04BEE5C71D1}"/>
    <cellStyle name="Comma 4 2 2 2 2 2 2 2 3" xfId="20717" xr:uid="{F1638A4C-BACE-4A44-80D1-C5E62950C0C2}"/>
    <cellStyle name="Comma 4 2 2 2 2 2 2 2 3 2" xfId="37611" xr:uid="{539BA4AF-9456-4600-B884-10A6033C5213}"/>
    <cellStyle name="Comma 4 2 2 2 2 2 2 2 4" xfId="12270" xr:uid="{3E4EC419-055C-4B96-8C42-85AF6A1F0747}"/>
    <cellStyle name="Comma 4 2 2 2 2 2 2 2 5" xfId="29164" xr:uid="{F0A51241-E0B0-48F1-895B-ABB0D41F7F43}"/>
    <cellStyle name="Comma 4 2 2 2 2 2 2 3" xfId="5016" xr:uid="{00000000-0005-0000-0000-0000AA070000}"/>
    <cellStyle name="Comma 4 2 2 2 2 2 2 3 2" xfId="22789" xr:uid="{E0A0F204-CF5C-41A3-A73A-3882F87636C5}"/>
    <cellStyle name="Comma 4 2 2 2 2 2 2 3 2 2" xfId="39683" xr:uid="{72324C1F-9E44-4C00-A6E3-EF3621B96C6C}"/>
    <cellStyle name="Comma 4 2 2 2 2 2 2 3 3" xfId="14342" xr:uid="{8F35311D-B6AB-4468-961D-49CD64ECD406}"/>
    <cellStyle name="Comma 4 2 2 2 2 2 2 3 4" xfId="31236" xr:uid="{836444B6-DCAB-41D3-A4DE-DF9915B37568}"/>
    <cellStyle name="Comma 4 2 2 2 2 2 2 4" xfId="9541" xr:uid="{21DC771E-83A2-48BA-BE40-3E9E8454DE28}"/>
    <cellStyle name="Comma 4 2 2 2 2 2 2 4 2" xfId="18572" xr:uid="{7D6FD4D7-EEE2-4CF9-9B9E-325526E7C2E4}"/>
    <cellStyle name="Comma 4 2 2 2 2 2 2 4 3" xfId="35466" xr:uid="{F80E41CF-040C-439E-A049-62C6C73E9D0F}"/>
    <cellStyle name="Comma 4 2 2 2 2 2 2 5" xfId="10125" xr:uid="{C8C6DECA-C3DF-481A-935E-693BFBFB48EC}"/>
    <cellStyle name="Comma 4 2 2 2 2 2 2 6" xfId="27019" xr:uid="{BC4A371A-FDD8-47FA-AB62-86E84B1CD223}"/>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2 2 2" xfId="25347" xr:uid="{8AF90281-0135-4FF3-B270-1F3385CE60A2}"/>
    <cellStyle name="Comma 4 2 2 2 2 2 3 2 2 2 2" xfId="42241" xr:uid="{58CA00FB-A6E5-447D-B99D-30EFC912A1AF}"/>
    <cellStyle name="Comma 4 2 2 2 2 2 3 2 2 3" xfId="16900" xr:uid="{FE20C5A4-6D36-43EB-BDEF-F0A782550B4A}"/>
    <cellStyle name="Comma 4 2 2 2 2 2 3 2 2 4" xfId="33794" xr:uid="{EE34CCA9-0495-40E2-81CE-61C89C3EE041}"/>
    <cellStyle name="Comma 4 2 2 2 2 2 3 2 3" xfId="21130" xr:uid="{91326EEC-09DE-4161-9DA1-09F1F56A09F9}"/>
    <cellStyle name="Comma 4 2 2 2 2 2 3 2 3 2" xfId="38024" xr:uid="{821B3416-E435-4AF2-916D-B10368C8E885}"/>
    <cellStyle name="Comma 4 2 2 2 2 2 3 2 4" xfId="12683" xr:uid="{CF30C133-CFF8-4A5D-BD3C-9C76E733A045}"/>
    <cellStyle name="Comma 4 2 2 2 2 2 3 2 5" xfId="29577" xr:uid="{0871CBB9-F04D-4261-BA36-881F9CFBD36A}"/>
    <cellStyle name="Comma 4 2 2 2 2 2 3 3" xfId="5429" xr:uid="{00000000-0005-0000-0000-0000AE070000}"/>
    <cellStyle name="Comma 4 2 2 2 2 2 3 3 2" xfId="23202" xr:uid="{FA404E98-03F0-4310-A9DD-CB9448CB6770}"/>
    <cellStyle name="Comma 4 2 2 2 2 2 3 3 2 2" xfId="40096" xr:uid="{2C4688AE-D9A2-4759-A9FC-0A0F43725D23}"/>
    <cellStyle name="Comma 4 2 2 2 2 2 3 3 3" xfId="14755" xr:uid="{FA79E408-C11F-4480-83CC-5889173BC3FB}"/>
    <cellStyle name="Comma 4 2 2 2 2 2 3 3 4" xfId="31649" xr:uid="{4892AD5D-C275-447A-800A-FA99E32B837A}"/>
    <cellStyle name="Comma 4 2 2 2 2 2 3 4" xfId="18985" xr:uid="{456925E0-A254-4C8F-A674-4B06001CD9D3}"/>
    <cellStyle name="Comma 4 2 2 2 2 2 3 4 2" xfId="35879" xr:uid="{C89F57A5-4F30-4D0F-A4DC-6E7F7B1E9DB7}"/>
    <cellStyle name="Comma 4 2 2 2 2 2 3 5" xfId="10538" xr:uid="{8F0CD025-53E3-427E-9E4B-4B2497DAAD23}"/>
    <cellStyle name="Comma 4 2 2 2 2 2 3 6" xfId="27432" xr:uid="{8C52D8D4-B277-43B4-A814-2E9650690C88}"/>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2 2 2" xfId="25760" xr:uid="{AA80DA4F-6F66-4188-BB80-8E2643B618E7}"/>
    <cellStyle name="Comma 4 2 2 2 2 2 4 2 2 2 2" xfId="42654" xr:uid="{89DC7588-E417-4F55-821B-5950F2B5EF4D}"/>
    <cellStyle name="Comma 4 2 2 2 2 2 4 2 2 3" xfId="17313" xr:uid="{B27E32E5-07C5-4CF1-B7FC-CD1DA3CE917D}"/>
    <cellStyle name="Comma 4 2 2 2 2 2 4 2 2 4" xfId="34207" xr:uid="{0DFBBC80-50F3-475C-854D-5564E3D406E4}"/>
    <cellStyle name="Comma 4 2 2 2 2 2 4 2 3" xfId="21543" xr:uid="{BE9C6D10-D6EE-4FD0-BCC5-B9B64D105500}"/>
    <cellStyle name="Comma 4 2 2 2 2 2 4 2 3 2" xfId="38437" xr:uid="{8A73463F-E8A4-494A-83B0-81612E49A754}"/>
    <cellStyle name="Comma 4 2 2 2 2 2 4 2 4" xfId="13096" xr:uid="{8E19CE38-2B68-43AC-8A81-12DD83515B8D}"/>
    <cellStyle name="Comma 4 2 2 2 2 2 4 2 5" xfId="29990" xr:uid="{F84E50BD-991B-4741-BD2A-67A5BA708BCA}"/>
    <cellStyle name="Comma 4 2 2 2 2 2 4 3" xfId="5842" xr:uid="{00000000-0005-0000-0000-0000B2070000}"/>
    <cellStyle name="Comma 4 2 2 2 2 2 4 3 2" xfId="23615" xr:uid="{8D51315B-E153-47A7-BEB7-2862C7451193}"/>
    <cellStyle name="Comma 4 2 2 2 2 2 4 3 2 2" xfId="40509" xr:uid="{F53C88C4-F7FB-41DF-BB49-08F62CD62870}"/>
    <cellStyle name="Comma 4 2 2 2 2 2 4 3 3" xfId="15168" xr:uid="{AE9A0C1C-BF61-49C1-9B72-F44A35C440A2}"/>
    <cellStyle name="Comma 4 2 2 2 2 2 4 3 4" xfId="32062" xr:uid="{6B089D90-3DBC-4D88-883E-1A28F036A357}"/>
    <cellStyle name="Comma 4 2 2 2 2 2 4 4" xfId="19398" xr:uid="{7C1FB9F0-6620-46F1-8E69-A07D22334705}"/>
    <cellStyle name="Comma 4 2 2 2 2 2 4 4 2" xfId="36292" xr:uid="{83750C80-24FC-4237-AA8E-642A471188D4}"/>
    <cellStyle name="Comma 4 2 2 2 2 2 4 5" xfId="10951" xr:uid="{68F221F7-DAC5-4655-B464-294EC07BB0BA}"/>
    <cellStyle name="Comma 4 2 2 2 2 2 4 6" xfId="27845" xr:uid="{5A06CEDC-E123-46E8-9B00-015E48B18FBD}"/>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2 2 2" xfId="26173" xr:uid="{0A31288B-EA42-4538-BE7F-199B5F8DCA47}"/>
    <cellStyle name="Comma 4 2 2 2 2 2 5 2 2 2 2" xfId="43067" xr:uid="{16B61764-581E-4166-ACAC-3BD2AC258A06}"/>
    <cellStyle name="Comma 4 2 2 2 2 2 5 2 2 3" xfId="17726" xr:uid="{016BBD64-9F79-4AD6-8181-2D748BB6F9C2}"/>
    <cellStyle name="Comma 4 2 2 2 2 2 5 2 2 4" xfId="34620" xr:uid="{0473538A-71D6-4478-850F-C1F86AA352D8}"/>
    <cellStyle name="Comma 4 2 2 2 2 2 5 2 3" xfId="21956" xr:uid="{404B01E2-ADE1-4C0F-9316-191FF5884B5C}"/>
    <cellStyle name="Comma 4 2 2 2 2 2 5 2 3 2" xfId="38850" xr:uid="{E67B603D-6380-4BAC-B5A8-6DF01EFBF58A}"/>
    <cellStyle name="Comma 4 2 2 2 2 2 5 2 4" xfId="13509" xr:uid="{A3A9414E-05DF-4E25-8F99-81994058E3C8}"/>
    <cellStyle name="Comma 4 2 2 2 2 2 5 2 5" xfId="30403" xr:uid="{52C6B407-ED71-4904-B055-79A2254E18EC}"/>
    <cellStyle name="Comma 4 2 2 2 2 2 5 3" xfId="6255" xr:uid="{00000000-0005-0000-0000-0000B6070000}"/>
    <cellStyle name="Comma 4 2 2 2 2 2 5 3 2" xfId="24028" xr:uid="{B6528A1E-13DD-4BD1-8C85-18DC84285FE7}"/>
    <cellStyle name="Comma 4 2 2 2 2 2 5 3 2 2" xfId="40922" xr:uid="{43BC0DFB-9AB0-493D-8D74-294369FF9758}"/>
    <cellStyle name="Comma 4 2 2 2 2 2 5 3 3" xfId="15581" xr:uid="{CA7B459F-AE28-4A32-A6A8-65CAC4B1AB16}"/>
    <cellStyle name="Comma 4 2 2 2 2 2 5 3 4" xfId="32475" xr:uid="{8FC430FC-D111-4F77-B2A5-261328C857A2}"/>
    <cellStyle name="Comma 4 2 2 2 2 2 5 4" xfId="19811" xr:uid="{9BCD971B-14F4-475C-AF48-719D6F629DCB}"/>
    <cellStyle name="Comma 4 2 2 2 2 2 5 4 2" xfId="36705" xr:uid="{A397B303-7607-43A7-976F-4A8C12C9E66A}"/>
    <cellStyle name="Comma 4 2 2 2 2 2 5 5" xfId="11364" xr:uid="{6AB3311B-320F-4C76-9856-ADE93911F02B}"/>
    <cellStyle name="Comma 4 2 2 2 2 2 5 6" xfId="28258" xr:uid="{BB7A870D-6317-4D56-90A6-E9E360B289BD}"/>
    <cellStyle name="Comma 4 2 2 2 2 2 6" xfId="2384" xr:uid="{00000000-0005-0000-0000-0000B7070000}"/>
    <cellStyle name="Comma 4 2 2 2 2 2 6 2" xfId="6668" xr:uid="{00000000-0005-0000-0000-0000B8070000}"/>
    <cellStyle name="Comma 4 2 2 2 2 2 6 2 2" xfId="24441" xr:uid="{297850F2-EFF8-4468-999A-AD0F64A554E5}"/>
    <cellStyle name="Comma 4 2 2 2 2 2 6 2 2 2" xfId="41335" xr:uid="{C6038C36-3D2E-4A06-961A-C6D730A65359}"/>
    <cellStyle name="Comma 4 2 2 2 2 2 6 2 3" xfId="15994" xr:uid="{B5470A42-BF87-4B34-B09E-F928C039024D}"/>
    <cellStyle name="Comma 4 2 2 2 2 2 6 2 4" xfId="32888" xr:uid="{F8D0BDD8-C2AB-4523-B9FB-B97C0B30D802}"/>
    <cellStyle name="Comma 4 2 2 2 2 2 6 3" xfId="20224" xr:uid="{26D01D2C-4DF2-47D4-BDB5-674E65AE914B}"/>
    <cellStyle name="Comma 4 2 2 2 2 2 6 3 2" xfId="37118" xr:uid="{504962F8-ED2C-4EC8-B15F-6C579D71EA01}"/>
    <cellStyle name="Comma 4 2 2 2 2 2 6 4" xfId="11777" xr:uid="{0D1F5BAB-C266-4523-9913-CB37D6527ADA}"/>
    <cellStyle name="Comma 4 2 2 2 2 2 6 5" xfId="28671" xr:uid="{95B7BA86-DCAB-437C-A217-F720C3DE1C06}"/>
    <cellStyle name="Comma 4 2 2 2 2 2 7" xfId="2379" xr:uid="{00000000-0005-0000-0000-0000B9070000}"/>
    <cellStyle name="Comma 4 2 2 2 2 2 8" xfId="2762" xr:uid="{00000000-0005-0000-0000-0000BA070000}"/>
    <cellStyle name="Comma 4 2 2 2 2 2 8 2" xfId="6985" xr:uid="{00000000-0005-0000-0000-0000BB070000}"/>
    <cellStyle name="Comma 4 2 2 2 2 2 8 2 2" xfId="24758" xr:uid="{47F041E8-BD48-4941-AC00-18D9795E7144}"/>
    <cellStyle name="Comma 4 2 2 2 2 2 8 2 2 2" xfId="41652" xr:uid="{13BEDC80-AC5A-4C9B-81C7-5B1765DA5A19}"/>
    <cellStyle name="Comma 4 2 2 2 2 2 8 2 3" xfId="16311" xr:uid="{07B2E590-A535-4D0F-A3F9-6FCCE72FAF1D}"/>
    <cellStyle name="Comma 4 2 2 2 2 2 8 2 4" xfId="33205" xr:uid="{0E6A2208-02C7-457A-A2BC-435427C3385A}"/>
    <cellStyle name="Comma 4 2 2 2 2 2 8 3" xfId="20541" xr:uid="{B3051374-FF0C-4370-AC90-98596EC5E509}"/>
    <cellStyle name="Comma 4 2 2 2 2 2 8 3 2" xfId="37435" xr:uid="{0AD5FFF0-F77A-4422-AA36-D37EC8B03C84}"/>
    <cellStyle name="Comma 4 2 2 2 2 2 8 4" xfId="12094" xr:uid="{6910D0B6-1A4F-47FA-A26E-DDDD2A01E779}"/>
    <cellStyle name="Comma 4 2 2 2 2 2 8 5" xfId="28988" xr:uid="{F014EC1D-1534-4007-9D35-429C2B15CED5}"/>
    <cellStyle name="Comma 4 2 2 2 2 2 9" xfId="4602" xr:uid="{00000000-0005-0000-0000-0000BC070000}"/>
    <cellStyle name="Comma 4 2 2 2 2 2 9 2" xfId="22375" xr:uid="{6CEF8E3C-2DC9-49AA-8906-1E77675F95B1}"/>
    <cellStyle name="Comma 4 2 2 2 2 2 9 2 2" xfId="39269" xr:uid="{32E6352C-B9BB-4E44-9EBE-11DF8C671D9B}"/>
    <cellStyle name="Comma 4 2 2 2 2 2 9 3" xfId="13928" xr:uid="{D95D1307-2FA8-4F36-9A1C-58EE5D317F51}"/>
    <cellStyle name="Comma 4 2 2 2 2 2 9 4" xfId="30822" xr:uid="{C758C4A7-C098-4A19-9BE1-3299AE217207}"/>
    <cellStyle name="Comma 4 2 2 2 2 3" xfId="667" xr:uid="{00000000-0005-0000-0000-0000BD070000}"/>
    <cellStyle name="Comma 4 2 2 2 2 3 2" xfId="2938" xr:uid="{00000000-0005-0000-0000-0000BE070000}"/>
    <cellStyle name="Comma 4 2 2 2 2 3 2 2" xfId="7160" xr:uid="{00000000-0005-0000-0000-0000BF070000}"/>
    <cellStyle name="Comma 4 2 2 2 2 3 2 2 2" xfId="24933" xr:uid="{A111E76D-F145-4880-B4B3-DBDEEF049831}"/>
    <cellStyle name="Comma 4 2 2 2 2 3 2 2 2 2" xfId="41827" xr:uid="{1E44F085-7E70-4011-9999-8CE0AAFD1A8A}"/>
    <cellStyle name="Comma 4 2 2 2 2 3 2 2 3" xfId="16486" xr:uid="{B0A0A1B0-2355-4A38-A58A-DD391DD88C1C}"/>
    <cellStyle name="Comma 4 2 2 2 2 3 2 2 4" xfId="33380" xr:uid="{E59086C5-299D-43B3-A0E2-47CAA121D633}"/>
    <cellStyle name="Comma 4 2 2 2 2 3 2 3" xfId="20716" xr:uid="{977D32AA-5CE8-4FC4-869E-1B81976BF0BA}"/>
    <cellStyle name="Comma 4 2 2 2 2 3 2 3 2" xfId="37610" xr:uid="{A3024E6D-10E3-4785-B6B4-F1F6D6F3DE26}"/>
    <cellStyle name="Comma 4 2 2 2 2 3 2 4" xfId="12269" xr:uid="{F3B8D558-4909-43B1-9BAC-85F799E539CF}"/>
    <cellStyle name="Comma 4 2 2 2 2 3 2 5" xfId="29163" xr:uid="{EEEBD8E3-55A2-4548-BCB3-81E326C08661}"/>
    <cellStyle name="Comma 4 2 2 2 2 3 3" xfId="5015" xr:uid="{00000000-0005-0000-0000-0000C0070000}"/>
    <cellStyle name="Comma 4 2 2 2 2 3 3 2" xfId="22788" xr:uid="{E3F16989-6B07-4228-9A29-B0DD2F3D5FEA}"/>
    <cellStyle name="Comma 4 2 2 2 2 3 3 2 2" xfId="39682" xr:uid="{6B6996B0-7E23-4A58-9445-0FEC31EAFDFD}"/>
    <cellStyle name="Comma 4 2 2 2 2 3 3 3" xfId="14341" xr:uid="{7B01E604-BEDC-4D29-8B06-AE54F7A84691}"/>
    <cellStyle name="Comma 4 2 2 2 2 3 3 4" xfId="31235" xr:uid="{D91E2180-98E9-466A-AFE6-2166E33BD6B8}"/>
    <cellStyle name="Comma 4 2 2 2 2 3 4" xfId="9334" xr:uid="{50E8807F-6450-4082-BD30-0A86C2E78D0E}"/>
    <cellStyle name="Comma 4 2 2 2 2 3 4 2" xfId="18571" xr:uid="{7E2408B3-ECBB-4EC5-AE94-1911563CE31B}"/>
    <cellStyle name="Comma 4 2 2 2 2 3 4 3" xfId="35465" xr:uid="{64C8E07B-83AA-47C0-AF18-BAC01B641E43}"/>
    <cellStyle name="Comma 4 2 2 2 2 3 5" xfId="10124" xr:uid="{6F03C542-3205-4A1A-BD23-46369ABC6E4A}"/>
    <cellStyle name="Comma 4 2 2 2 2 3 6" xfId="27018" xr:uid="{D734F9E0-F1C0-4A62-9FD8-D76A2332B58F}"/>
    <cellStyle name="Comma 4 2 2 2 2 4" xfId="1120" xr:uid="{00000000-0005-0000-0000-0000C1070000}"/>
    <cellStyle name="Comma 4 2 2 2 2 4 2" xfId="3351" xr:uid="{00000000-0005-0000-0000-0000C2070000}"/>
    <cellStyle name="Comma 4 2 2 2 2 4 2 2" xfId="7573" xr:uid="{00000000-0005-0000-0000-0000C3070000}"/>
    <cellStyle name="Comma 4 2 2 2 2 4 2 2 2" xfId="25346" xr:uid="{C0990D1A-95DA-4246-912E-014B910A5413}"/>
    <cellStyle name="Comma 4 2 2 2 2 4 2 2 2 2" xfId="42240" xr:uid="{160ADB73-1552-4AFC-882C-31D1B69AF411}"/>
    <cellStyle name="Comma 4 2 2 2 2 4 2 2 3" xfId="16899" xr:uid="{EA921050-7361-4299-875E-D41522B9B88E}"/>
    <cellStyle name="Comma 4 2 2 2 2 4 2 2 4" xfId="33793" xr:uid="{683C9551-51EE-4A66-9B7E-9364DD0CD7DC}"/>
    <cellStyle name="Comma 4 2 2 2 2 4 2 3" xfId="21129" xr:uid="{89FAEF96-4C17-457D-8ECF-920D4FE86FBB}"/>
    <cellStyle name="Comma 4 2 2 2 2 4 2 3 2" xfId="38023" xr:uid="{F230375C-4613-4A3B-ADC6-57B4037D907D}"/>
    <cellStyle name="Comma 4 2 2 2 2 4 2 4" xfId="12682" xr:uid="{ACA24ED4-AA8D-4E33-9609-DC45EB32793C}"/>
    <cellStyle name="Comma 4 2 2 2 2 4 2 5" xfId="29576" xr:uid="{328D70E3-C32F-4000-832F-B29E630E91AC}"/>
    <cellStyle name="Comma 4 2 2 2 2 4 3" xfId="5428" xr:uid="{00000000-0005-0000-0000-0000C4070000}"/>
    <cellStyle name="Comma 4 2 2 2 2 4 3 2" xfId="23201" xr:uid="{13975867-CCDE-4356-8CB9-8BE7E64BD856}"/>
    <cellStyle name="Comma 4 2 2 2 2 4 3 2 2" xfId="40095" xr:uid="{2ECCF209-0EB1-42E3-ABF7-822D8B957FFD}"/>
    <cellStyle name="Comma 4 2 2 2 2 4 3 3" xfId="14754" xr:uid="{268BD4FD-6704-4B70-9EA5-1A67AFB3B563}"/>
    <cellStyle name="Comma 4 2 2 2 2 4 3 4" xfId="31648" xr:uid="{68495BEB-F1ED-4768-9ADB-61300DFFDD3D}"/>
    <cellStyle name="Comma 4 2 2 2 2 4 4" xfId="18984" xr:uid="{F0AE2A3E-BD00-4F3E-A643-D64FB9E9564D}"/>
    <cellStyle name="Comma 4 2 2 2 2 4 4 2" xfId="35878" xr:uid="{612B52F7-BC5A-408B-A0DC-8AFB7EFE3C31}"/>
    <cellStyle name="Comma 4 2 2 2 2 4 5" xfId="10537" xr:uid="{7734924E-2672-49D6-9433-7C3693761A12}"/>
    <cellStyle name="Comma 4 2 2 2 2 4 6" xfId="27431" xr:uid="{7E281985-E6CA-45CC-926A-E06F60E74AB1}"/>
    <cellStyle name="Comma 4 2 2 2 2 5" xfId="1534" xr:uid="{00000000-0005-0000-0000-0000C5070000}"/>
    <cellStyle name="Comma 4 2 2 2 2 5 2" xfId="3764" xr:uid="{00000000-0005-0000-0000-0000C6070000}"/>
    <cellStyle name="Comma 4 2 2 2 2 5 2 2" xfId="7986" xr:uid="{00000000-0005-0000-0000-0000C7070000}"/>
    <cellStyle name="Comma 4 2 2 2 2 5 2 2 2" xfId="25759" xr:uid="{1F6E89C3-AAB1-47A6-9B8D-5B2B8BA81B9F}"/>
    <cellStyle name="Comma 4 2 2 2 2 5 2 2 2 2" xfId="42653" xr:uid="{993C233D-BD64-4E59-8FD8-8423B7EBA535}"/>
    <cellStyle name="Comma 4 2 2 2 2 5 2 2 3" xfId="17312" xr:uid="{346E1927-7410-4AE5-B8D7-B72224198135}"/>
    <cellStyle name="Comma 4 2 2 2 2 5 2 2 4" xfId="34206" xr:uid="{0C8E2391-9803-4AC6-A45B-2ADFA1181C6A}"/>
    <cellStyle name="Comma 4 2 2 2 2 5 2 3" xfId="21542" xr:uid="{1432E53D-3D6B-4416-BE3E-507FBAE774DD}"/>
    <cellStyle name="Comma 4 2 2 2 2 5 2 3 2" xfId="38436" xr:uid="{A108E9A6-C36C-4D72-AAC8-DB0FC9EE35FF}"/>
    <cellStyle name="Comma 4 2 2 2 2 5 2 4" xfId="13095" xr:uid="{9C4B37A0-32B1-4206-88DF-1AA75CBFBE4F}"/>
    <cellStyle name="Comma 4 2 2 2 2 5 2 5" xfId="29989" xr:uid="{E86FE944-4479-4C0E-AC6A-17395A150D3C}"/>
    <cellStyle name="Comma 4 2 2 2 2 5 3" xfId="5841" xr:uid="{00000000-0005-0000-0000-0000C8070000}"/>
    <cellStyle name="Comma 4 2 2 2 2 5 3 2" xfId="23614" xr:uid="{7CAD3989-09BC-4EF7-8C36-74CB642EABFA}"/>
    <cellStyle name="Comma 4 2 2 2 2 5 3 2 2" xfId="40508" xr:uid="{91EFBEC8-3F62-40E4-9CEF-BD36E3C2E39E}"/>
    <cellStyle name="Comma 4 2 2 2 2 5 3 3" xfId="15167" xr:uid="{8574E2B2-10E7-48D7-9BDE-E19B50B2DEB6}"/>
    <cellStyle name="Comma 4 2 2 2 2 5 3 4" xfId="32061" xr:uid="{AF7AECC4-64D0-4FC5-8317-6C8A178D1319}"/>
    <cellStyle name="Comma 4 2 2 2 2 5 4" xfId="19397" xr:uid="{D09BE6A7-D152-4EF9-8894-E527589AF3B2}"/>
    <cellStyle name="Comma 4 2 2 2 2 5 4 2" xfId="36291" xr:uid="{D31CA404-7D6E-41E1-BF60-A4C2E3C19173}"/>
    <cellStyle name="Comma 4 2 2 2 2 5 5" xfId="10950" xr:uid="{14D5A04E-C466-480B-857D-361B883057C4}"/>
    <cellStyle name="Comma 4 2 2 2 2 5 6" xfId="27844" xr:uid="{4D5BE2A2-9FD5-4496-8593-A2BFC3016D4B}"/>
    <cellStyle name="Comma 4 2 2 2 2 6" xfId="1948" xr:uid="{00000000-0005-0000-0000-0000C9070000}"/>
    <cellStyle name="Comma 4 2 2 2 2 6 2" xfId="4177" xr:uid="{00000000-0005-0000-0000-0000CA070000}"/>
    <cellStyle name="Comma 4 2 2 2 2 6 2 2" xfId="8399" xr:uid="{00000000-0005-0000-0000-0000CB070000}"/>
    <cellStyle name="Comma 4 2 2 2 2 6 2 2 2" xfId="26172" xr:uid="{78715EE3-E550-4EF5-8B0A-46424CF95133}"/>
    <cellStyle name="Comma 4 2 2 2 2 6 2 2 2 2" xfId="43066" xr:uid="{C24F1048-B1F7-4C7E-9114-57B1A6953EF1}"/>
    <cellStyle name="Comma 4 2 2 2 2 6 2 2 3" xfId="17725" xr:uid="{E21F375B-C994-44BE-99B2-BBDF098E45F2}"/>
    <cellStyle name="Comma 4 2 2 2 2 6 2 2 4" xfId="34619" xr:uid="{11C4A461-5231-45B6-8BC9-85FE3E34DA45}"/>
    <cellStyle name="Comma 4 2 2 2 2 6 2 3" xfId="21955" xr:uid="{AE3F4CC9-A1F7-490E-80B7-340AC5D0272D}"/>
    <cellStyle name="Comma 4 2 2 2 2 6 2 3 2" xfId="38849" xr:uid="{D4748BF1-5209-4D3D-B371-45B487225815}"/>
    <cellStyle name="Comma 4 2 2 2 2 6 2 4" xfId="13508" xr:uid="{39F3BF12-050D-47AF-B041-61C1178C1476}"/>
    <cellStyle name="Comma 4 2 2 2 2 6 2 5" xfId="30402" xr:uid="{BDB53BEC-A5CD-4335-9410-42C917634B8B}"/>
    <cellStyle name="Comma 4 2 2 2 2 6 3" xfId="6254" xr:uid="{00000000-0005-0000-0000-0000CC070000}"/>
    <cellStyle name="Comma 4 2 2 2 2 6 3 2" xfId="24027" xr:uid="{5236A369-1EAE-4A11-8580-BB3AAA6904CC}"/>
    <cellStyle name="Comma 4 2 2 2 2 6 3 2 2" xfId="40921" xr:uid="{B635B12B-A0C9-4D39-B367-0872AE0C5A02}"/>
    <cellStyle name="Comma 4 2 2 2 2 6 3 3" xfId="15580" xr:uid="{06F5273C-B9D1-40FB-BDBA-52464125D97C}"/>
    <cellStyle name="Comma 4 2 2 2 2 6 3 4" xfId="32474" xr:uid="{728900D0-3247-46EA-9182-1584CF7AC9A1}"/>
    <cellStyle name="Comma 4 2 2 2 2 6 4" xfId="19810" xr:uid="{F9589D26-CE9F-4D40-9530-1650E882170A}"/>
    <cellStyle name="Comma 4 2 2 2 2 6 4 2" xfId="36704" xr:uid="{EC759224-972B-4529-9EE9-CE4F7D08B849}"/>
    <cellStyle name="Comma 4 2 2 2 2 6 5" xfId="11363" xr:uid="{E4E4DED4-85C2-4968-A2BB-41874D70FDD1}"/>
    <cellStyle name="Comma 4 2 2 2 2 6 6" xfId="28257" xr:uid="{643AC104-7D85-4712-B9D7-C1F7E93C0549}"/>
    <cellStyle name="Comma 4 2 2 2 2 7" xfId="2383" xr:uid="{00000000-0005-0000-0000-0000CD070000}"/>
    <cellStyle name="Comma 4 2 2 2 2 7 2" xfId="6667" xr:uid="{00000000-0005-0000-0000-0000CE070000}"/>
    <cellStyle name="Comma 4 2 2 2 2 7 2 2" xfId="24440" xr:uid="{70308D7C-8A37-44D3-933E-41DEA511D7CD}"/>
    <cellStyle name="Comma 4 2 2 2 2 7 2 2 2" xfId="41334" xr:uid="{00D98310-ACB8-4523-92F3-6366EFE454F1}"/>
    <cellStyle name="Comma 4 2 2 2 2 7 2 3" xfId="15993" xr:uid="{FEA7108A-E0E6-4520-B12E-37F0EC9375CB}"/>
    <cellStyle name="Comma 4 2 2 2 2 7 2 4" xfId="32887" xr:uid="{14F3C031-2167-4EFD-B9B3-CCC9D51E1E4A}"/>
    <cellStyle name="Comma 4 2 2 2 2 7 3" xfId="20223" xr:uid="{7E696C33-2BE4-44BB-A5AB-EB40C5881FA0}"/>
    <cellStyle name="Comma 4 2 2 2 2 7 3 2" xfId="37117" xr:uid="{24645D1E-876C-469D-9787-D09D4C479890}"/>
    <cellStyle name="Comma 4 2 2 2 2 7 4" xfId="11776" xr:uid="{0CB28742-D938-4AE0-8E85-F089E0136370}"/>
    <cellStyle name="Comma 4 2 2 2 2 7 5" xfId="28670" xr:uid="{7E2CD33B-DE0A-4FFA-B31C-02BCCAE6B9CE}"/>
    <cellStyle name="Comma 4 2 2 2 2 8" xfId="2380" xr:uid="{00000000-0005-0000-0000-0000CF070000}"/>
    <cellStyle name="Comma 4 2 2 2 2 9" xfId="2761" xr:uid="{00000000-0005-0000-0000-0000D0070000}"/>
    <cellStyle name="Comma 4 2 2 2 2 9 2" xfId="6984" xr:uid="{00000000-0005-0000-0000-0000D1070000}"/>
    <cellStyle name="Comma 4 2 2 2 2 9 2 2" xfId="24757" xr:uid="{38132677-7572-4C8C-A055-006637CA7969}"/>
    <cellStyle name="Comma 4 2 2 2 2 9 2 2 2" xfId="41651" xr:uid="{8B13EDC5-3B1D-4C13-9AFB-3EA482DE2DDA}"/>
    <cellStyle name="Comma 4 2 2 2 2 9 2 3" xfId="16310" xr:uid="{6B61EC6C-85C6-4161-BF7A-11C1CF6746F1}"/>
    <cellStyle name="Comma 4 2 2 2 2 9 2 4" xfId="33204" xr:uid="{83DA0AAD-BED7-4AD1-9F8E-BCF52D62B0B5}"/>
    <cellStyle name="Comma 4 2 2 2 2 9 3" xfId="20540" xr:uid="{6B311D8E-70C0-4CDB-A69A-8001E20C5BE2}"/>
    <cellStyle name="Comma 4 2 2 2 2 9 3 2" xfId="37434" xr:uid="{B040CBBD-C6DB-411A-95C9-4D95E3C5DB20}"/>
    <cellStyle name="Comma 4 2 2 2 2 9 4" xfId="12093" xr:uid="{702C3D6D-E129-4E01-9093-EEB7BBDF5268}"/>
    <cellStyle name="Comma 4 2 2 2 2 9 5" xfId="28987" xr:uid="{57A7DF45-A360-4AF8-A111-F61D574901EF}"/>
    <cellStyle name="Comma 4 2 2 2 3" xfId="131" xr:uid="{00000000-0005-0000-0000-0000D2070000}"/>
    <cellStyle name="Comma 4 2 2 2 3 10" xfId="9013" xr:uid="{D7491CA1-A7A0-4099-A659-9FB418CDDACA}"/>
    <cellStyle name="Comma 4 2 2 2 3 10 2" xfId="18159" xr:uid="{002EAAB5-9791-4654-B36C-3084AB05671E}"/>
    <cellStyle name="Comma 4 2 2 2 3 10 3" xfId="35053" xr:uid="{09A67DB5-36CC-4EE4-A12D-4BE901438996}"/>
    <cellStyle name="Comma 4 2 2 2 3 11" xfId="9712" xr:uid="{EFCB85D1-A19D-48A2-B0DC-886FE45E6E39}"/>
    <cellStyle name="Comma 4 2 2 2 3 12" xfId="26606" xr:uid="{99865E30-F5E3-42F0-B2AD-EABA7023CDE4}"/>
    <cellStyle name="Comma 4 2 2 2 3 2" xfId="669" xr:uid="{00000000-0005-0000-0000-0000D3070000}"/>
    <cellStyle name="Comma 4 2 2 2 3 2 2" xfId="2940" xr:uid="{00000000-0005-0000-0000-0000D4070000}"/>
    <cellStyle name="Comma 4 2 2 2 3 2 2 2" xfId="7162" xr:uid="{00000000-0005-0000-0000-0000D5070000}"/>
    <cellStyle name="Comma 4 2 2 2 3 2 2 2 2" xfId="24935" xr:uid="{351FF168-B70E-4FEF-8EE8-15F8244D3A30}"/>
    <cellStyle name="Comma 4 2 2 2 3 2 2 2 2 2" xfId="41829" xr:uid="{7EEAED2B-EDA9-41A0-BB4D-E1CEE89D3149}"/>
    <cellStyle name="Comma 4 2 2 2 3 2 2 2 3" xfId="16488" xr:uid="{DA3C0AD6-F692-46BB-A8FF-06A9965254DE}"/>
    <cellStyle name="Comma 4 2 2 2 3 2 2 2 4" xfId="33382" xr:uid="{0F03544E-5A10-47BC-8167-EA68C8CC4782}"/>
    <cellStyle name="Comma 4 2 2 2 3 2 2 3" xfId="20718" xr:uid="{BA704941-32FA-4864-A500-E4EB0CA9832A}"/>
    <cellStyle name="Comma 4 2 2 2 3 2 2 3 2" xfId="37612" xr:uid="{FF43622A-77E1-4AD1-9CA3-B1CDE0AB2FFC}"/>
    <cellStyle name="Comma 4 2 2 2 3 2 2 4" xfId="12271" xr:uid="{E4DC70E0-1880-4B7F-9D18-26F43714A946}"/>
    <cellStyle name="Comma 4 2 2 2 3 2 2 5" xfId="29165" xr:uid="{1BDC474A-F9DA-469E-9117-B7BA37CD91F2}"/>
    <cellStyle name="Comma 4 2 2 2 3 2 3" xfId="5017" xr:uid="{00000000-0005-0000-0000-0000D6070000}"/>
    <cellStyle name="Comma 4 2 2 2 3 2 3 2" xfId="22790" xr:uid="{95E76B33-5B84-4734-ADB0-E31C22DBFA3B}"/>
    <cellStyle name="Comma 4 2 2 2 3 2 3 2 2" xfId="39684" xr:uid="{F3E3140C-408A-4FE8-8FB8-754F02F60BEC}"/>
    <cellStyle name="Comma 4 2 2 2 3 2 3 3" xfId="14343" xr:uid="{97A4017E-77CF-40AE-9E70-A5A600B23A15}"/>
    <cellStyle name="Comma 4 2 2 2 3 2 3 4" xfId="31237" xr:uid="{9CA28F7D-503E-4259-9894-8D381184E994}"/>
    <cellStyle name="Comma 4 2 2 2 3 2 4" xfId="9438" xr:uid="{8E9C4341-814A-43D1-8D35-8CCC512A2E32}"/>
    <cellStyle name="Comma 4 2 2 2 3 2 4 2" xfId="18573" xr:uid="{1CDEACB9-FB85-40C3-83A3-F7B5AE8C93D0}"/>
    <cellStyle name="Comma 4 2 2 2 3 2 4 3" xfId="35467" xr:uid="{549D0F3C-6C47-4B25-B339-1466688CFE5C}"/>
    <cellStyle name="Comma 4 2 2 2 3 2 5" xfId="10126" xr:uid="{BCB82542-72D2-4F8F-8FAE-34AC8047ED37}"/>
    <cellStyle name="Comma 4 2 2 2 3 2 6" xfId="27020" xr:uid="{3FC64407-48AA-45BE-A8CF-CD792D71F55F}"/>
    <cellStyle name="Comma 4 2 2 2 3 3" xfId="1122" xr:uid="{00000000-0005-0000-0000-0000D7070000}"/>
    <cellStyle name="Comma 4 2 2 2 3 3 2" xfId="3353" xr:uid="{00000000-0005-0000-0000-0000D8070000}"/>
    <cellStyle name="Comma 4 2 2 2 3 3 2 2" xfId="7575" xr:uid="{00000000-0005-0000-0000-0000D9070000}"/>
    <cellStyle name="Comma 4 2 2 2 3 3 2 2 2" xfId="25348" xr:uid="{1B73F7D7-A866-48AE-BB24-E2B86FB7377D}"/>
    <cellStyle name="Comma 4 2 2 2 3 3 2 2 2 2" xfId="42242" xr:uid="{AC82522B-EA40-46B4-9D9B-F9DAF40722F8}"/>
    <cellStyle name="Comma 4 2 2 2 3 3 2 2 3" xfId="16901" xr:uid="{2592525D-9FEB-43C6-97D1-901C229DA15C}"/>
    <cellStyle name="Comma 4 2 2 2 3 3 2 2 4" xfId="33795" xr:uid="{43CDFDE3-7989-4689-9ABD-B2CD3DEC3B3B}"/>
    <cellStyle name="Comma 4 2 2 2 3 3 2 3" xfId="21131" xr:uid="{8BDE7FB0-90E5-4F51-82EE-B44F0E81D08D}"/>
    <cellStyle name="Comma 4 2 2 2 3 3 2 3 2" xfId="38025" xr:uid="{DBA057CA-3E45-4CB5-ADD8-C3733BD22633}"/>
    <cellStyle name="Comma 4 2 2 2 3 3 2 4" xfId="12684" xr:uid="{6EF037CE-4758-47B3-B0EA-E1E4369CAB6C}"/>
    <cellStyle name="Comma 4 2 2 2 3 3 2 5" xfId="29578" xr:uid="{00DA0763-59B3-4AF4-B996-DBD696D6BBD4}"/>
    <cellStyle name="Comma 4 2 2 2 3 3 3" xfId="5430" xr:uid="{00000000-0005-0000-0000-0000DA070000}"/>
    <cellStyle name="Comma 4 2 2 2 3 3 3 2" xfId="23203" xr:uid="{B2440283-4D56-4909-9D84-C81A65440DAA}"/>
    <cellStyle name="Comma 4 2 2 2 3 3 3 2 2" xfId="40097" xr:uid="{B56B949F-B173-4E3E-A45B-7A6B2D4E9A2E}"/>
    <cellStyle name="Comma 4 2 2 2 3 3 3 3" xfId="14756" xr:uid="{4F13F684-1A6D-4AAD-8BB6-7CB23C18C657}"/>
    <cellStyle name="Comma 4 2 2 2 3 3 3 4" xfId="31650" xr:uid="{EFDB93DB-C30B-48C0-B07B-83BC072E06B7}"/>
    <cellStyle name="Comma 4 2 2 2 3 3 4" xfId="18986" xr:uid="{845B8803-8C74-46A9-8A4C-88C01F7E6696}"/>
    <cellStyle name="Comma 4 2 2 2 3 3 4 2" xfId="35880" xr:uid="{CCA8F44C-3D9D-458E-98A3-FA3DF83C0005}"/>
    <cellStyle name="Comma 4 2 2 2 3 3 5" xfId="10539" xr:uid="{D3CE8CC2-DEE1-45D8-9978-9E521AA0CFAF}"/>
    <cellStyle name="Comma 4 2 2 2 3 3 6" xfId="27433" xr:uid="{133BD458-C364-413D-9B34-1D989CA657D7}"/>
    <cellStyle name="Comma 4 2 2 2 3 4" xfId="1536" xr:uid="{00000000-0005-0000-0000-0000DB070000}"/>
    <cellStyle name="Comma 4 2 2 2 3 4 2" xfId="3766" xr:uid="{00000000-0005-0000-0000-0000DC070000}"/>
    <cellStyle name="Comma 4 2 2 2 3 4 2 2" xfId="7988" xr:uid="{00000000-0005-0000-0000-0000DD070000}"/>
    <cellStyle name="Comma 4 2 2 2 3 4 2 2 2" xfId="25761" xr:uid="{4B80AF6E-5410-41F0-AD5E-6122E1776436}"/>
    <cellStyle name="Comma 4 2 2 2 3 4 2 2 2 2" xfId="42655" xr:uid="{DA07A184-AF4E-408F-B91F-07ECB5193A38}"/>
    <cellStyle name="Comma 4 2 2 2 3 4 2 2 3" xfId="17314" xr:uid="{933C4811-7952-4E59-B054-27F238632547}"/>
    <cellStyle name="Comma 4 2 2 2 3 4 2 2 4" xfId="34208" xr:uid="{450B47C1-A8E5-426C-B665-2FA2934F0341}"/>
    <cellStyle name="Comma 4 2 2 2 3 4 2 3" xfId="21544" xr:uid="{4B072659-E676-49B2-B1A9-AAC5091B9A12}"/>
    <cellStyle name="Comma 4 2 2 2 3 4 2 3 2" xfId="38438" xr:uid="{ECB317B3-3BEC-4E66-B426-F011B012450A}"/>
    <cellStyle name="Comma 4 2 2 2 3 4 2 4" xfId="13097" xr:uid="{72CA2EB5-C060-47E4-80FF-C4C85CF3009E}"/>
    <cellStyle name="Comma 4 2 2 2 3 4 2 5" xfId="29991" xr:uid="{B5ACFB05-18F5-4DBC-8B4C-7E9A9A28EC89}"/>
    <cellStyle name="Comma 4 2 2 2 3 4 3" xfId="5843" xr:uid="{00000000-0005-0000-0000-0000DE070000}"/>
    <cellStyle name="Comma 4 2 2 2 3 4 3 2" xfId="23616" xr:uid="{19EC9012-5CC3-4EE5-9A93-3E976127018D}"/>
    <cellStyle name="Comma 4 2 2 2 3 4 3 2 2" xfId="40510" xr:uid="{EFAB3F38-0EB1-40D0-BA3B-7989C72FCEF2}"/>
    <cellStyle name="Comma 4 2 2 2 3 4 3 3" xfId="15169" xr:uid="{F52C7EC7-6AC4-4DB1-8B01-4B7B5C875061}"/>
    <cellStyle name="Comma 4 2 2 2 3 4 3 4" xfId="32063" xr:uid="{4761046C-EC2B-45DF-9272-0A40A15ECAD8}"/>
    <cellStyle name="Comma 4 2 2 2 3 4 4" xfId="19399" xr:uid="{5D9326EF-8AE5-43DA-97D5-FE87C1D8DD8B}"/>
    <cellStyle name="Comma 4 2 2 2 3 4 4 2" xfId="36293" xr:uid="{ED0817A7-F19F-4B35-9A23-CF2956841251}"/>
    <cellStyle name="Comma 4 2 2 2 3 4 5" xfId="10952" xr:uid="{5EA9D82F-93E0-4356-A539-3A58C4416EB6}"/>
    <cellStyle name="Comma 4 2 2 2 3 4 6" xfId="27846" xr:uid="{24360CF0-F402-4914-B9B8-A99154FB5622}"/>
    <cellStyle name="Comma 4 2 2 2 3 5" xfId="1950" xr:uid="{00000000-0005-0000-0000-0000DF070000}"/>
    <cellStyle name="Comma 4 2 2 2 3 5 2" xfId="4179" xr:uid="{00000000-0005-0000-0000-0000E0070000}"/>
    <cellStyle name="Comma 4 2 2 2 3 5 2 2" xfId="8401" xr:uid="{00000000-0005-0000-0000-0000E1070000}"/>
    <cellStyle name="Comma 4 2 2 2 3 5 2 2 2" xfId="26174" xr:uid="{65EBEAC3-CA73-4045-9AD6-C3BD7EF798B2}"/>
    <cellStyle name="Comma 4 2 2 2 3 5 2 2 2 2" xfId="43068" xr:uid="{C9228977-6533-4FA8-945B-D6F0CC77EDD2}"/>
    <cellStyle name="Comma 4 2 2 2 3 5 2 2 3" xfId="17727" xr:uid="{FD2B7945-B50D-4D71-A78A-6DC60F18D506}"/>
    <cellStyle name="Comma 4 2 2 2 3 5 2 2 4" xfId="34621" xr:uid="{0BAA157C-C219-4A9A-8D54-85287E488EE7}"/>
    <cellStyle name="Comma 4 2 2 2 3 5 2 3" xfId="21957" xr:uid="{2E90F9B7-1190-42EF-9001-757E71E214DB}"/>
    <cellStyle name="Comma 4 2 2 2 3 5 2 3 2" xfId="38851" xr:uid="{767F6213-3AC4-48BE-A906-665D9DDABE55}"/>
    <cellStyle name="Comma 4 2 2 2 3 5 2 4" xfId="13510" xr:uid="{81116B08-DCA9-4DDA-9149-4171FA134AEF}"/>
    <cellStyle name="Comma 4 2 2 2 3 5 2 5" xfId="30404" xr:uid="{0948D738-1E1D-448E-BE7E-8EF95242B45E}"/>
    <cellStyle name="Comma 4 2 2 2 3 5 3" xfId="6256" xr:uid="{00000000-0005-0000-0000-0000E2070000}"/>
    <cellStyle name="Comma 4 2 2 2 3 5 3 2" xfId="24029" xr:uid="{21ECFA37-6734-4A78-8612-356D631273DA}"/>
    <cellStyle name="Comma 4 2 2 2 3 5 3 2 2" xfId="40923" xr:uid="{216A02A9-8E34-44EF-B7F6-32DF70FD534D}"/>
    <cellStyle name="Comma 4 2 2 2 3 5 3 3" xfId="15582" xr:uid="{3BCADD10-ED60-4914-BC3F-6AC891E8C44C}"/>
    <cellStyle name="Comma 4 2 2 2 3 5 3 4" xfId="32476" xr:uid="{5E1C73F5-B603-4C8F-85DF-D681456BFF97}"/>
    <cellStyle name="Comma 4 2 2 2 3 5 4" xfId="19812" xr:uid="{FA83B2F3-3471-4645-9FC8-070A41E385DC}"/>
    <cellStyle name="Comma 4 2 2 2 3 5 4 2" xfId="36706" xr:uid="{1F2C8F19-0072-4B6B-98DA-3B5D8F5CFB7D}"/>
    <cellStyle name="Comma 4 2 2 2 3 5 5" xfId="11365" xr:uid="{C4513D87-F9A9-4983-86D7-AFFF33D7A17F}"/>
    <cellStyle name="Comma 4 2 2 2 3 5 6" xfId="28259" xr:uid="{C50B2D10-F4AD-48DD-BEF9-22DA93D7334E}"/>
    <cellStyle name="Comma 4 2 2 2 3 6" xfId="2385" xr:uid="{00000000-0005-0000-0000-0000E3070000}"/>
    <cellStyle name="Comma 4 2 2 2 3 6 2" xfId="6669" xr:uid="{00000000-0005-0000-0000-0000E4070000}"/>
    <cellStyle name="Comma 4 2 2 2 3 6 2 2" xfId="24442" xr:uid="{1D99CC83-3F04-452F-9439-74A9AB625A1D}"/>
    <cellStyle name="Comma 4 2 2 2 3 6 2 2 2" xfId="41336" xr:uid="{9B9C1FE0-B5D1-4EBC-83B7-934AA54F2D0E}"/>
    <cellStyle name="Comma 4 2 2 2 3 6 2 3" xfId="15995" xr:uid="{23B92069-AFCB-473F-844E-8CAF8FB82C75}"/>
    <cellStyle name="Comma 4 2 2 2 3 6 2 4" xfId="32889" xr:uid="{83A16C2E-780B-4BFD-8F4A-971FBF0CFCD5}"/>
    <cellStyle name="Comma 4 2 2 2 3 6 3" xfId="20225" xr:uid="{AA6CFED8-C43F-4BC4-995F-7B53403ECF19}"/>
    <cellStyle name="Comma 4 2 2 2 3 6 3 2" xfId="37119" xr:uid="{C6319991-7C68-4C95-B74A-499AD014457A}"/>
    <cellStyle name="Comma 4 2 2 2 3 6 4" xfId="11778" xr:uid="{88D64E30-7773-4174-B96B-669F44B1953A}"/>
    <cellStyle name="Comma 4 2 2 2 3 6 5" xfId="28672" xr:uid="{6190ABD2-BA5B-4347-A006-30B6CFB6A09D}"/>
    <cellStyle name="Comma 4 2 2 2 3 7" xfId="2378" xr:uid="{00000000-0005-0000-0000-0000E5070000}"/>
    <cellStyle name="Comma 4 2 2 2 3 8" xfId="2763" xr:uid="{00000000-0005-0000-0000-0000E6070000}"/>
    <cellStyle name="Comma 4 2 2 2 3 8 2" xfId="6986" xr:uid="{00000000-0005-0000-0000-0000E7070000}"/>
    <cellStyle name="Comma 4 2 2 2 3 8 2 2" xfId="24759" xr:uid="{4807EF00-4841-4EC3-8C0E-1C234C826F9E}"/>
    <cellStyle name="Comma 4 2 2 2 3 8 2 2 2" xfId="41653" xr:uid="{9A384AAB-4E80-4140-B8A6-933661011525}"/>
    <cellStyle name="Comma 4 2 2 2 3 8 2 3" xfId="16312" xr:uid="{176ECE74-40A1-46FE-AD10-1C156AD78ED9}"/>
    <cellStyle name="Comma 4 2 2 2 3 8 2 4" xfId="33206" xr:uid="{DE38EC38-0E37-40E5-B7B8-B25F7ACB9538}"/>
    <cellStyle name="Comma 4 2 2 2 3 8 3" xfId="20542" xr:uid="{BDBA9EE7-9099-4ED3-916E-1357CC532252}"/>
    <cellStyle name="Comma 4 2 2 2 3 8 3 2" xfId="37436" xr:uid="{5A09238E-314E-4E36-8034-C7915E5F9D69}"/>
    <cellStyle name="Comma 4 2 2 2 3 8 4" xfId="12095" xr:uid="{A16B9599-465F-4144-8C10-0CA49A4C1AC4}"/>
    <cellStyle name="Comma 4 2 2 2 3 8 5" xfId="28989" xr:uid="{2192D51E-0590-407E-96ED-41797E9A6484}"/>
    <cellStyle name="Comma 4 2 2 2 3 9" xfId="4603" xr:uid="{00000000-0005-0000-0000-0000E8070000}"/>
    <cellStyle name="Comma 4 2 2 2 3 9 2" xfId="22376" xr:uid="{597CF698-A378-40DA-A7BA-2EC02BB450E0}"/>
    <cellStyle name="Comma 4 2 2 2 3 9 2 2" xfId="39270" xr:uid="{A6C74576-1E74-4264-B874-4532DAEE3653}"/>
    <cellStyle name="Comma 4 2 2 2 3 9 3" xfId="13929" xr:uid="{1F1802AB-F866-4FD1-B290-2A60A0A15BA7}"/>
    <cellStyle name="Comma 4 2 2 2 3 9 4" xfId="30823" xr:uid="{C12AD994-34DA-4D6C-ACB0-147EFDBF90C3}"/>
    <cellStyle name="Comma 4 2 2 2 4" xfId="666" xr:uid="{00000000-0005-0000-0000-0000E9070000}"/>
    <cellStyle name="Comma 4 2 2 2 4 2" xfId="2937" xr:uid="{00000000-0005-0000-0000-0000EA070000}"/>
    <cellStyle name="Comma 4 2 2 2 4 2 2" xfId="7159" xr:uid="{00000000-0005-0000-0000-0000EB070000}"/>
    <cellStyle name="Comma 4 2 2 2 4 2 2 2" xfId="24932" xr:uid="{5598BF86-700F-4533-9720-985F1E35242F}"/>
    <cellStyle name="Comma 4 2 2 2 4 2 2 2 2" xfId="41826" xr:uid="{B7B38C88-AEFC-4786-97F7-57C527B3EACB}"/>
    <cellStyle name="Comma 4 2 2 2 4 2 2 3" xfId="16485" xr:uid="{F7985ADF-F3A4-47B9-B8CD-94F79EDE4222}"/>
    <cellStyle name="Comma 4 2 2 2 4 2 2 4" xfId="33379" xr:uid="{611D0EAB-4165-44B2-8955-94C85E2D507B}"/>
    <cellStyle name="Comma 4 2 2 2 4 2 3" xfId="20715" xr:uid="{C44158F2-487D-4CDD-913D-D07CFAB93E39}"/>
    <cellStyle name="Comma 4 2 2 2 4 2 3 2" xfId="37609" xr:uid="{7C221686-38EF-4CB7-8235-B610F08D1396}"/>
    <cellStyle name="Comma 4 2 2 2 4 2 4" xfId="12268" xr:uid="{7DA16CBA-6A5E-44DD-B6E5-66CE38867BA0}"/>
    <cellStyle name="Comma 4 2 2 2 4 2 5" xfId="29162" xr:uid="{90EFF762-107F-47D9-B9EC-C7B9355F4046}"/>
    <cellStyle name="Comma 4 2 2 2 4 3" xfId="5014" xr:uid="{00000000-0005-0000-0000-0000EC070000}"/>
    <cellStyle name="Comma 4 2 2 2 4 3 2" xfId="22787" xr:uid="{FAADE16A-352E-40CF-9314-C85C194679A3}"/>
    <cellStyle name="Comma 4 2 2 2 4 3 2 2" xfId="39681" xr:uid="{0FAC1096-93A9-491D-BA49-27F40FAAFF35}"/>
    <cellStyle name="Comma 4 2 2 2 4 3 3" xfId="14340" xr:uid="{A2B73216-DA2A-4FC0-8285-17377FD2448A}"/>
    <cellStyle name="Comma 4 2 2 2 4 3 4" xfId="31234" xr:uid="{7E72B7AB-CAB7-491B-807D-7275DB6FDD63}"/>
    <cellStyle name="Comma 4 2 2 2 4 4" xfId="9231" xr:uid="{31DAC97A-9492-467B-9850-183797A56FBE}"/>
    <cellStyle name="Comma 4 2 2 2 4 4 2" xfId="18570" xr:uid="{CEC84B31-237B-46E1-AB69-5C16604B4400}"/>
    <cellStyle name="Comma 4 2 2 2 4 4 3" xfId="35464" xr:uid="{D8349180-BA95-4619-B73F-CE28797A273D}"/>
    <cellStyle name="Comma 4 2 2 2 4 5" xfId="10123" xr:uid="{B9898DD7-4278-47D4-8ECC-C728D3C0D50E}"/>
    <cellStyle name="Comma 4 2 2 2 4 6" xfId="27017" xr:uid="{7286DF65-72F3-40DA-B6D4-1AAF21C0C065}"/>
    <cellStyle name="Comma 4 2 2 2 5" xfId="1119" xr:uid="{00000000-0005-0000-0000-0000ED070000}"/>
    <cellStyle name="Comma 4 2 2 2 5 2" xfId="3350" xr:uid="{00000000-0005-0000-0000-0000EE070000}"/>
    <cellStyle name="Comma 4 2 2 2 5 2 2" xfId="7572" xr:uid="{00000000-0005-0000-0000-0000EF070000}"/>
    <cellStyle name="Comma 4 2 2 2 5 2 2 2" xfId="25345" xr:uid="{902E41FC-9E4C-4D88-A849-9350B4E7EFE4}"/>
    <cellStyle name="Comma 4 2 2 2 5 2 2 2 2" xfId="42239" xr:uid="{2751824E-140F-4B2D-A015-B832967B3731}"/>
    <cellStyle name="Comma 4 2 2 2 5 2 2 3" xfId="16898" xr:uid="{890800A5-5504-4A0A-94EE-AE8570D615CD}"/>
    <cellStyle name="Comma 4 2 2 2 5 2 2 4" xfId="33792" xr:uid="{15BF5ECC-20C0-4868-8AB8-827CB1DDD269}"/>
    <cellStyle name="Comma 4 2 2 2 5 2 3" xfId="21128" xr:uid="{A508EDF7-089C-4F63-8606-ED07669B98CA}"/>
    <cellStyle name="Comma 4 2 2 2 5 2 3 2" xfId="38022" xr:uid="{6B4FDFD2-532C-456C-84B3-3F112D760D02}"/>
    <cellStyle name="Comma 4 2 2 2 5 2 4" xfId="12681" xr:uid="{30CB7DF2-4A9C-4B05-BEC1-8B125ED4674D}"/>
    <cellStyle name="Comma 4 2 2 2 5 2 5" xfId="29575" xr:uid="{2BCAA3AB-CC25-47C6-ADC9-4252684B2749}"/>
    <cellStyle name="Comma 4 2 2 2 5 3" xfId="5427" xr:uid="{00000000-0005-0000-0000-0000F0070000}"/>
    <cellStyle name="Comma 4 2 2 2 5 3 2" xfId="23200" xr:uid="{D08E6CA9-C991-416A-8589-36F7FE4498C5}"/>
    <cellStyle name="Comma 4 2 2 2 5 3 2 2" xfId="40094" xr:uid="{074FEC3E-E229-4B9C-8D7A-FCC9C9D0AAD2}"/>
    <cellStyle name="Comma 4 2 2 2 5 3 3" xfId="14753" xr:uid="{F6A3469C-BFD8-4DC1-B983-70B2CE259341}"/>
    <cellStyle name="Comma 4 2 2 2 5 3 4" xfId="31647" xr:uid="{D19D4127-E117-469F-A63F-26778D40B7AC}"/>
    <cellStyle name="Comma 4 2 2 2 5 4" xfId="18983" xr:uid="{D25CA743-7A20-48E8-B94A-41D76E901060}"/>
    <cellStyle name="Comma 4 2 2 2 5 4 2" xfId="35877" xr:uid="{D8B551CA-5B3A-43AF-A4CE-E874C14DAF6C}"/>
    <cellStyle name="Comma 4 2 2 2 5 5" xfId="10536" xr:uid="{0457A174-3822-421E-B865-B10AFA44C91E}"/>
    <cellStyle name="Comma 4 2 2 2 5 6" xfId="27430" xr:uid="{751AD2A8-13E0-4FA6-BC23-C5A7E4AA29E4}"/>
    <cellStyle name="Comma 4 2 2 2 6" xfId="1533" xr:uid="{00000000-0005-0000-0000-0000F1070000}"/>
    <cellStyle name="Comma 4 2 2 2 6 2" xfId="3763" xr:uid="{00000000-0005-0000-0000-0000F2070000}"/>
    <cellStyle name="Comma 4 2 2 2 6 2 2" xfId="7985" xr:uid="{00000000-0005-0000-0000-0000F3070000}"/>
    <cellStyle name="Comma 4 2 2 2 6 2 2 2" xfId="25758" xr:uid="{388308B4-DAF3-4948-B49E-3B1A191F35BE}"/>
    <cellStyle name="Comma 4 2 2 2 6 2 2 2 2" xfId="42652" xr:uid="{6C042DD5-EEBD-49D2-9C19-0B2C1527AA6F}"/>
    <cellStyle name="Comma 4 2 2 2 6 2 2 3" xfId="17311" xr:uid="{6B7E8A62-D8F6-4527-ABFA-1B09883B4D63}"/>
    <cellStyle name="Comma 4 2 2 2 6 2 2 4" xfId="34205" xr:uid="{DC2744B2-FB42-4522-94CC-2C37D33906D4}"/>
    <cellStyle name="Comma 4 2 2 2 6 2 3" xfId="21541" xr:uid="{D9DA1AB9-88EF-40A3-AE17-91EECF72F0E8}"/>
    <cellStyle name="Comma 4 2 2 2 6 2 3 2" xfId="38435" xr:uid="{BA441A1D-8C3C-4A48-A4E6-B2E9980A1781}"/>
    <cellStyle name="Comma 4 2 2 2 6 2 4" xfId="13094" xr:uid="{896CD2D9-834E-49E7-B91E-B50D5C54A6B2}"/>
    <cellStyle name="Comma 4 2 2 2 6 2 5" xfId="29988" xr:uid="{B4175208-0535-45D8-B8ED-7C22C0A0851B}"/>
    <cellStyle name="Comma 4 2 2 2 6 3" xfId="5840" xr:uid="{00000000-0005-0000-0000-0000F4070000}"/>
    <cellStyle name="Comma 4 2 2 2 6 3 2" xfId="23613" xr:uid="{0A17E943-3023-405D-928E-900BDC6E1249}"/>
    <cellStyle name="Comma 4 2 2 2 6 3 2 2" xfId="40507" xr:uid="{3AE75E97-5AB9-4C17-9936-37934DDA7CB3}"/>
    <cellStyle name="Comma 4 2 2 2 6 3 3" xfId="15166" xr:uid="{CCE0DB47-2C58-4C2C-A33B-C34243176323}"/>
    <cellStyle name="Comma 4 2 2 2 6 3 4" xfId="32060" xr:uid="{547FDACB-301F-475B-BCB9-836CB0D927E5}"/>
    <cellStyle name="Comma 4 2 2 2 6 4" xfId="19396" xr:uid="{DCB5E64E-ED33-4A0C-AED3-54EC01A2AB27}"/>
    <cellStyle name="Comma 4 2 2 2 6 4 2" xfId="36290" xr:uid="{7AA639AA-B7EA-4632-B296-1506B9F37DC6}"/>
    <cellStyle name="Comma 4 2 2 2 6 5" xfId="10949" xr:uid="{748710C1-E2E3-4C4D-ADDC-756EC47DC458}"/>
    <cellStyle name="Comma 4 2 2 2 6 6" xfId="27843" xr:uid="{13C7628A-0473-428A-BF2D-88B792483848}"/>
    <cellStyle name="Comma 4 2 2 2 7" xfId="1947" xr:uid="{00000000-0005-0000-0000-0000F5070000}"/>
    <cellStyle name="Comma 4 2 2 2 7 2" xfId="4176" xr:uid="{00000000-0005-0000-0000-0000F6070000}"/>
    <cellStyle name="Comma 4 2 2 2 7 2 2" xfId="8398" xr:uid="{00000000-0005-0000-0000-0000F7070000}"/>
    <cellStyle name="Comma 4 2 2 2 7 2 2 2" xfId="26171" xr:uid="{3E283ACA-EB34-4014-952A-1FCCDFB7C087}"/>
    <cellStyle name="Comma 4 2 2 2 7 2 2 2 2" xfId="43065" xr:uid="{1A092E1E-5BEB-434B-BE7A-65C4E1157BA6}"/>
    <cellStyle name="Comma 4 2 2 2 7 2 2 3" xfId="17724" xr:uid="{7D0B5E1B-C8A7-4715-83BB-E348659795C5}"/>
    <cellStyle name="Comma 4 2 2 2 7 2 2 4" xfId="34618" xr:uid="{34714999-0A40-4918-A7CE-71035722C408}"/>
    <cellStyle name="Comma 4 2 2 2 7 2 3" xfId="21954" xr:uid="{F4389769-66EC-486C-ABF4-C7590B4F12BE}"/>
    <cellStyle name="Comma 4 2 2 2 7 2 3 2" xfId="38848" xr:uid="{7CFB5FD7-0DBC-409D-84A3-F486B533315B}"/>
    <cellStyle name="Comma 4 2 2 2 7 2 4" xfId="13507" xr:uid="{1ED391A7-6D9A-429B-9543-AF00D8FDDEA3}"/>
    <cellStyle name="Comma 4 2 2 2 7 2 5" xfId="30401" xr:uid="{323312F9-CB91-4248-825A-7CF1D24E687D}"/>
    <cellStyle name="Comma 4 2 2 2 7 3" xfId="6253" xr:uid="{00000000-0005-0000-0000-0000F8070000}"/>
    <cellStyle name="Comma 4 2 2 2 7 3 2" xfId="24026" xr:uid="{C819FA10-A826-4673-A922-BD4304335162}"/>
    <cellStyle name="Comma 4 2 2 2 7 3 2 2" xfId="40920" xr:uid="{9EB54C49-9099-4F5F-A1D2-BFF9CD3096B8}"/>
    <cellStyle name="Comma 4 2 2 2 7 3 3" xfId="15579" xr:uid="{2339B49D-D8D6-4383-BF69-6298AA2E7633}"/>
    <cellStyle name="Comma 4 2 2 2 7 3 4" xfId="32473" xr:uid="{916E85BD-1DBF-493B-BDEA-C26C35AFF18A}"/>
    <cellStyle name="Comma 4 2 2 2 7 4" xfId="19809" xr:uid="{C5E8E5C0-FF79-4733-94A4-F17BD6BA925D}"/>
    <cellStyle name="Comma 4 2 2 2 7 4 2" xfId="36703" xr:uid="{313DD1C1-B824-4AF7-AD3A-D8C4AA791D5A}"/>
    <cellStyle name="Comma 4 2 2 2 7 5" xfId="11362" xr:uid="{14536A60-2CDA-4EC3-8D57-480D3BC2282B}"/>
    <cellStyle name="Comma 4 2 2 2 7 6" xfId="28256" xr:uid="{8FB76CA8-F3F4-4766-B94C-84B97AC14E3B}"/>
    <cellStyle name="Comma 4 2 2 2 8" xfId="2382" xr:uid="{00000000-0005-0000-0000-0000F9070000}"/>
    <cellStyle name="Comma 4 2 2 2 8 2" xfId="6666" xr:uid="{00000000-0005-0000-0000-0000FA070000}"/>
    <cellStyle name="Comma 4 2 2 2 8 2 2" xfId="24439" xr:uid="{1A9AA712-8FDE-4AD0-9F8E-4C6B4A1D65F4}"/>
    <cellStyle name="Comma 4 2 2 2 8 2 2 2" xfId="41333" xr:uid="{CF621718-5507-4BC1-9CBE-8C23E41C43C8}"/>
    <cellStyle name="Comma 4 2 2 2 8 2 3" xfId="15992" xr:uid="{365D9E70-8E70-4385-9B2C-90AD372A35E4}"/>
    <cellStyle name="Comma 4 2 2 2 8 2 4" xfId="32886" xr:uid="{BD792FEF-4B72-43BC-AA9D-A4970481A1D2}"/>
    <cellStyle name="Comma 4 2 2 2 8 3" xfId="20222" xr:uid="{55844173-E9B1-451F-83EC-960ADBF4551A}"/>
    <cellStyle name="Comma 4 2 2 2 8 3 2" xfId="37116" xr:uid="{EB95155F-D59E-4A0E-8900-10C81C9ABBB2}"/>
    <cellStyle name="Comma 4 2 2 2 8 4" xfId="11775" xr:uid="{A3C5DE77-A633-49EB-8E73-865113CFB432}"/>
    <cellStyle name="Comma 4 2 2 2 8 5" xfId="28669" xr:uid="{04C6B015-1755-40B9-8618-E0A80AAA38AE}"/>
    <cellStyle name="Comma 4 2 2 2 9" xfId="2381" xr:uid="{00000000-0005-0000-0000-0000FB070000}"/>
    <cellStyle name="Comma 4 2 2 3" xfId="132" xr:uid="{00000000-0005-0000-0000-0000FC070000}"/>
    <cellStyle name="Comma 4 2 2 3 10" xfId="4604" xr:uid="{00000000-0005-0000-0000-0000FD070000}"/>
    <cellStyle name="Comma 4 2 2 3 10 2" xfId="22377" xr:uid="{D2F16030-08B5-47CF-9788-09B4E7085AA4}"/>
    <cellStyle name="Comma 4 2 2 3 10 2 2" xfId="39271" xr:uid="{32D4E758-07D0-4BC3-8A33-31FF6857B741}"/>
    <cellStyle name="Comma 4 2 2 3 10 3" xfId="13930" xr:uid="{918C0690-5B4A-4D35-95E0-B73C5EBB5667}"/>
    <cellStyle name="Comma 4 2 2 3 10 4" xfId="30824" xr:uid="{03A1DF29-7418-4397-81F0-C5BBC1F4227A}"/>
    <cellStyle name="Comma 4 2 2 3 11" xfId="8889" xr:uid="{93813409-C042-4436-8561-B0237A135E7D}"/>
    <cellStyle name="Comma 4 2 2 3 11 2" xfId="18160" xr:uid="{EE879639-EA6E-4522-A000-81DC2FF88382}"/>
    <cellStyle name="Comma 4 2 2 3 11 3" xfId="35054" xr:uid="{E60C0DB6-F16D-4C49-B075-0C056B0DFBBA}"/>
    <cellStyle name="Comma 4 2 2 3 12" xfId="9713" xr:uid="{15AEA815-A04F-45FC-B679-5FBC5AC25610}"/>
    <cellStyle name="Comma 4 2 2 3 13" xfId="26607" xr:uid="{5D88AB6A-9480-43D0-9FF0-C2BE0D4CB3FF}"/>
    <cellStyle name="Comma 4 2 2 3 2" xfId="133" xr:uid="{00000000-0005-0000-0000-0000FE070000}"/>
    <cellStyle name="Comma 4 2 2 3 2 10" xfId="9096" xr:uid="{C395B6CC-7E3E-452B-B5AB-BBF992A45CEB}"/>
    <cellStyle name="Comma 4 2 2 3 2 10 2" xfId="18161" xr:uid="{0BAFE440-F885-4705-A79F-CA5671BD16F5}"/>
    <cellStyle name="Comma 4 2 2 3 2 10 3" xfId="35055" xr:uid="{1969BD1B-8EDB-4DC0-A156-12AE3012232F}"/>
    <cellStyle name="Comma 4 2 2 3 2 11" xfId="9714" xr:uid="{0C5415C7-00AD-4455-B9F5-2597A064B8D1}"/>
    <cellStyle name="Comma 4 2 2 3 2 12" xfId="26608" xr:uid="{6A850344-77F5-4B7E-9347-4E20D3FFE9DB}"/>
    <cellStyle name="Comma 4 2 2 3 2 2" xfId="671" xr:uid="{00000000-0005-0000-0000-0000FF070000}"/>
    <cellStyle name="Comma 4 2 2 3 2 2 2" xfId="2942" xr:uid="{00000000-0005-0000-0000-000000080000}"/>
    <cellStyle name="Comma 4 2 2 3 2 2 2 2" xfId="7164" xr:uid="{00000000-0005-0000-0000-000001080000}"/>
    <cellStyle name="Comma 4 2 2 3 2 2 2 2 2" xfId="24937" xr:uid="{14B977DD-0D23-44EC-961D-E5C78A23F38E}"/>
    <cellStyle name="Comma 4 2 2 3 2 2 2 2 2 2" xfId="41831" xr:uid="{99A284AC-E39A-4466-A657-4B45C36C35F2}"/>
    <cellStyle name="Comma 4 2 2 3 2 2 2 2 3" xfId="16490" xr:uid="{523BF004-9681-46C4-9E2E-2EE644466EF5}"/>
    <cellStyle name="Comma 4 2 2 3 2 2 2 2 4" xfId="33384" xr:uid="{EE8EE011-78F7-485D-80E6-6043B4E1E989}"/>
    <cellStyle name="Comma 4 2 2 3 2 2 2 3" xfId="20720" xr:uid="{E94CD59D-DB3D-486D-85D5-05496F81BAA0}"/>
    <cellStyle name="Comma 4 2 2 3 2 2 2 3 2" xfId="37614" xr:uid="{81235B27-163C-451D-8CA6-3BC488B407EF}"/>
    <cellStyle name="Comma 4 2 2 3 2 2 2 4" xfId="12273" xr:uid="{64F9702F-A7A6-4560-B307-5BC2A0F79585}"/>
    <cellStyle name="Comma 4 2 2 3 2 2 2 5" xfId="29167" xr:uid="{DAAACB1F-66B8-4342-AEA9-383FDF7EA3CE}"/>
    <cellStyle name="Comma 4 2 2 3 2 2 3" xfId="5019" xr:uid="{00000000-0005-0000-0000-000002080000}"/>
    <cellStyle name="Comma 4 2 2 3 2 2 3 2" xfId="22792" xr:uid="{7DE15263-3C6C-494D-B977-34F52DD43847}"/>
    <cellStyle name="Comma 4 2 2 3 2 2 3 2 2" xfId="39686" xr:uid="{473C3010-137A-414D-A767-59120F1B8AC3}"/>
    <cellStyle name="Comma 4 2 2 3 2 2 3 3" xfId="14345" xr:uid="{1FB8C1D7-3EE8-4700-8C9B-7D9B6CF70A33}"/>
    <cellStyle name="Comma 4 2 2 3 2 2 3 4" xfId="31239" xr:uid="{9A8C7D45-3A46-4B08-8D97-3C5606D89F60}"/>
    <cellStyle name="Comma 4 2 2 3 2 2 4" xfId="9521" xr:uid="{8F14F654-C711-4E70-8A06-71F68E70E2E0}"/>
    <cellStyle name="Comma 4 2 2 3 2 2 4 2" xfId="18575" xr:uid="{5D7B2AE4-C17F-4746-B42A-87E160232D1B}"/>
    <cellStyle name="Comma 4 2 2 3 2 2 4 3" xfId="35469" xr:uid="{B7D3682C-36AB-4892-B3E7-51EAB8C9068E}"/>
    <cellStyle name="Comma 4 2 2 3 2 2 5" xfId="10128" xr:uid="{2FEBCA5A-28EC-4A68-B605-1E4B9302611F}"/>
    <cellStyle name="Comma 4 2 2 3 2 2 6" xfId="27022" xr:uid="{D9934A54-45D9-4596-903F-5A773F866797}"/>
    <cellStyle name="Comma 4 2 2 3 2 3" xfId="1124" xr:uid="{00000000-0005-0000-0000-000003080000}"/>
    <cellStyle name="Comma 4 2 2 3 2 3 2" xfId="3355" xr:uid="{00000000-0005-0000-0000-000004080000}"/>
    <cellStyle name="Comma 4 2 2 3 2 3 2 2" xfId="7577" xr:uid="{00000000-0005-0000-0000-000005080000}"/>
    <cellStyle name="Comma 4 2 2 3 2 3 2 2 2" xfId="25350" xr:uid="{B7D16756-5D65-4CC7-9917-40E592BC7D0F}"/>
    <cellStyle name="Comma 4 2 2 3 2 3 2 2 2 2" xfId="42244" xr:uid="{0772CFFD-20FB-4125-86BC-2C6698ECEA90}"/>
    <cellStyle name="Comma 4 2 2 3 2 3 2 2 3" xfId="16903" xr:uid="{A02F8820-05CA-4044-9735-EFCA91CC71E9}"/>
    <cellStyle name="Comma 4 2 2 3 2 3 2 2 4" xfId="33797" xr:uid="{0D49F01F-8A36-488E-AE8F-0F19765C3684}"/>
    <cellStyle name="Comma 4 2 2 3 2 3 2 3" xfId="21133" xr:uid="{BB70E3CC-719F-4C7C-BCE0-34F76D70E511}"/>
    <cellStyle name="Comma 4 2 2 3 2 3 2 3 2" xfId="38027" xr:uid="{CC83847F-23C7-449E-8C41-1C72A279477F}"/>
    <cellStyle name="Comma 4 2 2 3 2 3 2 4" xfId="12686" xr:uid="{69400826-ECFB-4613-9C0D-F562FBEBD8D8}"/>
    <cellStyle name="Comma 4 2 2 3 2 3 2 5" xfId="29580" xr:uid="{A5770EBF-11C0-4CA7-A899-3F6A286EF2F6}"/>
    <cellStyle name="Comma 4 2 2 3 2 3 3" xfId="5432" xr:uid="{00000000-0005-0000-0000-000006080000}"/>
    <cellStyle name="Comma 4 2 2 3 2 3 3 2" xfId="23205" xr:uid="{0048FCB8-3799-406B-9DDE-1E341FBCB21A}"/>
    <cellStyle name="Comma 4 2 2 3 2 3 3 2 2" xfId="40099" xr:uid="{06AE3887-F183-472C-BA4B-680FAA7B891B}"/>
    <cellStyle name="Comma 4 2 2 3 2 3 3 3" xfId="14758" xr:uid="{B2E7A6D8-42F6-4CAF-8FAD-D508521EFA43}"/>
    <cellStyle name="Comma 4 2 2 3 2 3 3 4" xfId="31652" xr:uid="{F6BCF9CC-4824-4D9D-A7ED-BDBB02E13D1D}"/>
    <cellStyle name="Comma 4 2 2 3 2 3 4" xfId="18988" xr:uid="{FE0CB9D2-B06B-42D3-A308-7278618C8FE0}"/>
    <cellStyle name="Comma 4 2 2 3 2 3 4 2" xfId="35882" xr:uid="{F15D7C3C-57B9-489C-808C-ECE4A448E88C}"/>
    <cellStyle name="Comma 4 2 2 3 2 3 5" xfId="10541" xr:uid="{E44306B0-B73A-4991-842A-C1C10D1B5476}"/>
    <cellStyle name="Comma 4 2 2 3 2 3 6" xfId="27435" xr:uid="{7CE1D614-651A-42C9-A2F7-105F423CAC5E}"/>
    <cellStyle name="Comma 4 2 2 3 2 4" xfId="1538" xr:uid="{00000000-0005-0000-0000-000007080000}"/>
    <cellStyle name="Comma 4 2 2 3 2 4 2" xfId="3768" xr:uid="{00000000-0005-0000-0000-000008080000}"/>
    <cellStyle name="Comma 4 2 2 3 2 4 2 2" xfId="7990" xr:uid="{00000000-0005-0000-0000-000009080000}"/>
    <cellStyle name="Comma 4 2 2 3 2 4 2 2 2" xfId="25763" xr:uid="{E16E98F9-4B74-4508-A1A8-AEAF020B3C73}"/>
    <cellStyle name="Comma 4 2 2 3 2 4 2 2 2 2" xfId="42657" xr:uid="{A6D07020-7744-4D6F-88E9-2588305A89A7}"/>
    <cellStyle name="Comma 4 2 2 3 2 4 2 2 3" xfId="17316" xr:uid="{F1CF18EF-4314-440F-AB27-E852B65B7BDB}"/>
    <cellStyle name="Comma 4 2 2 3 2 4 2 2 4" xfId="34210" xr:uid="{20EE4912-C793-4ED6-B105-5C341CCB2E7D}"/>
    <cellStyle name="Comma 4 2 2 3 2 4 2 3" xfId="21546" xr:uid="{E06D6D1F-B9AB-464A-BCDD-01C473981F5C}"/>
    <cellStyle name="Comma 4 2 2 3 2 4 2 3 2" xfId="38440" xr:uid="{1F25C6A1-CA82-48D7-A3EB-AA78BF9FBA69}"/>
    <cellStyle name="Comma 4 2 2 3 2 4 2 4" xfId="13099" xr:uid="{CBC46429-9D18-4B43-86E4-3F9C819841A4}"/>
    <cellStyle name="Comma 4 2 2 3 2 4 2 5" xfId="29993" xr:uid="{C8683181-DF5B-4363-9B85-8C5B161C2040}"/>
    <cellStyle name="Comma 4 2 2 3 2 4 3" xfId="5845" xr:uid="{00000000-0005-0000-0000-00000A080000}"/>
    <cellStyle name="Comma 4 2 2 3 2 4 3 2" xfId="23618" xr:uid="{AE87F8A5-BE96-4525-B6BF-F8A55617BB30}"/>
    <cellStyle name="Comma 4 2 2 3 2 4 3 2 2" xfId="40512" xr:uid="{CDCB541F-37EA-4700-A00A-463FBC17B044}"/>
    <cellStyle name="Comma 4 2 2 3 2 4 3 3" xfId="15171" xr:uid="{D18AFF6A-D185-4537-96AD-B043422CF2B8}"/>
    <cellStyle name="Comma 4 2 2 3 2 4 3 4" xfId="32065" xr:uid="{F7F4328D-9837-4B28-A771-CE09D139285D}"/>
    <cellStyle name="Comma 4 2 2 3 2 4 4" xfId="19401" xr:uid="{893E5648-9FCC-474F-A697-0465346AEB4D}"/>
    <cellStyle name="Comma 4 2 2 3 2 4 4 2" xfId="36295" xr:uid="{779E18D1-AD4E-4530-B10E-8494CD01119C}"/>
    <cellStyle name="Comma 4 2 2 3 2 4 5" xfId="10954" xr:uid="{587FE93C-E895-4405-8714-2B461861C55B}"/>
    <cellStyle name="Comma 4 2 2 3 2 4 6" xfId="27848" xr:uid="{9F17E894-869F-4510-9880-CD3AD5639458}"/>
    <cellStyle name="Comma 4 2 2 3 2 5" xfId="1952" xr:uid="{00000000-0005-0000-0000-00000B080000}"/>
    <cellStyle name="Comma 4 2 2 3 2 5 2" xfId="4181" xr:uid="{00000000-0005-0000-0000-00000C080000}"/>
    <cellStyle name="Comma 4 2 2 3 2 5 2 2" xfId="8403" xr:uid="{00000000-0005-0000-0000-00000D080000}"/>
    <cellStyle name="Comma 4 2 2 3 2 5 2 2 2" xfId="26176" xr:uid="{9E3F8AAE-DF26-47FE-9BA1-44DFA969AA34}"/>
    <cellStyle name="Comma 4 2 2 3 2 5 2 2 2 2" xfId="43070" xr:uid="{CB5E07F2-A3D7-4EDE-BB61-BC0F8642A9B5}"/>
    <cellStyle name="Comma 4 2 2 3 2 5 2 2 3" xfId="17729" xr:uid="{B5E9096D-EC23-4CFE-B6F0-20737C827B88}"/>
    <cellStyle name="Comma 4 2 2 3 2 5 2 2 4" xfId="34623" xr:uid="{17A5F5E8-8DAA-4BB1-B2EE-43AFA4DDE08A}"/>
    <cellStyle name="Comma 4 2 2 3 2 5 2 3" xfId="21959" xr:uid="{925C59E0-6DBF-42D5-B9A6-96A225873721}"/>
    <cellStyle name="Comma 4 2 2 3 2 5 2 3 2" xfId="38853" xr:uid="{6F4E4A66-CB72-4A03-8028-FE93BD54865D}"/>
    <cellStyle name="Comma 4 2 2 3 2 5 2 4" xfId="13512" xr:uid="{EDCE5CE8-A813-4D12-A64F-F87C7DC23FA7}"/>
    <cellStyle name="Comma 4 2 2 3 2 5 2 5" xfId="30406" xr:uid="{142C78B9-A586-4B1A-ADAA-2296A8052C54}"/>
    <cellStyle name="Comma 4 2 2 3 2 5 3" xfId="6258" xr:uid="{00000000-0005-0000-0000-00000E080000}"/>
    <cellStyle name="Comma 4 2 2 3 2 5 3 2" xfId="24031" xr:uid="{8F38B4CC-F62C-45DF-8804-2ADC6F38975C}"/>
    <cellStyle name="Comma 4 2 2 3 2 5 3 2 2" xfId="40925" xr:uid="{8A7F5920-8996-4945-A147-C35B3117172E}"/>
    <cellStyle name="Comma 4 2 2 3 2 5 3 3" xfId="15584" xr:uid="{A0B85F8F-65D2-4681-BE1A-75E391301EC0}"/>
    <cellStyle name="Comma 4 2 2 3 2 5 3 4" xfId="32478" xr:uid="{BE2EAEAD-2AF5-4CA0-9D2F-F4E493DFB950}"/>
    <cellStyle name="Comma 4 2 2 3 2 5 4" xfId="19814" xr:uid="{FB14A8F0-90A1-444E-8BD3-56C2BE6D7695}"/>
    <cellStyle name="Comma 4 2 2 3 2 5 4 2" xfId="36708" xr:uid="{4FCBAB6E-0A3B-47AF-B97C-8E99C73EB9A0}"/>
    <cellStyle name="Comma 4 2 2 3 2 5 5" xfId="11367" xr:uid="{CF4410FD-C326-4DBA-BC48-51FF5BE078B3}"/>
    <cellStyle name="Comma 4 2 2 3 2 5 6" xfId="28261" xr:uid="{FB2CB0B1-ED2D-4F85-938C-BA4E507BCC7E}"/>
    <cellStyle name="Comma 4 2 2 3 2 6" xfId="2387" xr:uid="{00000000-0005-0000-0000-00000F080000}"/>
    <cellStyle name="Comma 4 2 2 3 2 6 2" xfId="6671" xr:uid="{00000000-0005-0000-0000-000010080000}"/>
    <cellStyle name="Comma 4 2 2 3 2 6 2 2" xfId="24444" xr:uid="{D7FEBDB2-0B02-459E-87D5-52D60A0C60F7}"/>
    <cellStyle name="Comma 4 2 2 3 2 6 2 2 2" xfId="41338" xr:uid="{538DE064-1133-45A0-A9E1-9861763AD74D}"/>
    <cellStyle name="Comma 4 2 2 3 2 6 2 3" xfId="15997" xr:uid="{4AAC30D0-BECD-41C5-96C8-F68DC3F4BAB5}"/>
    <cellStyle name="Comma 4 2 2 3 2 6 2 4" xfId="32891" xr:uid="{1F1FC078-9518-4204-BE5E-1BF51B19FDF4}"/>
    <cellStyle name="Comma 4 2 2 3 2 6 3" xfId="20227" xr:uid="{C395FB82-120D-438C-9E05-3C831FEA8043}"/>
    <cellStyle name="Comma 4 2 2 3 2 6 3 2" xfId="37121" xr:uid="{06428411-7C63-45E6-A369-371366BF85ED}"/>
    <cellStyle name="Comma 4 2 2 3 2 6 4" xfId="11780" xr:uid="{74848AB5-2F28-4EAF-9922-3C227D15007A}"/>
    <cellStyle name="Comma 4 2 2 3 2 6 5" xfId="28674" xr:uid="{80086591-4615-46C7-8683-3B7960BB1F2E}"/>
    <cellStyle name="Comma 4 2 2 3 2 7" xfId="2376" xr:uid="{00000000-0005-0000-0000-000011080000}"/>
    <cellStyle name="Comma 4 2 2 3 2 8" xfId="2765" xr:uid="{00000000-0005-0000-0000-000012080000}"/>
    <cellStyle name="Comma 4 2 2 3 2 8 2" xfId="6988" xr:uid="{00000000-0005-0000-0000-000013080000}"/>
    <cellStyle name="Comma 4 2 2 3 2 8 2 2" xfId="24761" xr:uid="{1AEB7F54-C9CB-4D1E-AB1C-24C37A2CF0AC}"/>
    <cellStyle name="Comma 4 2 2 3 2 8 2 2 2" xfId="41655" xr:uid="{57F9672A-75FF-47C9-93F8-E07EAC75B8C1}"/>
    <cellStyle name="Comma 4 2 2 3 2 8 2 3" xfId="16314" xr:uid="{1F42E3F8-909F-48D0-8231-772A8D30EFB6}"/>
    <cellStyle name="Comma 4 2 2 3 2 8 2 4" xfId="33208" xr:uid="{8D75BC93-3DDA-4381-B61A-ADCF37BC26E5}"/>
    <cellStyle name="Comma 4 2 2 3 2 8 3" xfId="20544" xr:uid="{9F8966E9-4299-4D8F-BB55-76BEE1D661BE}"/>
    <cellStyle name="Comma 4 2 2 3 2 8 3 2" xfId="37438" xr:uid="{58992D19-3A4F-4606-9ED4-5E343FBDFD5B}"/>
    <cellStyle name="Comma 4 2 2 3 2 8 4" xfId="12097" xr:uid="{3D677942-7E5B-49FC-91B8-93D4DF73B3AF}"/>
    <cellStyle name="Comma 4 2 2 3 2 8 5" xfId="28991" xr:uid="{2328F977-68F0-4A9A-A223-A4B38540A48E}"/>
    <cellStyle name="Comma 4 2 2 3 2 9" xfId="4605" xr:uid="{00000000-0005-0000-0000-000014080000}"/>
    <cellStyle name="Comma 4 2 2 3 2 9 2" xfId="22378" xr:uid="{8ADD8F35-90E3-4BDF-AA2A-B6B39F35FF79}"/>
    <cellStyle name="Comma 4 2 2 3 2 9 2 2" xfId="39272" xr:uid="{17A6192F-5240-40A6-8B13-68BBAC3EC080}"/>
    <cellStyle name="Comma 4 2 2 3 2 9 3" xfId="13931" xr:uid="{647B2545-B9F4-418B-9B04-95BF2D55DBE9}"/>
    <cellStyle name="Comma 4 2 2 3 2 9 4" xfId="30825" xr:uid="{E218BB4B-E5D1-4D4A-96EB-DA042A9AEC0E}"/>
    <cellStyle name="Comma 4 2 2 3 3" xfId="670" xr:uid="{00000000-0005-0000-0000-000015080000}"/>
    <cellStyle name="Comma 4 2 2 3 3 2" xfId="2941" xr:uid="{00000000-0005-0000-0000-000016080000}"/>
    <cellStyle name="Comma 4 2 2 3 3 2 2" xfId="7163" xr:uid="{00000000-0005-0000-0000-000017080000}"/>
    <cellStyle name="Comma 4 2 2 3 3 2 2 2" xfId="24936" xr:uid="{1CFD7FA8-ED6B-49FE-9444-17C8F2764983}"/>
    <cellStyle name="Comma 4 2 2 3 3 2 2 2 2" xfId="41830" xr:uid="{EC44D31B-EF66-4FCC-BF84-EE75C9C4D483}"/>
    <cellStyle name="Comma 4 2 2 3 3 2 2 3" xfId="16489" xr:uid="{9AB1A82B-BB24-44F5-BEDF-45D7845503AB}"/>
    <cellStyle name="Comma 4 2 2 3 3 2 2 4" xfId="33383" xr:uid="{F1056E52-C5C2-4657-B579-B139311A1553}"/>
    <cellStyle name="Comma 4 2 2 3 3 2 3" xfId="20719" xr:uid="{B8ACB740-6FC1-4018-B5FF-9D536882AD50}"/>
    <cellStyle name="Comma 4 2 2 3 3 2 3 2" xfId="37613" xr:uid="{B217E085-8868-4250-BFC5-0CEF83BD6A40}"/>
    <cellStyle name="Comma 4 2 2 3 3 2 4" xfId="12272" xr:uid="{1C8F336F-E08A-4F25-A721-615C79E0E8AD}"/>
    <cellStyle name="Comma 4 2 2 3 3 2 5" xfId="29166" xr:uid="{8170E45E-9BD6-4792-A711-07ECD5A7A9A6}"/>
    <cellStyle name="Comma 4 2 2 3 3 3" xfId="5018" xr:uid="{00000000-0005-0000-0000-000018080000}"/>
    <cellStyle name="Comma 4 2 2 3 3 3 2" xfId="22791" xr:uid="{F1FD6612-7A26-48DF-A5C5-C8F2D24E8BB3}"/>
    <cellStyle name="Comma 4 2 2 3 3 3 2 2" xfId="39685" xr:uid="{BB3A670E-334D-4D8A-877F-70E66428D29E}"/>
    <cellStyle name="Comma 4 2 2 3 3 3 3" xfId="14344" xr:uid="{F8565FF6-8328-4537-8ECA-E08C095305BE}"/>
    <cellStyle name="Comma 4 2 2 3 3 3 4" xfId="31238" xr:uid="{EAFAC905-981C-4F0B-911F-A1F93307ED65}"/>
    <cellStyle name="Comma 4 2 2 3 3 4" xfId="9314" xr:uid="{A74197AE-1229-40FC-8212-8FB289D74FF6}"/>
    <cellStyle name="Comma 4 2 2 3 3 4 2" xfId="18574" xr:uid="{4CF4BAE9-9885-4BAE-BB2D-46104BE2F262}"/>
    <cellStyle name="Comma 4 2 2 3 3 4 3" xfId="35468" xr:uid="{9F7EEFC5-FD06-4212-A27E-72470C445D6C}"/>
    <cellStyle name="Comma 4 2 2 3 3 5" xfId="10127" xr:uid="{5DCB5889-337A-4B1D-A867-DD6D597CD415}"/>
    <cellStyle name="Comma 4 2 2 3 3 6" xfId="27021" xr:uid="{57C4D00C-414C-4488-8D45-FF3B4996EF6D}"/>
    <cellStyle name="Comma 4 2 2 3 4" xfId="1123" xr:uid="{00000000-0005-0000-0000-000019080000}"/>
    <cellStyle name="Comma 4 2 2 3 4 2" xfId="3354" xr:uid="{00000000-0005-0000-0000-00001A080000}"/>
    <cellStyle name="Comma 4 2 2 3 4 2 2" xfId="7576" xr:uid="{00000000-0005-0000-0000-00001B080000}"/>
    <cellStyle name="Comma 4 2 2 3 4 2 2 2" xfId="25349" xr:uid="{57948A6E-030E-46F3-BEB5-CCD7C4097DD9}"/>
    <cellStyle name="Comma 4 2 2 3 4 2 2 2 2" xfId="42243" xr:uid="{A3081C56-0BC6-41E7-A327-37D961843FFF}"/>
    <cellStyle name="Comma 4 2 2 3 4 2 2 3" xfId="16902" xr:uid="{60CD4C35-8D95-4F07-B9F2-A450115B3342}"/>
    <cellStyle name="Comma 4 2 2 3 4 2 2 4" xfId="33796" xr:uid="{14FBCE0B-A445-4467-925D-2E63D2DB20D6}"/>
    <cellStyle name="Comma 4 2 2 3 4 2 3" xfId="21132" xr:uid="{6BEE4B0C-229F-4ABD-9F8B-B471058D0029}"/>
    <cellStyle name="Comma 4 2 2 3 4 2 3 2" xfId="38026" xr:uid="{CB2FBB90-8A8A-406A-B043-A6F6F5FF0A9E}"/>
    <cellStyle name="Comma 4 2 2 3 4 2 4" xfId="12685" xr:uid="{0D2BF9AF-044C-41A5-8A0D-DF96BB5CCCFD}"/>
    <cellStyle name="Comma 4 2 2 3 4 2 5" xfId="29579" xr:uid="{74F369BB-E260-41C4-A33F-540D99FDA3D9}"/>
    <cellStyle name="Comma 4 2 2 3 4 3" xfId="5431" xr:uid="{00000000-0005-0000-0000-00001C080000}"/>
    <cellStyle name="Comma 4 2 2 3 4 3 2" xfId="23204" xr:uid="{976F216F-E8B1-46B7-AD1F-72A10C50F0CD}"/>
    <cellStyle name="Comma 4 2 2 3 4 3 2 2" xfId="40098" xr:uid="{5BD3CA85-FDC5-489C-AE7A-6A38FD319967}"/>
    <cellStyle name="Comma 4 2 2 3 4 3 3" xfId="14757" xr:uid="{A4145FD6-D981-40DB-BCCD-250BD1DF1E83}"/>
    <cellStyle name="Comma 4 2 2 3 4 3 4" xfId="31651" xr:uid="{60FB3ED7-AE62-4836-9141-5CBE81742721}"/>
    <cellStyle name="Comma 4 2 2 3 4 4" xfId="18987" xr:uid="{2C8C411D-46B4-42DA-B029-FEE0A4A51346}"/>
    <cellStyle name="Comma 4 2 2 3 4 4 2" xfId="35881" xr:uid="{87A1DE4C-C4D1-4D73-B080-C93BFD2BD01D}"/>
    <cellStyle name="Comma 4 2 2 3 4 5" xfId="10540" xr:uid="{E856C714-08C9-4418-A60C-E6EEB1762378}"/>
    <cellStyle name="Comma 4 2 2 3 4 6" xfId="27434" xr:uid="{6FE2850F-74BE-40AA-8EB2-ADDF9262C020}"/>
    <cellStyle name="Comma 4 2 2 3 5" xfId="1537" xr:uid="{00000000-0005-0000-0000-00001D080000}"/>
    <cellStyle name="Comma 4 2 2 3 5 2" xfId="3767" xr:uid="{00000000-0005-0000-0000-00001E080000}"/>
    <cellStyle name="Comma 4 2 2 3 5 2 2" xfId="7989" xr:uid="{00000000-0005-0000-0000-00001F080000}"/>
    <cellStyle name="Comma 4 2 2 3 5 2 2 2" xfId="25762" xr:uid="{337A4964-5EC1-4915-B0C9-F88968D8982A}"/>
    <cellStyle name="Comma 4 2 2 3 5 2 2 2 2" xfId="42656" xr:uid="{BFCEF4DE-5AAD-4E5B-9A58-97410AA4AFBC}"/>
    <cellStyle name="Comma 4 2 2 3 5 2 2 3" xfId="17315" xr:uid="{4ADB6D0E-43D4-44F9-906F-427FCAA839C9}"/>
    <cellStyle name="Comma 4 2 2 3 5 2 2 4" xfId="34209" xr:uid="{258941E7-0A4A-47DE-B349-89EEE365C49E}"/>
    <cellStyle name="Comma 4 2 2 3 5 2 3" xfId="21545" xr:uid="{A1E0D5E7-84EB-4C3E-B965-F2AD6AB44858}"/>
    <cellStyle name="Comma 4 2 2 3 5 2 3 2" xfId="38439" xr:uid="{410E7126-E346-4673-BA54-4663A4AF2141}"/>
    <cellStyle name="Comma 4 2 2 3 5 2 4" xfId="13098" xr:uid="{5EA92FB6-8148-476C-A05C-98B4BBFF5CF6}"/>
    <cellStyle name="Comma 4 2 2 3 5 2 5" xfId="29992" xr:uid="{467BDEA1-B8C3-4151-959C-EDB59888CDB8}"/>
    <cellStyle name="Comma 4 2 2 3 5 3" xfId="5844" xr:uid="{00000000-0005-0000-0000-000020080000}"/>
    <cellStyle name="Comma 4 2 2 3 5 3 2" xfId="23617" xr:uid="{C64F135E-A23C-427C-B79E-5FC59ED7E18F}"/>
    <cellStyle name="Comma 4 2 2 3 5 3 2 2" xfId="40511" xr:uid="{D053113D-91DE-4EF2-8D14-59856CBD445D}"/>
    <cellStyle name="Comma 4 2 2 3 5 3 3" xfId="15170" xr:uid="{89471722-AF89-4F17-9A0A-C15E4D1558AC}"/>
    <cellStyle name="Comma 4 2 2 3 5 3 4" xfId="32064" xr:uid="{FEC2D51A-D77E-40A8-BC9C-6D8AEB0B03E7}"/>
    <cellStyle name="Comma 4 2 2 3 5 4" xfId="19400" xr:uid="{1012960D-DEA9-454C-A206-EA680FBFCCC3}"/>
    <cellStyle name="Comma 4 2 2 3 5 4 2" xfId="36294" xr:uid="{1F27E331-D02E-4385-9998-9B570D24EB16}"/>
    <cellStyle name="Comma 4 2 2 3 5 5" xfId="10953" xr:uid="{86EDCAE7-1C17-4892-B43A-9AB2D8600F2B}"/>
    <cellStyle name="Comma 4 2 2 3 5 6" xfId="27847" xr:uid="{6D56D8A3-09A6-428B-A316-477A29DFC8D2}"/>
    <cellStyle name="Comma 4 2 2 3 6" xfId="1951" xr:uid="{00000000-0005-0000-0000-000021080000}"/>
    <cellStyle name="Comma 4 2 2 3 6 2" xfId="4180" xr:uid="{00000000-0005-0000-0000-000022080000}"/>
    <cellStyle name="Comma 4 2 2 3 6 2 2" xfId="8402" xr:uid="{00000000-0005-0000-0000-000023080000}"/>
    <cellStyle name="Comma 4 2 2 3 6 2 2 2" xfId="26175" xr:uid="{F634C9DE-F8F2-4525-B68A-38B0D3485595}"/>
    <cellStyle name="Comma 4 2 2 3 6 2 2 2 2" xfId="43069" xr:uid="{846D212A-1755-424F-BF6B-5295566B90A5}"/>
    <cellStyle name="Comma 4 2 2 3 6 2 2 3" xfId="17728" xr:uid="{ABB65518-611E-4FA9-822D-25672B7F4651}"/>
    <cellStyle name="Comma 4 2 2 3 6 2 2 4" xfId="34622" xr:uid="{745B040C-AC1F-4F30-9204-5368E659941D}"/>
    <cellStyle name="Comma 4 2 2 3 6 2 3" xfId="21958" xr:uid="{187C5BD1-46D5-4A9F-841B-692481CFE1F9}"/>
    <cellStyle name="Comma 4 2 2 3 6 2 3 2" xfId="38852" xr:uid="{CD0D8727-28B4-458B-85DF-AACFFD98D1F9}"/>
    <cellStyle name="Comma 4 2 2 3 6 2 4" xfId="13511" xr:uid="{D19493D0-C177-48A6-9144-6AEDB7E64356}"/>
    <cellStyle name="Comma 4 2 2 3 6 2 5" xfId="30405" xr:uid="{C70DBFD3-ACD9-4D85-ACC2-6C3E39D49984}"/>
    <cellStyle name="Comma 4 2 2 3 6 3" xfId="6257" xr:uid="{00000000-0005-0000-0000-000024080000}"/>
    <cellStyle name="Comma 4 2 2 3 6 3 2" xfId="24030" xr:uid="{5805ECB7-4A43-48C0-9FAC-44A0AC8D59D7}"/>
    <cellStyle name="Comma 4 2 2 3 6 3 2 2" xfId="40924" xr:uid="{23D39604-BBB2-4978-B277-225F8D569392}"/>
    <cellStyle name="Comma 4 2 2 3 6 3 3" xfId="15583" xr:uid="{09E245E8-103A-4405-9737-52FD53348975}"/>
    <cellStyle name="Comma 4 2 2 3 6 3 4" xfId="32477" xr:uid="{AEDFA145-346E-47C8-82E7-01D4F0E9DA8D}"/>
    <cellStyle name="Comma 4 2 2 3 6 4" xfId="19813" xr:uid="{1AAC6911-25CC-46A1-A620-0896C20D9570}"/>
    <cellStyle name="Comma 4 2 2 3 6 4 2" xfId="36707" xr:uid="{D44319F9-6A3C-457C-AEF0-039BEA21B9F6}"/>
    <cellStyle name="Comma 4 2 2 3 6 5" xfId="11366" xr:uid="{E7427C0A-DCC5-4C2B-8E68-676032C7361C}"/>
    <cellStyle name="Comma 4 2 2 3 6 6" xfId="28260" xr:uid="{43CE5D06-310E-4D09-B3C6-F9C53C0A1BB3}"/>
    <cellStyle name="Comma 4 2 2 3 7" xfId="2386" xr:uid="{00000000-0005-0000-0000-000025080000}"/>
    <cellStyle name="Comma 4 2 2 3 7 2" xfId="6670" xr:uid="{00000000-0005-0000-0000-000026080000}"/>
    <cellStyle name="Comma 4 2 2 3 7 2 2" xfId="24443" xr:uid="{BB31EE16-9506-4A08-A5EA-6711F495A170}"/>
    <cellStyle name="Comma 4 2 2 3 7 2 2 2" xfId="41337" xr:uid="{C8EE6BD7-A2DF-43C1-ADB2-9B4F34B23040}"/>
    <cellStyle name="Comma 4 2 2 3 7 2 3" xfId="15996" xr:uid="{B974EB87-934B-49CC-A98D-CAFAF40040FB}"/>
    <cellStyle name="Comma 4 2 2 3 7 2 4" xfId="32890" xr:uid="{F5537F7F-196A-4FE5-8491-B5304930F583}"/>
    <cellStyle name="Comma 4 2 2 3 7 3" xfId="20226" xr:uid="{43A663F7-5CAC-4FC0-B7E6-4950023714A6}"/>
    <cellStyle name="Comma 4 2 2 3 7 3 2" xfId="37120" xr:uid="{B1EE64C4-3D99-490F-A339-A8C5254DC9C9}"/>
    <cellStyle name="Comma 4 2 2 3 7 4" xfId="11779" xr:uid="{038C1FEF-B50E-48DF-AFCF-21FF483B76BD}"/>
    <cellStyle name="Comma 4 2 2 3 7 5" xfId="28673" xr:uid="{A10834E1-EA55-40C3-9F4D-604A256BAB95}"/>
    <cellStyle name="Comma 4 2 2 3 8" xfId="2377" xr:uid="{00000000-0005-0000-0000-000027080000}"/>
    <cellStyle name="Comma 4 2 2 3 9" xfId="2764" xr:uid="{00000000-0005-0000-0000-000028080000}"/>
    <cellStyle name="Comma 4 2 2 3 9 2" xfId="6987" xr:uid="{00000000-0005-0000-0000-000029080000}"/>
    <cellStyle name="Comma 4 2 2 3 9 2 2" xfId="24760" xr:uid="{52F7A4F9-4DEB-4845-9163-9D148279591A}"/>
    <cellStyle name="Comma 4 2 2 3 9 2 2 2" xfId="41654" xr:uid="{B67516B2-54A8-43D8-8C82-0D8BAA13E6CC}"/>
    <cellStyle name="Comma 4 2 2 3 9 2 3" xfId="16313" xr:uid="{4BC9E235-5EF0-4702-B664-AACC98930537}"/>
    <cellStyle name="Comma 4 2 2 3 9 2 4" xfId="33207" xr:uid="{6B325BB2-25DE-4C0C-9086-D6F92CC0BC0A}"/>
    <cellStyle name="Comma 4 2 2 3 9 3" xfId="20543" xr:uid="{1CC3413F-A578-4254-B22C-C7D2A8B7E529}"/>
    <cellStyle name="Comma 4 2 2 3 9 3 2" xfId="37437" xr:uid="{D312E111-8F2D-4437-BA71-81468AB67413}"/>
    <cellStyle name="Comma 4 2 2 3 9 4" xfId="12096" xr:uid="{763BDF38-0729-4F46-BE11-78C872E7D5FA}"/>
    <cellStyle name="Comma 4 2 2 3 9 5" xfId="28990" xr:uid="{C5881A75-C8C6-4EB5-936B-A0FFED564F94}"/>
    <cellStyle name="Comma 4 2 2 4" xfId="134" xr:uid="{00000000-0005-0000-0000-00002A080000}"/>
    <cellStyle name="Comma 4 2 2 4 10" xfId="8993" xr:uid="{2969CB69-37C4-4C43-BC9D-87F92556F829}"/>
    <cellStyle name="Comma 4 2 2 4 10 2" xfId="18162" xr:uid="{9B33D636-8592-4069-A4C6-28D9D80AB1EF}"/>
    <cellStyle name="Comma 4 2 2 4 10 3" xfId="35056" xr:uid="{195D5597-F96E-4588-ABC7-248CB24B126C}"/>
    <cellStyle name="Comma 4 2 2 4 11" xfId="9715" xr:uid="{3E7144F7-75F5-4F27-AD6B-9CB51855C349}"/>
    <cellStyle name="Comma 4 2 2 4 12" xfId="26609" xr:uid="{3999550B-EB0E-4F37-B84C-522A21D8685B}"/>
    <cellStyle name="Comma 4 2 2 4 2" xfId="672" xr:uid="{00000000-0005-0000-0000-00002B080000}"/>
    <cellStyle name="Comma 4 2 2 4 2 2" xfId="2943" xr:uid="{00000000-0005-0000-0000-00002C080000}"/>
    <cellStyle name="Comma 4 2 2 4 2 2 2" xfId="7165" xr:uid="{00000000-0005-0000-0000-00002D080000}"/>
    <cellStyle name="Comma 4 2 2 4 2 2 2 2" xfId="24938" xr:uid="{C6F10ACC-3460-4239-A406-3D1C9B09CBEE}"/>
    <cellStyle name="Comma 4 2 2 4 2 2 2 2 2" xfId="41832" xr:uid="{2DCAF68F-27CC-4FDE-A51B-3C27C140F226}"/>
    <cellStyle name="Comma 4 2 2 4 2 2 2 3" xfId="16491" xr:uid="{FC58FDE1-07E5-4D17-ACE4-4EC0F34DD48A}"/>
    <cellStyle name="Comma 4 2 2 4 2 2 2 4" xfId="33385" xr:uid="{497C3499-9161-4633-ACC8-6CEDA50D6388}"/>
    <cellStyle name="Comma 4 2 2 4 2 2 3" xfId="20721" xr:uid="{8B11617C-2BC9-4AFF-ADA2-13B0BEAD54C8}"/>
    <cellStyle name="Comma 4 2 2 4 2 2 3 2" xfId="37615" xr:uid="{08177D03-87CF-4E03-A2B0-113C91885482}"/>
    <cellStyle name="Comma 4 2 2 4 2 2 4" xfId="12274" xr:uid="{09F5C127-AF12-44B1-B240-C7B8D439DBCE}"/>
    <cellStyle name="Comma 4 2 2 4 2 2 5" xfId="29168" xr:uid="{A339D290-336C-48E3-9781-194976BE4F0D}"/>
    <cellStyle name="Comma 4 2 2 4 2 3" xfId="5020" xr:uid="{00000000-0005-0000-0000-00002E080000}"/>
    <cellStyle name="Comma 4 2 2 4 2 3 2" xfId="22793" xr:uid="{32BC38E3-441A-430F-AABE-29927FF05CB9}"/>
    <cellStyle name="Comma 4 2 2 4 2 3 2 2" xfId="39687" xr:uid="{53FCC76D-EB77-495A-BF87-36E23E510EE0}"/>
    <cellStyle name="Comma 4 2 2 4 2 3 3" xfId="14346" xr:uid="{50D2A334-8B28-4681-9BAD-66E95F7AF033}"/>
    <cellStyle name="Comma 4 2 2 4 2 3 4" xfId="31240" xr:uid="{083A9658-5983-4590-8F59-D6AF0EC82D5C}"/>
    <cellStyle name="Comma 4 2 2 4 2 4" xfId="9418" xr:uid="{F2EB07B7-2227-485D-9411-A8F75EC2F9DA}"/>
    <cellStyle name="Comma 4 2 2 4 2 4 2" xfId="18576" xr:uid="{C5746151-1531-496A-A8FB-F6501FAA95C1}"/>
    <cellStyle name="Comma 4 2 2 4 2 4 3" xfId="35470" xr:uid="{05F2EFD1-DDE7-4832-8924-6721D6C260BB}"/>
    <cellStyle name="Comma 4 2 2 4 2 5" xfId="10129" xr:uid="{C929EFD8-72B6-4131-9457-C3791CEC7C1D}"/>
    <cellStyle name="Comma 4 2 2 4 2 6" xfId="27023" xr:uid="{16A66A2A-BB66-4FEB-8534-3A7F990245C5}"/>
    <cellStyle name="Comma 4 2 2 4 3" xfId="1125" xr:uid="{00000000-0005-0000-0000-00002F080000}"/>
    <cellStyle name="Comma 4 2 2 4 3 2" xfId="3356" xr:uid="{00000000-0005-0000-0000-000030080000}"/>
    <cellStyle name="Comma 4 2 2 4 3 2 2" xfId="7578" xr:uid="{00000000-0005-0000-0000-000031080000}"/>
    <cellStyle name="Comma 4 2 2 4 3 2 2 2" xfId="25351" xr:uid="{F41FD172-063E-4350-824A-65B105152905}"/>
    <cellStyle name="Comma 4 2 2 4 3 2 2 2 2" xfId="42245" xr:uid="{CB5E210C-4A7A-4F63-AB84-E230FB9BF24E}"/>
    <cellStyle name="Comma 4 2 2 4 3 2 2 3" xfId="16904" xr:uid="{79F761F7-ADA2-481F-9668-9BA92BA8EA98}"/>
    <cellStyle name="Comma 4 2 2 4 3 2 2 4" xfId="33798" xr:uid="{E1EFED6A-DBAD-4DE5-8D1D-289866F12DA1}"/>
    <cellStyle name="Comma 4 2 2 4 3 2 3" xfId="21134" xr:uid="{4815E21B-6AE1-4D53-9F6A-981A8C66C83E}"/>
    <cellStyle name="Comma 4 2 2 4 3 2 3 2" xfId="38028" xr:uid="{1E3CE72B-2383-453C-BC0D-EEB1C17EC428}"/>
    <cellStyle name="Comma 4 2 2 4 3 2 4" xfId="12687" xr:uid="{BD032009-09B9-4237-B200-540C3948863A}"/>
    <cellStyle name="Comma 4 2 2 4 3 2 5" xfId="29581" xr:uid="{0458235E-EB29-4615-A39A-B0F826EA0FCC}"/>
    <cellStyle name="Comma 4 2 2 4 3 3" xfId="5433" xr:uid="{00000000-0005-0000-0000-000032080000}"/>
    <cellStyle name="Comma 4 2 2 4 3 3 2" xfId="23206" xr:uid="{17FBA235-7DA9-4504-8A0E-C11184A442F8}"/>
    <cellStyle name="Comma 4 2 2 4 3 3 2 2" xfId="40100" xr:uid="{00F9D7F7-2D31-4CC2-BABF-671C5CB7D29F}"/>
    <cellStyle name="Comma 4 2 2 4 3 3 3" xfId="14759" xr:uid="{7254E5B3-1EAC-4A8C-A59A-F41C3DC63609}"/>
    <cellStyle name="Comma 4 2 2 4 3 3 4" xfId="31653" xr:uid="{6094DDCF-32B5-4EF5-995D-4DC05C0B0AC5}"/>
    <cellStyle name="Comma 4 2 2 4 3 4" xfId="18989" xr:uid="{BD073F50-E235-48CA-AC15-3E0B2F0D0D5F}"/>
    <cellStyle name="Comma 4 2 2 4 3 4 2" xfId="35883" xr:uid="{748476CC-1EB2-4D3B-B99F-AEC995BEFE93}"/>
    <cellStyle name="Comma 4 2 2 4 3 5" xfId="10542" xr:uid="{31D436DC-0F85-4F43-BBAB-761F18557131}"/>
    <cellStyle name="Comma 4 2 2 4 3 6" xfId="27436" xr:uid="{A3C77F07-759F-4B92-B891-EF1F85592504}"/>
    <cellStyle name="Comma 4 2 2 4 4" xfId="1539" xr:uid="{00000000-0005-0000-0000-000033080000}"/>
    <cellStyle name="Comma 4 2 2 4 4 2" xfId="3769" xr:uid="{00000000-0005-0000-0000-000034080000}"/>
    <cellStyle name="Comma 4 2 2 4 4 2 2" xfId="7991" xr:uid="{00000000-0005-0000-0000-000035080000}"/>
    <cellStyle name="Comma 4 2 2 4 4 2 2 2" xfId="25764" xr:uid="{478E0ADB-C895-4C7F-9CC1-742568F9C03C}"/>
    <cellStyle name="Comma 4 2 2 4 4 2 2 2 2" xfId="42658" xr:uid="{D9B80617-56E3-4064-A5EF-B4EA5471E82A}"/>
    <cellStyle name="Comma 4 2 2 4 4 2 2 3" xfId="17317" xr:uid="{76C14DB4-AD77-4438-97C3-EB940404634E}"/>
    <cellStyle name="Comma 4 2 2 4 4 2 2 4" xfId="34211" xr:uid="{C5FABE66-2B29-47FB-A7D9-C5A9B01FC744}"/>
    <cellStyle name="Comma 4 2 2 4 4 2 3" xfId="21547" xr:uid="{B7CD454B-2D3E-4B9F-AD30-4326E267800C}"/>
    <cellStyle name="Comma 4 2 2 4 4 2 3 2" xfId="38441" xr:uid="{7278AB71-153E-4B40-96E2-A3F4ED66DFC4}"/>
    <cellStyle name="Comma 4 2 2 4 4 2 4" xfId="13100" xr:uid="{72372D13-8238-48C2-9AE7-805F77734A8C}"/>
    <cellStyle name="Comma 4 2 2 4 4 2 5" xfId="29994" xr:uid="{C23A3B6D-163C-4C8D-B321-1DB188C91E81}"/>
    <cellStyle name="Comma 4 2 2 4 4 3" xfId="5846" xr:uid="{00000000-0005-0000-0000-000036080000}"/>
    <cellStyle name="Comma 4 2 2 4 4 3 2" xfId="23619" xr:uid="{CFCD5848-D2AF-45CF-AD5C-1BA2ED7CCBBE}"/>
    <cellStyle name="Comma 4 2 2 4 4 3 2 2" xfId="40513" xr:uid="{A51F942C-ED80-4F63-A7B3-99933283ED04}"/>
    <cellStyle name="Comma 4 2 2 4 4 3 3" xfId="15172" xr:uid="{0B623C66-641E-4125-B964-352E8262721D}"/>
    <cellStyle name="Comma 4 2 2 4 4 3 4" xfId="32066" xr:uid="{24A4BDD3-64A6-4FC9-A12B-89096E87DCB8}"/>
    <cellStyle name="Comma 4 2 2 4 4 4" xfId="19402" xr:uid="{42DFAFA4-BD96-4E4F-A5D8-8F4FC5309B0B}"/>
    <cellStyle name="Comma 4 2 2 4 4 4 2" xfId="36296" xr:uid="{BC37C8A8-F31B-4283-A3EB-FF4C2E900DBE}"/>
    <cellStyle name="Comma 4 2 2 4 4 5" xfId="10955" xr:uid="{C3B7D1B7-09BF-4F69-95F6-B9C4BC820602}"/>
    <cellStyle name="Comma 4 2 2 4 4 6" xfId="27849" xr:uid="{ABEBB73C-73AB-484F-B7AD-760D3A3AF91C}"/>
    <cellStyle name="Comma 4 2 2 4 5" xfId="1953" xr:uid="{00000000-0005-0000-0000-000037080000}"/>
    <cellStyle name="Comma 4 2 2 4 5 2" xfId="4182" xr:uid="{00000000-0005-0000-0000-000038080000}"/>
    <cellStyle name="Comma 4 2 2 4 5 2 2" xfId="8404" xr:uid="{00000000-0005-0000-0000-000039080000}"/>
    <cellStyle name="Comma 4 2 2 4 5 2 2 2" xfId="26177" xr:uid="{2C4DC005-E009-4760-86D4-9D4940F9FA63}"/>
    <cellStyle name="Comma 4 2 2 4 5 2 2 2 2" xfId="43071" xr:uid="{01DCB3B6-1B31-4039-885A-885C2A1695EE}"/>
    <cellStyle name="Comma 4 2 2 4 5 2 2 3" xfId="17730" xr:uid="{47A2E75D-BC62-43B6-A14C-394F2D21777F}"/>
    <cellStyle name="Comma 4 2 2 4 5 2 2 4" xfId="34624" xr:uid="{AB9B85D8-E271-4B75-A53E-55800BD49E63}"/>
    <cellStyle name="Comma 4 2 2 4 5 2 3" xfId="21960" xr:uid="{AE56BB61-3ABF-4AEE-B58D-BC042C17076D}"/>
    <cellStyle name="Comma 4 2 2 4 5 2 3 2" xfId="38854" xr:uid="{3FB88ED4-F8D5-4DF4-AED6-7A16CF8AC7C1}"/>
    <cellStyle name="Comma 4 2 2 4 5 2 4" xfId="13513" xr:uid="{64D68538-0933-4DD0-AA1F-CB24BAC3DFB1}"/>
    <cellStyle name="Comma 4 2 2 4 5 2 5" xfId="30407" xr:uid="{ECECFF4D-2762-482F-968E-84F1CFDADCB7}"/>
    <cellStyle name="Comma 4 2 2 4 5 3" xfId="6259" xr:uid="{00000000-0005-0000-0000-00003A080000}"/>
    <cellStyle name="Comma 4 2 2 4 5 3 2" xfId="24032" xr:uid="{333B9EDF-5195-48E4-9415-7412153DA73B}"/>
    <cellStyle name="Comma 4 2 2 4 5 3 2 2" xfId="40926" xr:uid="{CF474814-75F4-4DC6-961D-75BFDB830811}"/>
    <cellStyle name="Comma 4 2 2 4 5 3 3" xfId="15585" xr:uid="{B20EB2D8-4527-4AC5-BEE7-A9F23A353ACC}"/>
    <cellStyle name="Comma 4 2 2 4 5 3 4" xfId="32479" xr:uid="{E6561FE0-964F-46BF-89E4-2F56AD14BAEC}"/>
    <cellStyle name="Comma 4 2 2 4 5 4" xfId="19815" xr:uid="{AFDE24B3-EFB4-4806-B022-5B755B13DEA0}"/>
    <cellStyle name="Comma 4 2 2 4 5 4 2" xfId="36709" xr:uid="{BD86C4EB-D3E3-447F-951E-BD5701146142}"/>
    <cellStyle name="Comma 4 2 2 4 5 5" xfId="11368" xr:uid="{B1B73F67-419D-401E-B83A-EAF4770AD73E}"/>
    <cellStyle name="Comma 4 2 2 4 5 6" xfId="28262" xr:uid="{D480A2FD-52D9-45CA-8DD4-BF1EBA578461}"/>
    <cellStyle name="Comma 4 2 2 4 6" xfId="2388" xr:uid="{00000000-0005-0000-0000-00003B080000}"/>
    <cellStyle name="Comma 4 2 2 4 6 2" xfId="6672" xr:uid="{00000000-0005-0000-0000-00003C080000}"/>
    <cellStyle name="Comma 4 2 2 4 6 2 2" xfId="24445" xr:uid="{09F5DA88-767C-4FF9-9761-90C9AB0E92A1}"/>
    <cellStyle name="Comma 4 2 2 4 6 2 2 2" xfId="41339" xr:uid="{6BDC0DE4-3D95-4A04-B172-43BF2BE21FCE}"/>
    <cellStyle name="Comma 4 2 2 4 6 2 3" xfId="15998" xr:uid="{BBED022D-C214-4D1B-97A0-73370E58271E}"/>
    <cellStyle name="Comma 4 2 2 4 6 2 4" xfId="32892" xr:uid="{7C2BAF70-1FC6-40A5-B3B6-CD1D1721D765}"/>
    <cellStyle name="Comma 4 2 2 4 6 3" xfId="20228" xr:uid="{E0FA8849-9602-4944-873C-1C57F95C405B}"/>
    <cellStyle name="Comma 4 2 2 4 6 3 2" xfId="37122" xr:uid="{AC7782A8-A8DD-4677-9214-45D268E7E691}"/>
    <cellStyle name="Comma 4 2 2 4 6 4" xfId="11781" xr:uid="{AE173F77-6BF6-4AD3-9808-6D419FB4F73C}"/>
    <cellStyle name="Comma 4 2 2 4 6 5" xfId="28675" xr:uid="{D92BFB8B-D0F0-4763-8ABD-FF253E48A0BE}"/>
    <cellStyle name="Comma 4 2 2 4 7" xfId="2375" xr:uid="{00000000-0005-0000-0000-00003D080000}"/>
    <cellStyle name="Comma 4 2 2 4 8" xfId="2766" xr:uid="{00000000-0005-0000-0000-00003E080000}"/>
    <cellStyle name="Comma 4 2 2 4 8 2" xfId="6989" xr:uid="{00000000-0005-0000-0000-00003F080000}"/>
    <cellStyle name="Comma 4 2 2 4 8 2 2" xfId="24762" xr:uid="{7735F60E-371F-4B63-8147-E1BE9B944100}"/>
    <cellStyle name="Comma 4 2 2 4 8 2 2 2" xfId="41656" xr:uid="{2999B16E-4D14-4E56-BC46-6E68721AD7D1}"/>
    <cellStyle name="Comma 4 2 2 4 8 2 3" xfId="16315" xr:uid="{B310097F-2C9A-4D06-BC71-93ED606854A6}"/>
    <cellStyle name="Comma 4 2 2 4 8 2 4" xfId="33209" xr:uid="{C5618B6F-44EE-4857-9757-474A31165A0D}"/>
    <cellStyle name="Comma 4 2 2 4 8 3" xfId="20545" xr:uid="{92149BFC-6B94-4127-B5A4-5F57373F671C}"/>
    <cellStyle name="Comma 4 2 2 4 8 3 2" xfId="37439" xr:uid="{364A68FD-1805-430A-B285-82447582C684}"/>
    <cellStyle name="Comma 4 2 2 4 8 4" xfId="12098" xr:uid="{CD1ADC68-F309-4BED-B8C8-21AA5AF5B332}"/>
    <cellStyle name="Comma 4 2 2 4 8 5" xfId="28992" xr:uid="{3C69B148-83FA-4F12-8A23-6AE4337D67F4}"/>
    <cellStyle name="Comma 4 2 2 4 9" xfId="4606" xr:uid="{00000000-0005-0000-0000-000040080000}"/>
    <cellStyle name="Comma 4 2 2 4 9 2" xfId="22379" xr:uid="{14C62B67-EE3A-4CE0-A430-49FEA743FB5C}"/>
    <cellStyle name="Comma 4 2 2 4 9 2 2" xfId="39273" xr:uid="{F7B68EB2-BA77-405D-9108-AEFA61DB7559}"/>
    <cellStyle name="Comma 4 2 2 4 9 3" xfId="13932" xr:uid="{A9ADE2FD-9704-4C13-B1D8-FFCC6BCF1717}"/>
    <cellStyle name="Comma 4 2 2 4 9 4" xfId="30826" xr:uid="{D23B1053-831E-448F-8025-CF1522C692B2}"/>
    <cellStyle name="Comma 4 2 2 5" xfId="135" xr:uid="{00000000-0005-0000-0000-000041080000}"/>
    <cellStyle name="Comma 4 2 2 5 10" xfId="9210" xr:uid="{C1F9418B-EF96-4063-883D-A983E131C6A4}"/>
    <cellStyle name="Comma 4 2 2 5 10 2" xfId="18163" xr:uid="{EA45A59C-5A57-45EC-A0D3-86175648D837}"/>
    <cellStyle name="Comma 4 2 2 5 10 3" xfId="35057" xr:uid="{6697CB17-E630-433D-AF13-526F2F4305A6}"/>
    <cellStyle name="Comma 4 2 2 5 11" xfId="9716" xr:uid="{A0E38D84-3906-4EB7-8117-C32608B64701}"/>
    <cellStyle name="Comma 4 2 2 5 12" xfId="26610" xr:uid="{31AE870B-A9D4-4DBF-B828-1591685AC500}"/>
    <cellStyle name="Comma 4 2 2 5 2" xfId="673" xr:uid="{00000000-0005-0000-0000-000042080000}"/>
    <cellStyle name="Comma 4 2 2 5 2 2" xfId="2944" xr:uid="{00000000-0005-0000-0000-000043080000}"/>
    <cellStyle name="Comma 4 2 2 5 2 2 2" xfId="7166" xr:uid="{00000000-0005-0000-0000-000044080000}"/>
    <cellStyle name="Comma 4 2 2 5 2 2 2 2" xfId="24939" xr:uid="{E21A5BA4-C7AA-4DF6-8621-983BB659B4DD}"/>
    <cellStyle name="Comma 4 2 2 5 2 2 2 2 2" xfId="41833" xr:uid="{341C717B-A757-48B4-AB7E-BDC668CE88D6}"/>
    <cellStyle name="Comma 4 2 2 5 2 2 2 3" xfId="16492" xr:uid="{FDA248F0-6FCD-4709-A7DB-7DD2073F8B38}"/>
    <cellStyle name="Comma 4 2 2 5 2 2 2 4" xfId="33386" xr:uid="{A33983A3-1585-4A3B-9F8D-9E8581024B24}"/>
    <cellStyle name="Comma 4 2 2 5 2 2 3" xfId="20722" xr:uid="{95461A5D-EB38-44F3-89A9-62E1A2BF6447}"/>
    <cellStyle name="Comma 4 2 2 5 2 2 3 2" xfId="37616" xr:uid="{C4EFB228-F50D-43EC-A325-6E9B850E3A38}"/>
    <cellStyle name="Comma 4 2 2 5 2 2 4" xfId="12275" xr:uid="{1943B726-2BF2-49D2-B0E8-6A5E763F7E60}"/>
    <cellStyle name="Comma 4 2 2 5 2 2 5" xfId="29169" xr:uid="{6CB3250C-5373-4A70-A3EC-02C529BE928A}"/>
    <cellStyle name="Comma 4 2 2 5 2 3" xfId="5021" xr:uid="{00000000-0005-0000-0000-000045080000}"/>
    <cellStyle name="Comma 4 2 2 5 2 3 2" xfId="22794" xr:uid="{8CBD424B-DFCB-449D-934F-CF27CB821CA2}"/>
    <cellStyle name="Comma 4 2 2 5 2 3 2 2" xfId="39688" xr:uid="{85FF18A1-9B09-42A7-9D16-D45CBB518E38}"/>
    <cellStyle name="Comma 4 2 2 5 2 3 3" xfId="14347" xr:uid="{28CE37E3-2B06-47D9-A778-DF5C21AFB088}"/>
    <cellStyle name="Comma 4 2 2 5 2 3 4" xfId="31241" xr:uid="{1A59F160-E30A-490F-9D77-9B23FE25C092}"/>
    <cellStyle name="Comma 4 2 2 5 2 4" xfId="9593" xr:uid="{3B41C66E-2108-4CBE-9776-211459781E55}"/>
    <cellStyle name="Comma 4 2 2 5 2 4 2" xfId="18577" xr:uid="{47AEDEB8-54DB-4C2A-816F-F40742FA60DB}"/>
    <cellStyle name="Comma 4 2 2 5 2 4 3" xfId="35471" xr:uid="{7A037E1A-001E-4D45-BB43-07EDAFFF8E86}"/>
    <cellStyle name="Comma 4 2 2 5 2 5" xfId="10130" xr:uid="{4F9085C3-C051-4E33-AEEC-52F1D8484E82}"/>
    <cellStyle name="Comma 4 2 2 5 2 6" xfId="27024" xr:uid="{0EEA7CE2-B3B1-4F97-B6E6-4902D16834A9}"/>
    <cellStyle name="Comma 4 2 2 5 3" xfId="1126" xr:uid="{00000000-0005-0000-0000-000046080000}"/>
    <cellStyle name="Comma 4 2 2 5 3 2" xfId="3357" xr:uid="{00000000-0005-0000-0000-000047080000}"/>
    <cellStyle name="Comma 4 2 2 5 3 2 2" xfId="7579" xr:uid="{00000000-0005-0000-0000-000048080000}"/>
    <cellStyle name="Comma 4 2 2 5 3 2 2 2" xfId="25352" xr:uid="{5C6065A8-FB45-4313-A823-48EBC1445212}"/>
    <cellStyle name="Comma 4 2 2 5 3 2 2 2 2" xfId="42246" xr:uid="{15838548-85CD-4DD5-BAEF-EA783910AD6D}"/>
    <cellStyle name="Comma 4 2 2 5 3 2 2 3" xfId="16905" xr:uid="{1D89A9EE-222E-4ADC-94E2-B5A2B25870C6}"/>
    <cellStyle name="Comma 4 2 2 5 3 2 2 4" xfId="33799" xr:uid="{715630E3-442B-4974-9132-D783745EAE61}"/>
    <cellStyle name="Comma 4 2 2 5 3 2 3" xfId="21135" xr:uid="{6B75C4F3-CEFC-4447-864B-40E2155856B1}"/>
    <cellStyle name="Comma 4 2 2 5 3 2 3 2" xfId="38029" xr:uid="{C64EB554-41C3-4D62-B488-72134EF4D984}"/>
    <cellStyle name="Comma 4 2 2 5 3 2 4" xfId="12688" xr:uid="{BE44A75E-B3A9-470F-BD35-E67456C758B2}"/>
    <cellStyle name="Comma 4 2 2 5 3 2 5" xfId="29582" xr:uid="{75117A91-A4DA-43BB-B61A-E48F4615B2BD}"/>
    <cellStyle name="Comma 4 2 2 5 3 3" xfId="5434" xr:uid="{00000000-0005-0000-0000-000049080000}"/>
    <cellStyle name="Comma 4 2 2 5 3 3 2" xfId="23207" xr:uid="{347B7ACA-7E54-43EC-8BFE-C69A7B092EC2}"/>
    <cellStyle name="Comma 4 2 2 5 3 3 2 2" xfId="40101" xr:uid="{68347F5C-E9B6-4C71-BDE1-1786937A41F1}"/>
    <cellStyle name="Comma 4 2 2 5 3 3 3" xfId="14760" xr:uid="{C79BDEAF-D325-42C3-B694-589790C8DC8D}"/>
    <cellStyle name="Comma 4 2 2 5 3 3 4" xfId="31654" xr:uid="{73B70804-EC85-4804-8AAF-3E42ABB33FEB}"/>
    <cellStyle name="Comma 4 2 2 5 3 4" xfId="18990" xr:uid="{4AE9F641-D14D-4D17-901D-6B78D0120C95}"/>
    <cellStyle name="Comma 4 2 2 5 3 4 2" xfId="35884" xr:uid="{8E315D5B-E40D-46D5-B162-B3E76ADE6B88}"/>
    <cellStyle name="Comma 4 2 2 5 3 5" xfId="10543" xr:uid="{13703909-877D-4F4A-BA1B-A46CAC13E3E4}"/>
    <cellStyle name="Comma 4 2 2 5 3 6" xfId="27437" xr:uid="{FAE05555-ECEA-4E0E-8DB1-9049C14CB251}"/>
    <cellStyle name="Comma 4 2 2 5 4" xfId="1540" xr:uid="{00000000-0005-0000-0000-00004A080000}"/>
    <cellStyle name="Comma 4 2 2 5 4 2" xfId="3770" xr:uid="{00000000-0005-0000-0000-00004B080000}"/>
    <cellStyle name="Comma 4 2 2 5 4 2 2" xfId="7992" xr:uid="{00000000-0005-0000-0000-00004C080000}"/>
    <cellStyle name="Comma 4 2 2 5 4 2 2 2" xfId="25765" xr:uid="{A7B5D7BB-CA0A-40DB-B8FC-82127B1F5A49}"/>
    <cellStyle name="Comma 4 2 2 5 4 2 2 2 2" xfId="42659" xr:uid="{CC29F2F1-F0EC-464C-BB80-FF463DAAA08D}"/>
    <cellStyle name="Comma 4 2 2 5 4 2 2 3" xfId="17318" xr:uid="{776F5D72-BF3D-4E43-B956-39D0F6D74FA1}"/>
    <cellStyle name="Comma 4 2 2 5 4 2 2 4" xfId="34212" xr:uid="{6870FD22-BB0E-4758-98B8-61588C66BEB8}"/>
    <cellStyle name="Comma 4 2 2 5 4 2 3" xfId="21548" xr:uid="{28A27CEB-05B6-449D-8CE0-05E9C3B152B2}"/>
    <cellStyle name="Comma 4 2 2 5 4 2 3 2" xfId="38442" xr:uid="{CF8B7FFD-C862-4FC7-9A8A-0C351552323D}"/>
    <cellStyle name="Comma 4 2 2 5 4 2 4" xfId="13101" xr:uid="{8D55D725-3615-4DBC-B897-4D7603AE8E77}"/>
    <cellStyle name="Comma 4 2 2 5 4 2 5" xfId="29995" xr:uid="{10442631-B74F-4DFE-B656-24D9F7BA26BD}"/>
    <cellStyle name="Comma 4 2 2 5 4 3" xfId="5847" xr:uid="{00000000-0005-0000-0000-00004D080000}"/>
    <cellStyle name="Comma 4 2 2 5 4 3 2" xfId="23620" xr:uid="{E805A42E-0741-4DF8-8208-37DA0BE703D8}"/>
    <cellStyle name="Comma 4 2 2 5 4 3 2 2" xfId="40514" xr:uid="{86839E6A-1281-4D88-9455-83DA60B8890B}"/>
    <cellStyle name="Comma 4 2 2 5 4 3 3" xfId="15173" xr:uid="{8503CBA3-62DB-4EBC-9E5F-7562826450D8}"/>
    <cellStyle name="Comma 4 2 2 5 4 3 4" xfId="32067" xr:uid="{44073F47-38CC-4752-960D-95C0089025CC}"/>
    <cellStyle name="Comma 4 2 2 5 4 4" xfId="19403" xr:uid="{038E9B44-8A02-44E8-A450-3B8EB274A5C7}"/>
    <cellStyle name="Comma 4 2 2 5 4 4 2" xfId="36297" xr:uid="{C98B5BA8-D9A9-4330-9BB5-1676F711BD30}"/>
    <cellStyle name="Comma 4 2 2 5 4 5" xfId="10956" xr:uid="{985C992E-BF9B-493A-A9EA-B729BBDB7226}"/>
    <cellStyle name="Comma 4 2 2 5 4 6" xfId="27850" xr:uid="{C24BFA02-4D2A-4D0B-B864-D9A76225936E}"/>
    <cellStyle name="Comma 4 2 2 5 5" xfId="1954" xr:uid="{00000000-0005-0000-0000-00004E080000}"/>
    <cellStyle name="Comma 4 2 2 5 5 2" xfId="4183" xr:uid="{00000000-0005-0000-0000-00004F080000}"/>
    <cellStyle name="Comma 4 2 2 5 5 2 2" xfId="8405" xr:uid="{00000000-0005-0000-0000-000050080000}"/>
    <cellStyle name="Comma 4 2 2 5 5 2 2 2" xfId="26178" xr:uid="{D9B69ABC-905F-4DD2-9774-657C5840D8DD}"/>
    <cellStyle name="Comma 4 2 2 5 5 2 2 2 2" xfId="43072" xr:uid="{1DCE4349-5CB2-42BD-9366-B492898C48CC}"/>
    <cellStyle name="Comma 4 2 2 5 5 2 2 3" xfId="17731" xr:uid="{1C445047-9C09-4E37-B370-FD93C321A9E8}"/>
    <cellStyle name="Comma 4 2 2 5 5 2 2 4" xfId="34625" xr:uid="{3A888CEF-F732-47C9-A32B-1206DBF892C1}"/>
    <cellStyle name="Comma 4 2 2 5 5 2 3" xfId="21961" xr:uid="{9B9CEDA9-BB0B-4426-8A29-5D39EA269982}"/>
    <cellStyle name="Comma 4 2 2 5 5 2 3 2" xfId="38855" xr:uid="{42DA7DFF-C6D0-4658-934C-0900E13434F5}"/>
    <cellStyle name="Comma 4 2 2 5 5 2 4" xfId="13514" xr:uid="{60C23EF2-2B70-4A74-A3CC-FD18496EC9CF}"/>
    <cellStyle name="Comma 4 2 2 5 5 2 5" xfId="30408" xr:uid="{31944ABF-40C9-45C1-A89F-34410A57AB03}"/>
    <cellStyle name="Comma 4 2 2 5 5 3" xfId="6260" xr:uid="{00000000-0005-0000-0000-000051080000}"/>
    <cellStyle name="Comma 4 2 2 5 5 3 2" xfId="24033" xr:uid="{62CAAE05-F74D-4DFD-8188-416719AFA714}"/>
    <cellStyle name="Comma 4 2 2 5 5 3 2 2" xfId="40927" xr:uid="{7A90F7C3-96AA-4423-9E0B-B40E167C4ECF}"/>
    <cellStyle name="Comma 4 2 2 5 5 3 3" xfId="15586" xr:uid="{A01E3D48-67C1-42EE-8D62-E092365E51E3}"/>
    <cellStyle name="Comma 4 2 2 5 5 3 4" xfId="32480" xr:uid="{F653A551-053D-4BDF-B715-D0DCF6B233F1}"/>
    <cellStyle name="Comma 4 2 2 5 5 4" xfId="19816" xr:uid="{F9282A9E-3442-49F9-A570-501951E0C6C4}"/>
    <cellStyle name="Comma 4 2 2 5 5 4 2" xfId="36710" xr:uid="{870C9BE3-A33C-4AD8-8C33-264197B745E1}"/>
    <cellStyle name="Comma 4 2 2 5 5 5" xfId="11369" xr:uid="{E353D87D-38D3-44CC-9D85-8DA8870617D3}"/>
    <cellStyle name="Comma 4 2 2 5 5 6" xfId="28263" xr:uid="{F69EB793-EF8C-4B83-BC12-5D0E028D1216}"/>
    <cellStyle name="Comma 4 2 2 5 6" xfId="2389" xr:uid="{00000000-0005-0000-0000-000052080000}"/>
    <cellStyle name="Comma 4 2 2 5 6 2" xfId="6673" xr:uid="{00000000-0005-0000-0000-000053080000}"/>
    <cellStyle name="Comma 4 2 2 5 6 2 2" xfId="24446" xr:uid="{95CEAF24-5AC3-49AC-A6B0-DEA63C6C130C}"/>
    <cellStyle name="Comma 4 2 2 5 6 2 2 2" xfId="41340" xr:uid="{1EA55872-1C1E-4187-AB8C-F163C409DD1D}"/>
    <cellStyle name="Comma 4 2 2 5 6 2 3" xfId="15999" xr:uid="{07630BC2-1DE9-4E1F-BE5A-336F6537754D}"/>
    <cellStyle name="Comma 4 2 2 5 6 2 4" xfId="32893" xr:uid="{044F3EF7-EB3E-4CE9-8401-373C2D4BF663}"/>
    <cellStyle name="Comma 4 2 2 5 6 3" xfId="20229" xr:uid="{AA2E8FCA-3AAB-455F-B05C-02DFC490F6C1}"/>
    <cellStyle name="Comma 4 2 2 5 6 3 2" xfId="37123" xr:uid="{B4236D36-21F5-48DE-9881-1B7A371E91C0}"/>
    <cellStyle name="Comma 4 2 2 5 6 4" xfId="11782" xr:uid="{9F80A59F-A75F-4990-B78C-4699846EA461}"/>
    <cellStyle name="Comma 4 2 2 5 6 5" xfId="28676" xr:uid="{BBD52D5A-2EBD-4171-89C1-7AE8F93AA012}"/>
    <cellStyle name="Comma 4 2 2 5 7" xfId="2374" xr:uid="{00000000-0005-0000-0000-000054080000}"/>
    <cellStyle name="Comma 4 2 2 5 8" xfId="2767" xr:uid="{00000000-0005-0000-0000-000055080000}"/>
    <cellStyle name="Comma 4 2 2 5 8 2" xfId="6990" xr:uid="{00000000-0005-0000-0000-000056080000}"/>
    <cellStyle name="Comma 4 2 2 5 8 2 2" xfId="24763" xr:uid="{36B8F59B-5EFE-4301-B78A-70C451E7D7A0}"/>
    <cellStyle name="Comma 4 2 2 5 8 2 2 2" xfId="41657" xr:uid="{CE8432F3-024B-43C3-9566-43A7AEF9E458}"/>
    <cellStyle name="Comma 4 2 2 5 8 2 3" xfId="16316" xr:uid="{F00CACBB-DE5D-4E97-96F2-F333668230A2}"/>
    <cellStyle name="Comma 4 2 2 5 8 2 4" xfId="33210" xr:uid="{C6C7FA10-2915-4DA9-A4E2-3DA9E7F83590}"/>
    <cellStyle name="Comma 4 2 2 5 8 3" xfId="20546" xr:uid="{E72D0365-82BA-4A20-8EDE-1571CC097B3C}"/>
    <cellStyle name="Comma 4 2 2 5 8 3 2" xfId="37440" xr:uid="{577BC0FF-5FE2-411B-B528-231DDA5DFAE1}"/>
    <cellStyle name="Comma 4 2 2 5 8 4" xfId="12099" xr:uid="{D58870DD-BE68-452B-8716-272B78732B57}"/>
    <cellStyle name="Comma 4 2 2 5 8 5" xfId="28993" xr:uid="{D0937EF5-747D-4DBA-B971-6765DAB49510}"/>
    <cellStyle name="Comma 4 2 2 5 9" xfId="4607" xr:uid="{00000000-0005-0000-0000-000057080000}"/>
    <cellStyle name="Comma 4 2 2 5 9 2" xfId="22380" xr:uid="{D6238934-C696-4D61-A98B-37103D15E82A}"/>
    <cellStyle name="Comma 4 2 2 5 9 2 2" xfId="39274" xr:uid="{4E13D6D2-9402-4700-9EAD-66E796F4E75A}"/>
    <cellStyle name="Comma 4 2 2 5 9 3" xfId="13933" xr:uid="{CADA374E-630D-47F7-A2EB-1A6311D7CB39}"/>
    <cellStyle name="Comma 4 2 2 5 9 4" xfId="30827" xr:uid="{C46916EE-4435-4768-B12A-93A5EBF4356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0 2 2" xfId="24764" xr:uid="{B3FA94CC-BDDB-4BBF-8EEA-6A796F79C60B}"/>
    <cellStyle name="Comma 4 2 3 10 2 2 2" xfId="41658" xr:uid="{7FEB941B-9BF9-4BE0-ABFE-2D77E592FB83}"/>
    <cellStyle name="Comma 4 2 3 10 2 3" xfId="16317" xr:uid="{1088D495-263A-46DC-9958-6263F0A6BB0C}"/>
    <cellStyle name="Comma 4 2 3 10 2 4" xfId="33211" xr:uid="{48D90FE3-04A5-4C69-96ED-64E3710270B5}"/>
    <cellStyle name="Comma 4 2 3 10 3" xfId="20547" xr:uid="{A84FFC3E-42A5-433C-9F7F-BACD804CBEC3}"/>
    <cellStyle name="Comma 4 2 3 10 3 2" xfId="37441" xr:uid="{4F03A221-CE54-449C-A152-EE95F54F38B1}"/>
    <cellStyle name="Comma 4 2 3 10 4" xfId="12100" xr:uid="{63ADF180-F9FE-4D71-A6D2-F4408F21B9C9}"/>
    <cellStyle name="Comma 4 2 3 10 5" xfId="28994" xr:uid="{E3E2F301-3297-4CC1-8EEB-5C2CCB113352}"/>
    <cellStyle name="Comma 4 2 3 11" xfId="4608" xr:uid="{00000000-0005-0000-0000-00005B080000}"/>
    <cellStyle name="Comma 4 2 3 11 2" xfId="22381" xr:uid="{B6A904D3-AAC2-4CD1-AFA3-68EFB92596D5}"/>
    <cellStyle name="Comma 4 2 3 11 2 2" xfId="39275" xr:uid="{8FA373AE-D9B7-4ED1-8D52-B2A08D1D2A5F}"/>
    <cellStyle name="Comma 4 2 3 11 3" xfId="13934" xr:uid="{BCF6D7DF-3703-4611-A747-3267F2DF5FDE}"/>
    <cellStyle name="Comma 4 2 3 11 4" xfId="30828" xr:uid="{EA4A90F0-B766-405B-A184-F88C6757B368}"/>
    <cellStyle name="Comma 4 2 3 12" xfId="8805" xr:uid="{C45527F6-07B7-4887-BAF3-A6424444BA3B}"/>
    <cellStyle name="Comma 4 2 3 12 2" xfId="18164" xr:uid="{9F618490-BD78-43E2-A53D-5764A93D8489}"/>
    <cellStyle name="Comma 4 2 3 12 3" xfId="35058" xr:uid="{B66257B9-28F1-4473-8E7D-96892D20CD7E}"/>
    <cellStyle name="Comma 4 2 3 13" xfId="9717" xr:uid="{FF7A3AC9-D5E5-40C9-BEB5-9AD7C16423B9}"/>
    <cellStyle name="Comma 4 2 3 14" xfId="26611" xr:uid="{24835243-042B-44AA-9201-A9B3E2DE68A2}"/>
    <cellStyle name="Comma 4 2 3 2" xfId="137" xr:uid="{00000000-0005-0000-0000-00005C080000}"/>
    <cellStyle name="Comma 4 2 3 2 10" xfId="4609" xr:uid="{00000000-0005-0000-0000-00005D080000}"/>
    <cellStyle name="Comma 4 2 3 2 10 2" xfId="22382" xr:uid="{8C825831-5AC5-4767-8C53-6FC704B3C154}"/>
    <cellStyle name="Comma 4 2 3 2 10 2 2" xfId="39276" xr:uid="{D89816C2-1E32-4ACC-947D-30ADFE8F977E}"/>
    <cellStyle name="Comma 4 2 3 2 10 3" xfId="13935" xr:uid="{E6F80F77-A047-4348-809C-90A4E2AF3F56}"/>
    <cellStyle name="Comma 4 2 3 2 10 4" xfId="30829" xr:uid="{426C4FD5-EA91-45FA-A8B9-0AE6A0D3E3B8}"/>
    <cellStyle name="Comma 4 2 3 2 11" xfId="8908" xr:uid="{E7021C11-E6EB-4392-A0AD-2A78F42B4BB7}"/>
    <cellStyle name="Comma 4 2 3 2 11 2" xfId="18165" xr:uid="{285A2BC8-E185-473F-ABAD-E67103674340}"/>
    <cellStyle name="Comma 4 2 3 2 11 3" xfId="35059" xr:uid="{FC060F2B-A964-4961-AB24-9857B2E36AC7}"/>
    <cellStyle name="Comma 4 2 3 2 12" xfId="9718" xr:uid="{561E29C0-BFF8-4721-9628-E7971DF87BD3}"/>
    <cellStyle name="Comma 4 2 3 2 13" xfId="26612" xr:uid="{790E62BF-5DD6-4C4D-B208-6E9C0717BF7F}"/>
    <cellStyle name="Comma 4 2 3 2 2" xfId="138" xr:uid="{00000000-0005-0000-0000-00005E080000}"/>
    <cellStyle name="Comma 4 2 3 2 2 10" xfId="9115" xr:uid="{1A31CCC4-B2C0-4E0C-B714-855521500FE8}"/>
    <cellStyle name="Comma 4 2 3 2 2 10 2" xfId="18166" xr:uid="{ED735B48-111E-4D04-81AE-F7926717EEBD}"/>
    <cellStyle name="Comma 4 2 3 2 2 10 3" xfId="35060" xr:uid="{CFC7AEBE-250A-4F80-BCCC-E2E12E076258}"/>
    <cellStyle name="Comma 4 2 3 2 2 11" xfId="9719" xr:uid="{4418A0D8-F832-4264-9F94-BC22AEA07C54}"/>
    <cellStyle name="Comma 4 2 3 2 2 12" xfId="26613" xr:uid="{8909868B-4FEF-4E3A-99AF-D84A7461C43C}"/>
    <cellStyle name="Comma 4 2 3 2 2 2" xfId="676" xr:uid="{00000000-0005-0000-0000-00005F080000}"/>
    <cellStyle name="Comma 4 2 3 2 2 2 2" xfId="2947" xr:uid="{00000000-0005-0000-0000-000060080000}"/>
    <cellStyle name="Comma 4 2 3 2 2 2 2 2" xfId="7169" xr:uid="{00000000-0005-0000-0000-000061080000}"/>
    <cellStyle name="Comma 4 2 3 2 2 2 2 2 2" xfId="24942" xr:uid="{419140D6-FA6B-4FAA-9BC1-6CC0610907E5}"/>
    <cellStyle name="Comma 4 2 3 2 2 2 2 2 2 2" xfId="41836" xr:uid="{81C18838-993D-4139-A481-460AA547AAB0}"/>
    <cellStyle name="Comma 4 2 3 2 2 2 2 2 3" xfId="16495" xr:uid="{25EE90EB-25E5-4DCE-BB27-D1DAAE50C7E2}"/>
    <cellStyle name="Comma 4 2 3 2 2 2 2 2 4" xfId="33389" xr:uid="{32756B90-5CCA-406D-9F7B-2B54B030AB10}"/>
    <cellStyle name="Comma 4 2 3 2 2 2 2 3" xfId="20725" xr:uid="{C1C39B78-87FA-4F64-BB5E-F599F8291490}"/>
    <cellStyle name="Comma 4 2 3 2 2 2 2 3 2" xfId="37619" xr:uid="{C79D2886-A4B9-4E55-A13E-B8D8B01EA51B}"/>
    <cellStyle name="Comma 4 2 3 2 2 2 2 4" xfId="12278" xr:uid="{F605BF1F-E156-4A25-9D5B-8A9C72558015}"/>
    <cellStyle name="Comma 4 2 3 2 2 2 2 5" xfId="29172" xr:uid="{71927B73-D048-45B6-B836-7D66017FF5EF}"/>
    <cellStyle name="Comma 4 2 3 2 2 2 3" xfId="5024" xr:uid="{00000000-0005-0000-0000-000062080000}"/>
    <cellStyle name="Comma 4 2 3 2 2 2 3 2" xfId="22797" xr:uid="{C605ACBE-E93A-44E6-8188-73500AC545C2}"/>
    <cellStyle name="Comma 4 2 3 2 2 2 3 2 2" xfId="39691" xr:uid="{84D04D07-C2DC-4836-84DA-E9AE2438C777}"/>
    <cellStyle name="Comma 4 2 3 2 2 2 3 3" xfId="14350" xr:uid="{97094B06-3F42-4252-A9A6-00BC8431543D}"/>
    <cellStyle name="Comma 4 2 3 2 2 2 3 4" xfId="31244" xr:uid="{3DB5EE76-23BB-4F61-AD97-2A65BBB5471E}"/>
    <cellStyle name="Comma 4 2 3 2 2 2 4" xfId="9540" xr:uid="{F922DD27-FEAE-4DB6-894F-26CD58815668}"/>
    <cellStyle name="Comma 4 2 3 2 2 2 4 2" xfId="18580" xr:uid="{86942E70-B025-4E7F-97A1-F5235763781A}"/>
    <cellStyle name="Comma 4 2 3 2 2 2 4 3" xfId="35474" xr:uid="{2C87E382-656E-4E40-9934-853C0EE89CA4}"/>
    <cellStyle name="Comma 4 2 3 2 2 2 5" xfId="10133" xr:uid="{059ED60F-7F98-43A7-96B4-CAF40DC6C5ED}"/>
    <cellStyle name="Comma 4 2 3 2 2 2 6" xfId="27027" xr:uid="{EB7035D1-ABF2-4D13-AF53-E2DA4F6DECCD}"/>
    <cellStyle name="Comma 4 2 3 2 2 3" xfId="1129" xr:uid="{00000000-0005-0000-0000-000063080000}"/>
    <cellStyle name="Comma 4 2 3 2 2 3 2" xfId="3360" xr:uid="{00000000-0005-0000-0000-000064080000}"/>
    <cellStyle name="Comma 4 2 3 2 2 3 2 2" xfId="7582" xr:uid="{00000000-0005-0000-0000-000065080000}"/>
    <cellStyle name="Comma 4 2 3 2 2 3 2 2 2" xfId="25355" xr:uid="{A1ED2BC7-2964-434E-BF93-F2F0232BB3A4}"/>
    <cellStyle name="Comma 4 2 3 2 2 3 2 2 2 2" xfId="42249" xr:uid="{CDF021F6-3E6F-461F-8564-81731F5C9E6C}"/>
    <cellStyle name="Comma 4 2 3 2 2 3 2 2 3" xfId="16908" xr:uid="{F811BA0E-3A73-494C-A1BF-37EB92DF4748}"/>
    <cellStyle name="Comma 4 2 3 2 2 3 2 2 4" xfId="33802" xr:uid="{66BFA3C4-A501-4A79-AD14-015A7BA20A73}"/>
    <cellStyle name="Comma 4 2 3 2 2 3 2 3" xfId="21138" xr:uid="{24C0C185-4D31-4E30-A042-8B3EBF483AD6}"/>
    <cellStyle name="Comma 4 2 3 2 2 3 2 3 2" xfId="38032" xr:uid="{E2FB794B-384B-4715-BCDA-F718F2FC71E2}"/>
    <cellStyle name="Comma 4 2 3 2 2 3 2 4" xfId="12691" xr:uid="{3AF182B0-FDBB-416C-AD4D-12702D9008A1}"/>
    <cellStyle name="Comma 4 2 3 2 2 3 2 5" xfId="29585" xr:uid="{75DA8F20-6187-40D0-96B7-1A3B0B50EBA9}"/>
    <cellStyle name="Comma 4 2 3 2 2 3 3" xfId="5437" xr:uid="{00000000-0005-0000-0000-000066080000}"/>
    <cellStyle name="Comma 4 2 3 2 2 3 3 2" xfId="23210" xr:uid="{EF29956B-DBD5-4DE4-832F-7CB610E1592A}"/>
    <cellStyle name="Comma 4 2 3 2 2 3 3 2 2" xfId="40104" xr:uid="{F54F4F3D-31AC-4E0A-9BE4-239BB227E126}"/>
    <cellStyle name="Comma 4 2 3 2 2 3 3 3" xfId="14763" xr:uid="{F094E0E4-801D-4DCF-8698-77EFD7F5C9F3}"/>
    <cellStyle name="Comma 4 2 3 2 2 3 3 4" xfId="31657" xr:uid="{CEDE2B40-2972-4EF7-A320-09AB57D92C08}"/>
    <cellStyle name="Comma 4 2 3 2 2 3 4" xfId="18993" xr:uid="{8C21D403-76D1-4D7D-8E3D-AA4CF64DE2F0}"/>
    <cellStyle name="Comma 4 2 3 2 2 3 4 2" xfId="35887" xr:uid="{BFB563C5-B6FB-451C-87C9-F02C317706F1}"/>
    <cellStyle name="Comma 4 2 3 2 2 3 5" xfId="10546" xr:uid="{4831FF40-3ACC-41D6-B08F-265D6BAE5CE8}"/>
    <cellStyle name="Comma 4 2 3 2 2 3 6" xfId="27440" xr:uid="{6948C951-E330-4E14-BEBC-2A5187619294}"/>
    <cellStyle name="Comma 4 2 3 2 2 4" xfId="1543" xr:uid="{00000000-0005-0000-0000-000067080000}"/>
    <cellStyle name="Comma 4 2 3 2 2 4 2" xfId="3773" xr:uid="{00000000-0005-0000-0000-000068080000}"/>
    <cellStyle name="Comma 4 2 3 2 2 4 2 2" xfId="7995" xr:uid="{00000000-0005-0000-0000-000069080000}"/>
    <cellStyle name="Comma 4 2 3 2 2 4 2 2 2" xfId="25768" xr:uid="{C99586F5-AEF5-4694-9BCA-600F95505A86}"/>
    <cellStyle name="Comma 4 2 3 2 2 4 2 2 2 2" xfId="42662" xr:uid="{8D403D9A-1C4B-4B12-8B70-97B55F6F00B9}"/>
    <cellStyle name="Comma 4 2 3 2 2 4 2 2 3" xfId="17321" xr:uid="{515C965E-C1D5-4AFE-972B-C282288E6C8E}"/>
    <cellStyle name="Comma 4 2 3 2 2 4 2 2 4" xfId="34215" xr:uid="{BD6BF355-FFF3-4728-BCEF-76B203D21D89}"/>
    <cellStyle name="Comma 4 2 3 2 2 4 2 3" xfId="21551" xr:uid="{A5113663-C2DD-4925-9770-0BC14297ED15}"/>
    <cellStyle name="Comma 4 2 3 2 2 4 2 3 2" xfId="38445" xr:uid="{90935FF4-7602-4AD2-9B15-40407389C025}"/>
    <cellStyle name="Comma 4 2 3 2 2 4 2 4" xfId="13104" xr:uid="{9FE6351F-0FFA-463E-8663-44C8C2F61E20}"/>
    <cellStyle name="Comma 4 2 3 2 2 4 2 5" xfId="29998" xr:uid="{05F0E3C0-CD15-4C38-9F03-9B4812140174}"/>
    <cellStyle name="Comma 4 2 3 2 2 4 3" xfId="5850" xr:uid="{00000000-0005-0000-0000-00006A080000}"/>
    <cellStyle name="Comma 4 2 3 2 2 4 3 2" xfId="23623" xr:uid="{69C284B1-C5DF-4D6D-B483-97DA6F27E6D7}"/>
    <cellStyle name="Comma 4 2 3 2 2 4 3 2 2" xfId="40517" xr:uid="{8D3F3557-5930-4451-B837-F5E47B212B8F}"/>
    <cellStyle name="Comma 4 2 3 2 2 4 3 3" xfId="15176" xr:uid="{E63E3C33-CB96-4F7D-8CDE-6D68E64D2191}"/>
    <cellStyle name="Comma 4 2 3 2 2 4 3 4" xfId="32070" xr:uid="{81778D33-C90D-4F2D-B266-575070C04ADD}"/>
    <cellStyle name="Comma 4 2 3 2 2 4 4" xfId="19406" xr:uid="{8BC23AD7-5EB5-42A3-99E9-12C611D28E7B}"/>
    <cellStyle name="Comma 4 2 3 2 2 4 4 2" xfId="36300" xr:uid="{7D033FE2-E25D-41CD-B08F-601F91CD7C00}"/>
    <cellStyle name="Comma 4 2 3 2 2 4 5" xfId="10959" xr:uid="{F37D648D-9AD3-48FA-B251-A2BC8E35FB16}"/>
    <cellStyle name="Comma 4 2 3 2 2 4 6" xfId="27853" xr:uid="{01B68850-AF8B-4C21-9905-2073D927A88E}"/>
    <cellStyle name="Comma 4 2 3 2 2 5" xfId="1957" xr:uid="{00000000-0005-0000-0000-00006B080000}"/>
    <cellStyle name="Comma 4 2 3 2 2 5 2" xfId="4186" xr:uid="{00000000-0005-0000-0000-00006C080000}"/>
    <cellStyle name="Comma 4 2 3 2 2 5 2 2" xfId="8408" xr:uid="{00000000-0005-0000-0000-00006D080000}"/>
    <cellStyle name="Comma 4 2 3 2 2 5 2 2 2" xfId="26181" xr:uid="{0CEC253C-1000-47B5-B22B-8ECBD9DDA6BA}"/>
    <cellStyle name="Comma 4 2 3 2 2 5 2 2 2 2" xfId="43075" xr:uid="{3F2A1189-99EE-4369-BD5F-99EDD61BE125}"/>
    <cellStyle name="Comma 4 2 3 2 2 5 2 2 3" xfId="17734" xr:uid="{3F2E9136-FE3A-478F-A59F-8E6C02DAAFE6}"/>
    <cellStyle name="Comma 4 2 3 2 2 5 2 2 4" xfId="34628" xr:uid="{3979E20A-42F3-48AC-88B8-D997B8B0862F}"/>
    <cellStyle name="Comma 4 2 3 2 2 5 2 3" xfId="21964" xr:uid="{85E56F67-F8AF-4E5C-99F9-307842BBFF50}"/>
    <cellStyle name="Comma 4 2 3 2 2 5 2 3 2" xfId="38858" xr:uid="{A6DA4E95-B34A-450A-8082-B92E45452B1D}"/>
    <cellStyle name="Comma 4 2 3 2 2 5 2 4" xfId="13517" xr:uid="{C44710FD-C1AE-4628-B38A-268AE7C23C02}"/>
    <cellStyle name="Comma 4 2 3 2 2 5 2 5" xfId="30411" xr:uid="{BDA86ACC-EF92-41E0-9546-3CF3EEE35929}"/>
    <cellStyle name="Comma 4 2 3 2 2 5 3" xfId="6263" xr:uid="{00000000-0005-0000-0000-00006E080000}"/>
    <cellStyle name="Comma 4 2 3 2 2 5 3 2" xfId="24036" xr:uid="{9534B907-FB3E-4BF4-AE0B-359FD94482CD}"/>
    <cellStyle name="Comma 4 2 3 2 2 5 3 2 2" xfId="40930" xr:uid="{E8B2520A-77E0-448F-A361-02750CA02692}"/>
    <cellStyle name="Comma 4 2 3 2 2 5 3 3" xfId="15589" xr:uid="{BAE32D72-1F75-4EA1-B8E8-3DE6949B96AF}"/>
    <cellStyle name="Comma 4 2 3 2 2 5 3 4" xfId="32483" xr:uid="{4FB74D1E-B897-4E66-8F3A-30BF61891D3F}"/>
    <cellStyle name="Comma 4 2 3 2 2 5 4" xfId="19819" xr:uid="{D7AD4531-1379-498A-8EFE-229D63EB0C2F}"/>
    <cellStyle name="Comma 4 2 3 2 2 5 4 2" xfId="36713" xr:uid="{2BB9B9E9-0FD4-4DBE-9D27-C291A41D552C}"/>
    <cellStyle name="Comma 4 2 3 2 2 5 5" xfId="11372" xr:uid="{5CB5A645-59BB-423A-A081-67786036565D}"/>
    <cellStyle name="Comma 4 2 3 2 2 5 6" xfId="28266" xr:uid="{87EA5735-1197-4F37-8701-6B694A90E3A8}"/>
    <cellStyle name="Comma 4 2 3 2 2 6" xfId="2392" xr:uid="{00000000-0005-0000-0000-00006F080000}"/>
    <cellStyle name="Comma 4 2 3 2 2 6 2" xfId="6676" xr:uid="{00000000-0005-0000-0000-000070080000}"/>
    <cellStyle name="Comma 4 2 3 2 2 6 2 2" xfId="24449" xr:uid="{9D770B28-54AA-4446-B20F-75CE5E0BBF75}"/>
    <cellStyle name="Comma 4 2 3 2 2 6 2 2 2" xfId="41343" xr:uid="{DBE52A7B-2480-4E16-9C30-DF188DCD0255}"/>
    <cellStyle name="Comma 4 2 3 2 2 6 2 3" xfId="16002" xr:uid="{A4F3A495-50E6-4E3C-96C0-739E8D0C6D38}"/>
    <cellStyle name="Comma 4 2 3 2 2 6 2 4" xfId="32896" xr:uid="{994A7FFD-16A6-4A2F-8488-0DC7D5AC3168}"/>
    <cellStyle name="Comma 4 2 3 2 2 6 3" xfId="20232" xr:uid="{BC88810B-E505-4209-865A-576D4A9BAF12}"/>
    <cellStyle name="Comma 4 2 3 2 2 6 3 2" xfId="37126" xr:uid="{5A0ED7C9-89F9-4444-936A-3E5CC42F9E36}"/>
    <cellStyle name="Comma 4 2 3 2 2 6 4" xfId="11785" xr:uid="{FE1B86C3-DB90-410F-8E13-5D307A2976C0}"/>
    <cellStyle name="Comma 4 2 3 2 2 6 5" xfId="28679" xr:uid="{28854A1C-5CF1-423C-A53A-38D49490BC0A}"/>
    <cellStyle name="Comma 4 2 3 2 2 7" xfId="2371" xr:uid="{00000000-0005-0000-0000-000071080000}"/>
    <cellStyle name="Comma 4 2 3 2 2 8" xfId="2770" xr:uid="{00000000-0005-0000-0000-000072080000}"/>
    <cellStyle name="Comma 4 2 3 2 2 8 2" xfId="6993" xr:uid="{00000000-0005-0000-0000-000073080000}"/>
    <cellStyle name="Comma 4 2 3 2 2 8 2 2" xfId="24766" xr:uid="{2889DDF0-8051-4949-B930-C6945F9627A7}"/>
    <cellStyle name="Comma 4 2 3 2 2 8 2 2 2" xfId="41660" xr:uid="{F1FB230F-73CE-42DD-A03F-F4751279EBE7}"/>
    <cellStyle name="Comma 4 2 3 2 2 8 2 3" xfId="16319" xr:uid="{6F743E7C-B3C8-4039-86E3-4D9CB2E9F487}"/>
    <cellStyle name="Comma 4 2 3 2 2 8 2 4" xfId="33213" xr:uid="{F48CF5C2-4EA4-4175-A199-63ED246DC229}"/>
    <cellStyle name="Comma 4 2 3 2 2 8 3" xfId="20549" xr:uid="{DE7DC761-DA5D-48EA-A09E-812D38C2E03F}"/>
    <cellStyle name="Comma 4 2 3 2 2 8 3 2" xfId="37443" xr:uid="{4A31B299-218A-41A7-B0CB-D37972AFFE85}"/>
    <cellStyle name="Comma 4 2 3 2 2 8 4" xfId="12102" xr:uid="{A86B17AD-9574-4970-B077-2B3FEA874D4B}"/>
    <cellStyle name="Comma 4 2 3 2 2 8 5" xfId="28996" xr:uid="{A7878845-A532-4DC7-8D43-FF5A724617C8}"/>
    <cellStyle name="Comma 4 2 3 2 2 9" xfId="4610" xr:uid="{00000000-0005-0000-0000-000074080000}"/>
    <cellStyle name="Comma 4 2 3 2 2 9 2" xfId="22383" xr:uid="{9C02D820-E14E-472F-A502-C960A9183942}"/>
    <cellStyle name="Comma 4 2 3 2 2 9 2 2" xfId="39277" xr:uid="{1AA6813B-3AE5-4CA6-9A32-D84065496E97}"/>
    <cellStyle name="Comma 4 2 3 2 2 9 3" xfId="13936" xr:uid="{A32A8542-CE5D-42C2-BB88-F7C7ADD45A61}"/>
    <cellStyle name="Comma 4 2 3 2 2 9 4" xfId="30830" xr:uid="{A75FF134-6B32-423D-89B2-438DB705AFDD}"/>
    <cellStyle name="Comma 4 2 3 2 3" xfId="675" xr:uid="{00000000-0005-0000-0000-000075080000}"/>
    <cellStyle name="Comma 4 2 3 2 3 2" xfId="2946" xr:uid="{00000000-0005-0000-0000-000076080000}"/>
    <cellStyle name="Comma 4 2 3 2 3 2 2" xfId="7168" xr:uid="{00000000-0005-0000-0000-000077080000}"/>
    <cellStyle name="Comma 4 2 3 2 3 2 2 2" xfId="24941" xr:uid="{56C6822B-05F6-4F86-BFCA-27CD05635519}"/>
    <cellStyle name="Comma 4 2 3 2 3 2 2 2 2" xfId="41835" xr:uid="{62AF8E3B-10BE-4862-8D93-2A2475973D59}"/>
    <cellStyle name="Comma 4 2 3 2 3 2 2 3" xfId="16494" xr:uid="{9261CCF8-C339-4337-9827-35009317B013}"/>
    <cellStyle name="Comma 4 2 3 2 3 2 2 4" xfId="33388" xr:uid="{34C7D7CD-B620-4769-BA99-F52268B081FC}"/>
    <cellStyle name="Comma 4 2 3 2 3 2 3" xfId="20724" xr:uid="{B3FF9F1D-89A0-462E-98EB-D0F91BDCDCF2}"/>
    <cellStyle name="Comma 4 2 3 2 3 2 3 2" xfId="37618" xr:uid="{B57D469A-6DAA-488E-B4D9-D8769E24F770}"/>
    <cellStyle name="Comma 4 2 3 2 3 2 4" xfId="12277" xr:uid="{75F3E5CF-37AC-488A-89B4-4C4F0153A6DA}"/>
    <cellStyle name="Comma 4 2 3 2 3 2 5" xfId="29171" xr:uid="{31B6EAE8-1415-4F18-8C01-831673F51ACF}"/>
    <cellStyle name="Comma 4 2 3 2 3 3" xfId="5023" xr:uid="{00000000-0005-0000-0000-000078080000}"/>
    <cellStyle name="Comma 4 2 3 2 3 3 2" xfId="22796" xr:uid="{4E233EFE-7096-4479-A0B5-C41282A2BCC2}"/>
    <cellStyle name="Comma 4 2 3 2 3 3 2 2" xfId="39690" xr:uid="{60D42CCB-B997-4C88-B4B7-C7409E1E2F1A}"/>
    <cellStyle name="Comma 4 2 3 2 3 3 3" xfId="14349" xr:uid="{218C2694-FE90-4198-B2BB-DC84C22ABCF1}"/>
    <cellStyle name="Comma 4 2 3 2 3 3 4" xfId="31243" xr:uid="{5B5B9C21-81C8-4F16-9451-A595F026A29C}"/>
    <cellStyle name="Comma 4 2 3 2 3 4" xfId="9333" xr:uid="{5C974796-1B06-4FA8-AB2A-F6B34628ACD4}"/>
    <cellStyle name="Comma 4 2 3 2 3 4 2" xfId="18579" xr:uid="{F06A7E5C-EE5B-4C4E-A370-8462AC44A50B}"/>
    <cellStyle name="Comma 4 2 3 2 3 4 3" xfId="35473" xr:uid="{1FB92FAF-DBFA-451B-A075-21F691663EC1}"/>
    <cellStyle name="Comma 4 2 3 2 3 5" xfId="10132" xr:uid="{1F58F633-963F-4AC7-AC5A-5B7A6C3CA280}"/>
    <cellStyle name="Comma 4 2 3 2 3 6" xfId="27026" xr:uid="{347560D5-75DB-4531-86BD-13BFEB797A72}"/>
    <cellStyle name="Comma 4 2 3 2 4" xfId="1128" xr:uid="{00000000-0005-0000-0000-000079080000}"/>
    <cellStyle name="Comma 4 2 3 2 4 2" xfId="3359" xr:uid="{00000000-0005-0000-0000-00007A080000}"/>
    <cellStyle name="Comma 4 2 3 2 4 2 2" xfId="7581" xr:uid="{00000000-0005-0000-0000-00007B080000}"/>
    <cellStyle name="Comma 4 2 3 2 4 2 2 2" xfId="25354" xr:uid="{6E486F52-0020-40DE-AB24-E6C13BBEDB07}"/>
    <cellStyle name="Comma 4 2 3 2 4 2 2 2 2" xfId="42248" xr:uid="{A6FC7484-6B24-4CAF-9FE3-8594DDA5BF5A}"/>
    <cellStyle name="Comma 4 2 3 2 4 2 2 3" xfId="16907" xr:uid="{CBD6A6C3-CF7F-4E6A-8BE8-978B045B0EEA}"/>
    <cellStyle name="Comma 4 2 3 2 4 2 2 4" xfId="33801" xr:uid="{3E4E765B-F863-4478-AE05-8B3090EC8944}"/>
    <cellStyle name="Comma 4 2 3 2 4 2 3" xfId="21137" xr:uid="{FE615C69-91D3-41BD-8683-5BF194A9AE41}"/>
    <cellStyle name="Comma 4 2 3 2 4 2 3 2" xfId="38031" xr:uid="{9ED05875-F7F8-4234-ABC0-855935E00A58}"/>
    <cellStyle name="Comma 4 2 3 2 4 2 4" xfId="12690" xr:uid="{16AF9B3D-8612-4322-B461-440CB27765CB}"/>
    <cellStyle name="Comma 4 2 3 2 4 2 5" xfId="29584" xr:uid="{1DBDDD8B-E206-4C2C-A6BE-24007EFBE484}"/>
    <cellStyle name="Comma 4 2 3 2 4 3" xfId="5436" xr:uid="{00000000-0005-0000-0000-00007C080000}"/>
    <cellStyle name="Comma 4 2 3 2 4 3 2" xfId="23209" xr:uid="{6F5A49A1-4D43-478E-8F93-D013B8253EAA}"/>
    <cellStyle name="Comma 4 2 3 2 4 3 2 2" xfId="40103" xr:uid="{08F97245-FED8-4F95-9EAB-EC4E4FC8B985}"/>
    <cellStyle name="Comma 4 2 3 2 4 3 3" xfId="14762" xr:uid="{51AF27FD-5E59-431E-98E3-740B30C17599}"/>
    <cellStyle name="Comma 4 2 3 2 4 3 4" xfId="31656" xr:uid="{263344B6-8BA6-46B9-A25B-FE8BDC08D9D2}"/>
    <cellStyle name="Comma 4 2 3 2 4 4" xfId="18992" xr:uid="{A9B83019-9240-4F31-8547-3C2D8F33B9C7}"/>
    <cellStyle name="Comma 4 2 3 2 4 4 2" xfId="35886" xr:uid="{2A83462E-C63B-47B9-B924-CD82AB4F6327}"/>
    <cellStyle name="Comma 4 2 3 2 4 5" xfId="10545" xr:uid="{45BE638F-F409-437D-9810-44BC9E8EF104}"/>
    <cellStyle name="Comma 4 2 3 2 4 6" xfId="27439" xr:uid="{DB3D4672-AA3F-4BBC-9825-AC6883047CE7}"/>
    <cellStyle name="Comma 4 2 3 2 5" xfId="1542" xr:uid="{00000000-0005-0000-0000-00007D080000}"/>
    <cellStyle name="Comma 4 2 3 2 5 2" xfId="3772" xr:uid="{00000000-0005-0000-0000-00007E080000}"/>
    <cellStyle name="Comma 4 2 3 2 5 2 2" xfId="7994" xr:uid="{00000000-0005-0000-0000-00007F080000}"/>
    <cellStyle name="Comma 4 2 3 2 5 2 2 2" xfId="25767" xr:uid="{8D46E14C-7FE9-4135-A47F-DC953E795B4A}"/>
    <cellStyle name="Comma 4 2 3 2 5 2 2 2 2" xfId="42661" xr:uid="{B146E43E-C792-4F67-A44C-F76D41791055}"/>
    <cellStyle name="Comma 4 2 3 2 5 2 2 3" xfId="17320" xr:uid="{A843B09D-F30E-4BAC-ACC3-3FB3795FA59B}"/>
    <cellStyle name="Comma 4 2 3 2 5 2 2 4" xfId="34214" xr:uid="{AAB7D826-EA3D-4942-B0AB-B84D7761D052}"/>
    <cellStyle name="Comma 4 2 3 2 5 2 3" xfId="21550" xr:uid="{51D09EA6-0DB7-4126-9E57-ECFA1AB5C490}"/>
    <cellStyle name="Comma 4 2 3 2 5 2 3 2" xfId="38444" xr:uid="{4C0F216A-4B98-4A6B-A520-7113807779DD}"/>
    <cellStyle name="Comma 4 2 3 2 5 2 4" xfId="13103" xr:uid="{7A7354E0-EA7D-4AFA-8B08-A82AD1BD2E76}"/>
    <cellStyle name="Comma 4 2 3 2 5 2 5" xfId="29997" xr:uid="{A4E1A95D-9D1D-49E5-BC5A-77B35C919175}"/>
    <cellStyle name="Comma 4 2 3 2 5 3" xfId="5849" xr:uid="{00000000-0005-0000-0000-000080080000}"/>
    <cellStyle name="Comma 4 2 3 2 5 3 2" xfId="23622" xr:uid="{4BD436EC-B5B7-4F90-8C92-DDD29D726F6F}"/>
    <cellStyle name="Comma 4 2 3 2 5 3 2 2" xfId="40516" xr:uid="{D76FD736-0817-4735-8894-899026C1B8DA}"/>
    <cellStyle name="Comma 4 2 3 2 5 3 3" xfId="15175" xr:uid="{68ABC1C3-3FCD-45A9-AE6E-6F6B87541C7C}"/>
    <cellStyle name="Comma 4 2 3 2 5 3 4" xfId="32069" xr:uid="{7F7E86DC-1016-4AF0-B04C-5B0B0D8F9058}"/>
    <cellStyle name="Comma 4 2 3 2 5 4" xfId="19405" xr:uid="{8B4519AF-5723-4280-9AE4-B7FB8F17329B}"/>
    <cellStyle name="Comma 4 2 3 2 5 4 2" xfId="36299" xr:uid="{BAA56A9D-2979-464B-A19C-0025770AB862}"/>
    <cellStyle name="Comma 4 2 3 2 5 5" xfId="10958" xr:uid="{9FABD132-0F32-408E-85A9-0DB35492C148}"/>
    <cellStyle name="Comma 4 2 3 2 5 6" xfId="27852" xr:uid="{253482C8-F232-4736-9720-DCF7EE6E90FC}"/>
    <cellStyle name="Comma 4 2 3 2 6" xfId="1956" xr:uid="{00000000-0005-0000-0000-000081080000}"/>
    <cellStyle name="Comma 4 2 3 2 6 2" xfId="4185" xr:uid="{00000000-0005-0000-0000-000082080000}"/>
    <cellStyle name="Comma 4 2 3 2 6 2 2" xfId="8407" xr:uid="{00000000-0005-0000-0000-000083080000}"/>
    <cellStyle name="Comma 4 2 3 2 6 2 2 2" xfId="26180" xr:uid="{57F932BA-9174-4EE2-ADF6-7DC17A6AD04B}"/>
    <cellStyle name="Comma 4 2 3 2 6 2 2 2 2" xfId="43074" xr:uid="{1855AEA6-932F-4526-867F-CEFBE27CB010}"/>
    <cellStyle name="Comma 4 2 3 2 6 2 2 3" xfId="17733" xr:uid="{1CEDC91E-E991-4152-A3E4-DA25AF53FE8F}"/>
    <cellStyle name="Comma 4 2 3 2 6 2 2 4" xfId="34627" xr:uid="{428214EA-0011-4297-B485-AD5C0BC6E427}"/>
    <cellStyle name="Comma 4 2 3 2 6 2 3" xfId="21963" xr:uid="{C7A9914D-0D69-4EA6-BE3A-F14063B37946}"/>
    <cellStyle name="Comma 4 2 3 2 6 2 3 2" xfId="38857" xr:uid="{0FD67A78-805E-45F7-B154-820FBE92AC5B}"/>
    <cellStyle name="Comma 4 2 3 2 6 2 4" xfId="13516" xr:uid="{36B5B06A-A0B6-4DBA-A278-467B5E7AD103}"/>
    <cellStyle name="Comma 4 2 3 2 6 2 5" xfId="30410" xr:uid="{7E06F6AF-A94F-4613-9EE6-8C165FCE6BBE}"/>
    <cellStyle name="Comma 4 2 3 2 6 3" xfId="6262" xr:uid="{00000000-0005-0000-0000-000084080000}"/>
    <cellStyle name="Comma 4 2 3 2 6 3 2" xfId="24035" xr:uid="{028D0F19-450B-4B9C-BA89-B1DC7E7E993B}"/>
    <cellStyle name="Comma 4 2 3 2 6 3 2 2" xfId="40929" xr:uid="{A365ECAF-6957-4814-A9DE-2DB9EAD1611A}"/>
    <cellStyle name="Comma 4 2 3 2 6 3 3" xfId="15588" xr:uid="{01D08241-FA88-4D94-9F8C-17DF60166146}"/>
    <cellStyle name="Comma 4 2 3 2 6 3 4" xfId="32482" xr:uid="{9E94EA5D-0F7B-46A8-A01B-1612DA16E547}"/>
    <cellStyle name="Comma 4 2 3 2 6 4" xfId="19818" xr:uid="{563C4780-C778-4DCB-AF27-46331EDB7E7C}"/>
    <cellStyle name="Comma 4 2 3 2 6 4 2" xfId="36712" xr:uid="{0515CC63-C061-4992-AC37-136F2863565C}"/>
    <cellStyle name="Comma 4 2 3 2 6 5" xfId="11371" xr:uid="{868E39F3-9568-45A3-83A0-DBDC29DD3CE0}"/>
    <cellStyle name="Comma 4 2 3 2 6 6" xfId="28265" xr:uid="{12E80D88-CB67-42F1-9E10-DA406591DAB2}"/>
    <cellStyle name="Comma 4 2 3 2 7" xfId="2391" xr:uid="{00000000-0005-0000-0000-000085080000}"/>
    <cellStyle name="Comma 4 2 3 2 7 2" xfId="6675" xr:uid="{00000000-0005-0000-0000-000086080000}"/>
    <cellStyle name="Comma 4 2 3 2 7 2 2" xfId="24448" xr:uid="{44A3890D-0DE8-4A1B-97D2-9FE3E0CFCE2F}"/>
    <cellStyle name="Comma 4 2 3 2 7 2 2 2" xfId="41342" xr:uid="{4809BA29-63AA-4CAB-834D-7C6F83566858}"/>
    <cellStyle name="Comma 4 2 3 2 7 2 3" xfId="16001" xr:uid="{000CF372-A6D0-44D8-9B53-839E0A2089B4}"/>
    <cellStyle name="Comma 4 2 3 2 7 2 4" xfId="32895" xr:uid="{6FB4EE11-EE38-48C5-B036-2791719A252E}"/>
    <cellStyle name="Comma 4 2 3 2 7 3" xfId="20231" xr:uid="{E51B75C0-726B-44A4-B687-D3589711234F}"/>
    <cellStyle name="Comma 4 2 3 2 7 3 2" xfId="37125" xr:uid="{C1E55516-DD5B-4207-8486-DE6E445794BB}"/>
    <cellStyle name="Comma 4 2 3 2 7 4" xfId="11784" xr:uid="{FDD76A7D-010E-432B-A630-704E02B14429}"/>
    <cellStyle name="Comma 4 2 3 2 7 5" xfId="28678" xr:uid="{0E44A9A6-045F-4339-AEBF-2391C770E964}"/>
    <cellStyle name="Comma 4 2 3 2 8" xfId="2372" xr:uid="{00000000-0005-0000-0000-000087080000}"/>
    <cellStyle name="Comma 4 2 3 2 9" xfId="2769" xr:uid="{00000000-0005-0000-0000-000088080000}"/>
    <cellStyle name="Comma 4 2 3 2 9 2" xfId="6992" xr:uid="{00000000-0005-0000-0000-000089080000}"/>
    <cellStyle name="Comma 4 2 3 2 9 2 2" xfId="24765" xr:uid="{D4C5CF24-2768-4AAB-967D-C37F298C3404}"/>
    <cellStyle name="Comma 4 2 3 2 9 2 2 2" xfId="41659" xr:uid="{0CEBC3F5-F8FA-461E-88A7-1F6EA6F2BE77}"/>
    <cellStyle name="Comma 4 2 3 2 9 2 3" xfId="16318" xr:uid="{5927BE34-C7F0-4985-9D59-35EB19D86340}"/>
    <cellStyle name="Comma 4 2 3 2 9 2 4" xfId="33212" xr:uid="{C998FE7D-50BC-4F48-967E-A5419D5D515F}"/>
    <cellStyle name="Comma 4 2 3 2 9 3" xfId="20548" xr:uid="{7038755F-FDB1-42AF-A5CD-3C78DAD45D23}"/>
    <cellStyle name="Comma 4 2 3 2 9 3 2" xfId="37442" xr:uid="{23012DF5-F272-4381-B4ED-1C35A07002A6}"/>
    <cellStyle name="Comma 4 2 3 2 9 4" xfId="12101" xr:uid="{C37FEBC4-6B32-41B3-951A-1786A558EA8B}"/>
    <cellStyle name="Comma 4 2 3 2 9 5" xfId="28995" xr:uid="{307AEC4A-B844-4A3B-9C88-910FD23C427B}"/>
    <cellStyle name="Comma 4 2 3 3" xfId="139" xr:uid="{00000000-0005-0000-0000-00008A080000}"/>
    <cellStyle name="Comma 4 2 3 3 10" xfId="9012" xr:uid="{61C0F117-76A9-43CA-B381-88B2CFF6294C}"/>
    <cellStyle name="Comma 4 2 3 3 10 2" xfId="18167" xr:uid="{3355E238-127F-41DE-BD89-D4A30E396C7D}"/>
    <cellStyle name="Comma 4 2 3 3 10 3" xfId="35061" xr:uid="{3A5872C0-525F-4EE8-83BE-21EF4EFBD3BC}"/>
    <cellStyle name="Comma 4 2 3 3 11" xfId="9720" xr:uid="{948B88BC-5F66-41F7-AF90-9A36DB6C68EF}"/>
    <cellStyle name="Comma 4 2 3 3 12" xfId="26614" xr:uid="{A24EE4A6-D09C-4A7D-A0E1-AB43596C05E2}"/>
    <cellStyle name="Comma 4 2 3 3 2" xfId="677" xr:uid="{00000000-0005-0000-0000-00008B080000}"/>
    <cellStyle name="Comma 4 2 3 3 2 2" xfId="2948" xr:uid="{00000000-0005-0000-0000-00008C080000}"/>
    <cellStyle name="Comma 4 2 3 3 2 2 2" xfId="7170" xr:uid="{00000000-0005-0000-0000-00008D080000}"/>
    <cellStyle name="Comma 4 2 3 3 2 2 2 2" xfId="24943" xr:uid="{899EEF73-3533-40B0-9D9A-1A0EFF7591D0}"/>
    <cellStyle name="Comma 4 2 3 3 2 2 2 2 2" xfId="41837" xr:uid="{64732DCF-8D48-4AB7-897E-D5D0D64FE834}"/>
    <cellStyle name="Comma 4 2 3 3 2 2 2 3" xfId="16496" xr:uid="{D27E4B57-9939-4627-9FCC-DF8F5CD78870}"/>
    <cellStyle name="Comma 4 2 3 3 2 2 2 4" xfId="33390" xr:uid="{3C6B9939-8B82-4CE7-BF38-A9065E49E090}"/>
    <cellStyle name="Comma 4 2 3 3 2 2 3" xfId="20726" xr:uid="{EEE5EA29-25EA-4BD9-8D86-C052DC47A572}"/>
    <cellStyle name="Comma 4 2 3 3 2 2 3 2" xfId="37620" xr:uid="{11C5F8A5-9F21-4E94-81CE-148F0533AA07}"/>
    <cellStyle name="Comma 4 2 3 3 2 2 4" xfId="12279" xr:uid="{9A53CE11-DD08-4BB4-942C-CE3A57194D7C}"/>
    <cellStyle name="Comma 4 2 3 3 2 2 5" xfId="29173" xr:uid="{91232FB4-4AA0-4D8C-969A-4A9E686BBD56}"/>
    <cellStyle name="Comma 4 2 3 3 2 3" xfId="5025" xr:uid="{00000000-0005-0000-0000-00008E080000}"/>
    <cellStyle name="Comma 4 2 3 3 2 3 2" xfId="22798" xr:uid="{78015B6D-FB7E-429D-A600-19013C77614C}"/>
    <cellStyle name="Comma 4 2 3 3 2 3 2 2" xfId="39692" xr:uid="{9A9744F1-2ADE-4D27-87AA-0B803B7E3976}"/>
    <cellStyle name="Comma 4 2 3 3 2 3 3" xfId="14351" xr:uid="{2D1611F9-C641-4384-A75C-DE679F4077C8}"/>
    <cellStyle name="Comma 4 2 3 3 2 3 4" xfId="31245" xr:uid="{2A3E5A4D-6B10-4987-ACA6-A7483D2FBB43}"/>
    <cellStyle name="Comma 4 2 3 3 2 4" xfId="9437" xr:uid="{35C6809B-E49F-4A7F-8CB1-650474E72B0A}"/>
    <cellStyle name="Comma 4 2 3 3 2 4 2" xfId="18581" xr:uid="{2185EB3B-68BA-4828-8B2B-AABA0785CE58}"/>
    <cellStyle name="Comma 4 2 3 3 2 4 3" xfId="35475" xr:uid="{FCEA8713-8BEE-4006-BF9D-73567169A162}"/>
    <cellStyle name="Comma 4 2 3 3 2 5" xfId="10134" xr:uid="{41F6866D-2807-49C7-87EA-07A874AF624C}"/>
    <cellStyle name="Comma 4 2 3 3 2 6" xfId="27028" xr:uid="{2168E515-85A7-42B5-8666-2B1398F7FF3C}"/>
    <cellStyle name="Comma 4 2 3 3 3" xfId="1130" xr:uid="{00000000-0005-0000-0000-00008F080000}"/>
    <cellStyle name="Comma 4 2 3 3 3 2" xfId="3361" xr:uid="{00000000-0005-0000-0000-000090080000}"/>
    <cellStyle name="Comma 4 2 3 3 3 2 2" xfId="7583" xr:uid="{00000000-0005-0000-0000-000091080000}"/>
    <cellStyle name="Comma 4 2 3 3 3 2 2 2" xfId="25356" xr:uid="{1122A93F-B52C-481B-AE48-5A0E64B6BCFD}"/>
    <cellStyle name="Comma 4 2 3 3 3 2 2 2 2" xfId="42250" xr:uid="{1EF9B53A-75EF-45B6-9D39-7272F9A59F3E}"/>
    <cellStyle name="Comma 4 2 3 3 3 2 2 3" xfId="16909" xr:uid="{0D67F162-E4E1-460A-ADC6-DC33A0B9D49D}"/>
    <cellStyle name="Comma 4 2 3 3 3 2 2 4" xfId="33803" xr:uid="{84CD342B-2ACA-4B8C-99C1-1063028DF9B3}"/>
    <cellStyle name="Comma 4 2 3 3 3 2 3" xfId="21139" xr:uid="{42A19E16-ED73-4FAE-9A92-0450D3E8CDC5}"/>
    <cellStyle name="Comma 4 2 3 3 3 2 3 2" xfId="38033" xr:uid="{09F9B09A-D284-452F-AF64-CA94828F50D3}"/>
    <cellStyle name="Comma 4 2 3 3 3 2 4" xfId="12692" xr:uid="{DD6A4BBE-212C-4B0D-BACA-CF67B3336995}"/>
    <cellStyle name="Comma 4 2 3 3 3 2 5" xfId="29586" xr:uid="{19374C19-8023-4EA0-B109-1B64C5596269}"/>
    <cellStyle name="Comma 4 2 3 3 3 3" xfId="5438" xr:uid="{00000000-0005-0000-0000-000092080000}"/>
    <cellStyle name="Comma 4 2 3 3 3 3 2" xfId="23211" xr:uid="{E2B16D1E-DA89-4F03-B59E-1A2313FA4041}"/>
    <cellStyle name="Comma 4 2 3 3 3 3 2 2" xfId="40105" xr:uid="{8CCE8792-E4C1-4A6F-8AAA-E18BFE18E7FF}"/>
    <cellStyle name="Comma 4 2 3 3 3 3 3" xfId="14764" xr:uid="{0E7E2F7A-1FCE-4806-AD27-50434C53787D}"/>
    <cellStyle name="Comma 4 2 3 3 3 3 4" xfId="31658" xr:uid="{AD16B033-4CAF-461A-BFE5-9D8D98084166}"/>
    <cellStyle name="Comma 4 2 3 3 3 4" xfId="18994" xr:uid="{BE54E918-BBA2-4D69-BFC8-CDE4F847743D}"/>
    <cellStyle name="Comma 4 2 3 3 3 4 2" xfId="35888" xr:uid="{444D9E59-A932-4B1B-9FBA-B5C9683C0739}"/>
    <cellStyle name="Comma 4 2 3 3 3 5" xfId="10547" xr:uid="{763A259B-40C6-4E53-A8EC-0B58CB6AABB5}"/>
    <cellStyle name="Comma 4 2 3 3 3 6" xfId="27441" xr:uid="{9B9895F6-8B45-4B9B-AF37-76A81BA6ECE6}"/>
    <cellStyle name="Comma 4 2 3 3 4" xfId="1544" xr:uid="{00000000-0005-0000-0000-000093080000}"/>
    <cellStyle name="Comma 4 2 3 3 4 2" xfId="3774" xr:uid="{00000000-0005-0000-0000-000094080000}"/>
    <cellStyle name="Comma 4 2 3 3 4 2 2" xfId="7996" xr:uid="{00000000-0005-0000-0000-000095080000}"/>
    <cellStyle name="Comma 4 2 3 3 4 2 2 2" xfId="25769" xr:uid="{D0252DF8-2EDD-435D-9657-EF8112D3E987}"/>
    <cellStyle name="Comma 4 2 3 3 4 2 2 2 2" xfId="42663" xr:uid="{03A89916-3E54-4D93-B5DF-15A1C7D70409}"/>
    <cellStyle name="Comma 4 2 3 3 4 2 2 3" xfId="17322" xr:uid="{9E068298-C488-4ABD-87FD-58B7F1B6E177}"/>
    <cellStyle name="Comma 4 2 3 3 4 2 2 4" xfId="34216" xr:uid="{62F2753E-3A80-4EF0-92A9-4A8EACCBDD60}"/>
    <cellStyle name="Comma 4 2 3 3 4 2 3" xfId="21552" xr:uid="{90A010DA-FC34-45BA-8D88-8BE8D4F3416F}"/>
    <cellStyle name="Comma 4 2 3 3 4 2 3 2" xfId="38446" xr:uid="{F8A9CBB2-EF64-460A-BA1A-83376ECE66B1}"/>
    <cellStyle name="Comma 4 2 3 3 4 2 4" xfId="13105" xr:uid="{4AD3E425-1658-45BF-AA3F-C8A621CB6857}"/>
    <cellStyle name="Comma 4 2 3 3 4 2 5" xfId="29999" xr:uid="{7F5FB24F-AD59-48EB-881B-314B490CAE0D}"/>
    <cellStyle name="Comma 4 2 3 3 4 3" xfId="5851" xr:uid="{00000000-0005-0000-0000-000096080000}"/>
    <cellStyle name="Comma 4 2 3 3 4 3 2" xfId="23624" xr:uid="{29EFB717-3856-4B63-A9EE-797E6600AB07}"/>
    <cellStyle name="Comma 4 2 3 3 4 3 2 2" xfId="40518" xr:uid="{38389BCC-92A2-4395-9CBA-9171BD379EAD}"/>
    <cellStyle name="Comma 4 2 3 3 4 3 3" xfId="15177" xr:uid="{0D4979DA-FCAF-4E3B-9F2E-E9689A28ED11}"/>
    <cellStyle name="Comma 4 2 3 3 4 3 4" xfId="32071" xr:uid="{FE8DA877-459C-4C9A-A64A-D683C7A1F045}"/>
    <cellStyle name="Comma 4 2 3 3 4 4" xfId="19407" xr:uid="{C793F31E-FFBB-45CF-9506-21CE35A38AD2}"/>
    <cellStyle name="Comma 4 2 3 3 4 4 2" xfId="36301" xr:uid="{CD54BF91-1B04-469E-A0DD-A6D2D0AADF6C}"/>
    <cellStyle name="Comma 4 2 3 3 4 5" xfId="10960" xr:uid="{EB2F561C-A260-485D-B23F-EE6EE3599AB2}"/>
    <cellStyle name="Comma 4 2 3 3 4 6" xfId="27854" xr:uid="{9E439305-2316-4504-BCB6-E940F984F369}"/>
    <cellStyle name="Comma 4 2 3 3 5" xfId="1958" xr:uid="{00000000-0005-0000-0000-000097080000}"/>
    <cellStyle name="Comma 4 2 3 3 5 2" xfId="4187" xr:uid="{00000000-0005-0000-0000-000098080000}"/>
    <cellStyle name="Comma 4 2 3 3 5 2 2" xfId="8409" xr:uid="{00000000-0005-0000-0000-000099080000}"/>
    <cellStyle name="Comma 4 2 3 3 5 2 2 2" xfId="26182" xr:uid="{FBB56E20-2CA4-4AA2-9B86-8226137E4482}"/>
    <cellStyle name="Comma 4 2 3 3 5 2 2 2 2" xfId="43076" xr:uid="{DBFA46E0-91B7-4ED6-A901-E005E77132BB}"/>
    <cellStyle name="Comma 4 2 3 3 5 2 2 3" xfId="17735" xr:uid="{0BEF4684-A7E2-4B5A-BEA8-94D16F49F5E8}"/>
    <cellStyle name="Comma 4 2 3 3 5 2 2 4" xfId="34629" xr:uid="{ABDEB168-328F-4067-91DD-824C059F0698}"/>
    <cellStyle name="Comma 4 2 3 3 5 2 3" xfId="21965" xr:uid="{E3B396B8-2F5E-4D1B-BA9A-79E8BC07A3D7}"/>
    <cellStyle name="Comma 4 2 3 3 5 2 3 2" xfId="38859" xr:uid="{C9BF17F4-B787-4AE6-BBE0-6D540685BBBF}"/>
    <cellStyle name="Comma 4 2 3 3 5 2 4" xfId="13518" xr:uid="{A01C3D1D-AE57-4B09-9089-47D251EFBBAF}"/>
    <cellStyle name="Comma 4 2 3 3 5 2 5" xfId="30412" xr:uid="{50488E53-FB16-4314-A04E-62FF4999AA40}"/>
    <cellStyle name="Comma 4 2 3 3 5 3" xfId="6264" xr:uid="{00000000-0005-0000-0000-00009A080000}"/>
    <cellStyle name="Comma 4 2 3 3 5 3 2" xfId="24037" xr:uid="{376E2D2F-E464-4E04-9A09-74BA36C36C6A}"/>
    <cellStyle name="Comma 4 2 3 3 5 3 2 2" xfId="40931" xr:uid="{B5D96D68-7E6A-470B-ACB5-6D8D3C28099C}"/>
    <cellStyle name="Comma 4 2 3 3 5 3 3" xfId="15590" xr:uid="{5C2489DD-E78D-403E-8DD4-890EEF5FF15F}"/>
    <cellStyle name="Comma 4 2 3 3 5 3 4" xfId="32484" xr:uid="{C4455137-B6F6-4332-91E2-A7F6B2316583}"/>
    <cellStyle name="Comma 4 2 3 3 5 4" xfId="19820" xr:uid="{76CD61D7-D46D-43A9-B827-C6F156FEF8FF}"/>
    <cellStyle name="Comma 4 2 3 3 5 4 2" xfId="36714" xr:uid="{2579E4EE-7576-42C2-901E-FB5F14EF1244}"/>
    <cellStyle name="Comma 4 2 3 3 5 5" xfId="11373" xr:uid="{1D74F92D-EC63-4D00-903C-B782A450A442}"/>
    <cellStyle name="Comma 4 2 3 3 5 6" xfId="28267" xr:uid="{6CADB3DF-8A7B-45DA-8DBC-4F0E09EF5C14}"/>
    <cellStyle name="Comma 4 2 3 3 6" xfId="2393" xr:uid="{00000000-0005-0000-0000-00009B080000}"/>
    <cellStyle name="Comma 4 2 3 3 6 2" xfId="6677" xr:uid="{00000000-0005-0000-0000-00009C080000}"/>
    <cellStyle name="Comma 4 2 3 3 6 2 2" xfId="24450" xr:uid="{9C06BEBF-F170-4A46-87FF-D9B9336BA022}"/>
    <cellStyle name="Comma 4 2 3 3 6 2 2 2" xfId="41344" xr:uid="{A5FA3682-76B7-4116-8BFC-338A0F4B433C}"/>
    <cellStyle name="Comma 4 2 3 3 6 2 3" xfId="16003" xr:uid="{99758ED7-435B-49D5-898C-7364BA54FD9B}"/>
    <cellStyle name="Comma 4 2 3 3 6 2 4" xfId="32897" xr:uid="{69D0FC4F-6315-464D-B578-C67B622A9A43}"/>
    <cellStyle name="Comma 4 2 3 3 6 3" xfId="20233" xr:uid="{2BEABC90-D090-4021-AE4E-326FAFBA55EF}"/>
    <cellStyle name="Comma 4 2 3 3 6 3 2" xfId="37127" xr:uid="{F6C59A36-5D1B-4F4B-B51A-7CFE573C531A}"/>
    <cellStyle name="Comma 4 2 3 3 6 4" xfId="11786" xr:uid="{2BE35423-2E51-4581-B55E-2BAB087DC40C}"/>
    <cellStyle name="Comma 4 2 3 3 6 5" xfId="28680" xr:uid="{12646DC5-355E-4CE5-A4FD-E401101AC8B4}"/>
    <cellStyle name="Comma 4 2 3 3 7" xfId="2370" xr:uid="{00000000-0005-0000-0000-00009D080000}"/>
    <cellStyle name="Comma 4 2 3 3 8" xfId="2771" xr:uid="{00000000-0005-0000-0000-00009E080000}"/>
    <cellStyle name="Comma 4 2 3 3 8 2" xfId="6994" xr:uid="{00000000-0005-0000-0000-00009F080000}"/>
    <cellStyle name="Comma 4 2 3 3 8 2 2" xfId="24767" xr:uid="{4F205801-26C0-4EAE-A434-8035D9328141}"/>
    <cellStyle name="Comma 4 2 3 3 8 2 2 2" xfId="41661" xr:uid="{84B933B6-3C50-4FA3-BF28-7E53FB997002}"/>
    <cellStyle name="Comma 4 2 3 3 8 2 3" xfId="16320" xr:uid="{0D24DACD-C9F5-4B85-8DCE-9151BFF542D9}"/>
    <cellStyle name="Comma 4 2 3 3 8 2 4" xfId="33214" xr:uid="{5951CBD2-A133-4590-92A5-2F6F6EF361A1}"/>
    <cellStyle name="Comma 4 2 3 3 8 3" xfId="20550" xr:uid="{3D9907EB-4939-4976-A5CC-D22CE4DEF6C2}"/>
    <cellStyle name="Comma 4 2 3 3 8 3 2" xfId="37444" xr:uid="{580735F5-6ECE-42F2-A439-1B17F46C3C11}"/>
    <cellStyle name="Comma 4 2 3 3 8 4" xfId="12103" xr:uid="{EC1D8B10-9B4E-403B-84E5-78A20A24F5BE}"/>
    <cellStyle name="Comma 4 2 3 3 8 5" xfId="28997" xr:uid="{60FC774D-BCA2-4EAB-809A-E22C897617E5}"/>
    <cellStyle name="Comma 4 2 3 3 9" xfId="4611" xr:uid="{00000000-0005-0000-0000-0000A0080000}"/>
    <cellStyle name="Comma 4 2 3 3 9 2" xfId="22384" xr:uid="{F03C2B7A-DEF9-4CB6-8E54-305FF7689977}"/>
    <cellStyle name="Comma 4 2 3 3 9 2 2" xfId="39278" xr:uid="{141CA463-A891-4289-887D-B287D50359E3}"/>
    <cellStyle name="Comma 4 2 3 3 9 3" xfId="13937" xr:uid="{21962CD8-9D22-40BA-98F2-9C6D9E367377}"/>
    <cellStyle name="Comma 4 2 3 3 9 4" xfId="30831" xr:uid="{BE5620CD-C47E-46F8-B116-EDC82A5FEEB4}"/>
    <cellStyle name="Comma 4 2 3 4" xfId="674" xr:uid="{00000000-0005-0000-0000-0000A1080000}"/>
    <cellStyle name="Comma 4 2 3 4 2" xfId="2945" xr:uid="{00000000-0005-0000-0000-0000A2080000}"/>
    <cellStyle name="Comma 4 2 3 4 2 2" xfId="7167" xr:uid="{00000000-0005-0000-0000-0000A3080000}"/>
    <cellStyle name="Comma 4 2 3 4 2 2 2" xfId="24940" xr:uid="{929C14AA-3805-4C34-8A81-8362A44950DE}"/>
    <cellStyle name="Comma 4 2 3 4 2 2 2 2" xfId="41834" xr:uid="{C5284189-6CE6-4D7F-9469-C43327F18F08}"/>
    <cellStyle name="Comma 4 2 3 4 2 2 3" xfId="16493" xr:uid="{7EA37ECB-8828-4C56-A071-7CD229716405}"/>
    <cellStyle name="Comma 4 2 3 4 2 2 4" xfId="33387" xr:uid="{AAC6F856-D61A-43FC-B623-E0596D3A7459}"/>
    <cellStyle name="Comma 4 2 3 4 2 3" xfId="20723" xr:uid="{1BAB7F93-2B7F-4BDC-8323-E8F78F63F11E}"/>
    <cellStyle name="Comma 4 2 3 4 2 3 2" xfId="37617" xr:uid="{D4331D4E-56CB-47FF-BA26-6D84A1D3AFB7}"/>
    <cellStyle name="Comma 4 2 3 4 2 4" xfId="12276" xr:uid="{0D8AF88C-4A0D-413F-BB91-4860ECE7810A}"/>
    <cellStyle name="Comma 4 2 3 4 2 5" xfId="29170" xr:uid="{9DCB1271-A7FB-4696-BE26-FAE3A48E7A63}"/>
    <cellStyle name="Comma 4 2 3 4 3" xfId="5022" xr:uid="{00000000-0005-0000-0000-0000A4080000}"/>
    <cellStyle name="Comma 4 2 3 4 3 2" xfId="22795" xr:uid="{B99236B6-3D0D-438F-8B54-901483FDFA04}"/>
    <cellStyle name="Comma 4 2 3 4 3 2 2" xfId="39689" xr:uid="{A3A62F50-48FC-44FF-8439-86CF3D481EDE}"/>
    <cellStyle name="Comma 4 2 3 4 3 3" xfId="14348" xr:uid="{C61CAF8C-FCF6-4FFC-978F-CC3E162AAAD2}"/>
    <cellStyle name="Comma 4 2 3 4 3 4" xfId="31242" xr:uid="{B41948E2-5F31-4E25-8C79-BBEB9774181D}"/>
    <cellStyle name="Comma 4 2 3 4 4" xfId="9230" xr:uid="{24B6B749-023F-4009-8785-C6CFE1098E24}"/>
    <cellStyle name="Comma 4 2 3 4 4 2" xfId="18578" xr:uid="{693F576A-6A49-4499-A98B-D3AB244E481B}"/>
    <cellStyle name="Comma 4 2 3 4 4 3" xfId="35472" xr:uid="{557B702A-1FE5-49B9-9838-7004148A8139}"/>
    <cellStyle name="Comma 4 2 3 4 5" xfId="10131" xr:uid="{92E06BDB-B8AC-41B5-84F5-8DC888ED31ED}"/>
    <cellStyle name="Comma 4 2 3 4 6" xfId="27025" xr:uid="{9BABF31B-4837-41E0-B6F4-BD3828492CAC}"/>
    <cellStyle name="Comma 4 2 3 5" xfId="1127" xr:uid="{00000000-0005-0000-0000-0000A5080000}"/>
    <cellStyle name="Comma 4 2 3 5 2" xfId="3358" xr:uid="{00000000-0005-0000-0000-0000A6080000}"/>
    <cellStyle name="Comma 4 2 3 5 2 2" xfId="7580" xr:uid="{00000000-0005-0000-0000-0000A7080000}"/>
    <cellStyle name="Comma 4 2 3 5 2 2 2" xfId="25353" xr:uid="{F3961813-64F7-4FB4-BF49-41FC7D0B55BF}"/>
    <cellStyle name="Comma 4 2 3 5 2 2 2 2" xfId="42247" xr:uid="{DCA33053-8AEB-4364-85E0-8E27FE78EC66}"/>
    <cellStyle name="Comma 4 2 3 5 2 2 3" xfId="16906" xr:uid="{DD70FDD4-AAAC-4866-92C1-1372C9E9F79D}"/>
    <cellStyle name="Comma 4 2 3 5 2 2 4" xfId="33800" xr:uid="{FF32BE32-9BF6-430B-B3A3-EE0F3557F244}"/>
    <cellStyle name="Comma 4 2 3 5 2 3" xfId="21136" xr:uid="{558C3C4A-5A12-4315-B8F9-9A9524AA47E3}"/>
    <cellStyle name="Comma 4 2 3 5 2 3 2" xfId="38030" xr:uid="{424BBB94-D8E6-4F89-8216-D923514C281D}"/>
    <cellStyle name="Comma 4 2 3 5 2 4" xfId="12689" xr:uid="{3AD84478-57FC-48D0-B7B4-CC8FF9CF0B01}"/>
    <cellStyle name="Comma 4 2 3 5 2 5" xfId="29583" xr:uid="{BCFA3F55-6FC2-457C-9F4D-043EDCE3CACF}"/>
    <cellStyle name="Comma 4 2 3 5 3" xfId="5435" xr:uid="{00000000-0005-0000-0000-0000A8080000}"/>
    <cellStyle name="Comma 4 2 3 5 3 2" xfId="23208" xr:uid="{83BDAAA1-8E96-49C1-9406-060A80ABDF8B}"/>
    <cellStyle name="Comma 4 2 3 5 3 2 2" xfId="40102" xr:uid="{6E9AC29B-F371-4AAF-A02B-9EEF28069010}"/>
    <cellStyle name="Comma 4 2 3 5 3 3" xfId="14761" xr:uid="{671DEB33-1B7E-4506-A65D-13F53C603D7C}"/>
    <cellStyle name="Comma 4 2 3 5 3 4" xfId="31655" xr:uid="{8DA7ADDB-38FE-478D-85EA-39A436DB96FC}"/>
    <cellStyle name="Comma 4 2 3 5 4" xfId="18991" xr:uid="{AE19BA21-3B6B-465D-8F7D-FE1091BE01A2}"/>
    <cellStyle name="Comma 4 2 3 5 4 2" xfId="35885" xr:uid="{26CF0749-E476-459B-9BFD-307F439926A3}"/>
    <cellStyle name="Comma 4 2 3 5 5" xfId="10544" xr:uid="{60F3454C-5781-4851-8FAA-D3364616832E}"/>
    <cellStyle name="Comma 4 2 3 5 6" xfId="27438" xr:uid="{890004D5-E6BD-4C89-9BB7-AD93FFA97DD6}"/>
    <cellStyle name="Comma 4 2 3 6" xfId="1541" xr:uid="{00000000-0005-0000-0000-0000A9080000}"/>
    <cellStyle name="Comma 4 2 3 6 2" xfId="3771" xr:uid="{00000000-0005-0000-0000-0000AA080000}"/>
    <cellStyle name="Comma 4 2 3 6 2 2" xfId="7993" xr:uid="{00000000-0005-0000-0000-0000AB080000}"/>
    <cellStyle name="Comma 4 2 3 6 2 2 2" xfId="25766" xr:uid="{70A9CFB4-3B6E-4377-BBA8-2B36DCEE1E2B}"/>
    <cellStyle name="Comma 4 2 3 6 2 2 2 2" xfId="42660" xr:uid="{053CF57F-541F-4FF0-912C-3EF94A65B13C}"/>
    <cellStyle name="Comma 4 2 3 6 2 2 3" xfId="17319" xr:uid="{01582829-4A3F-492E-8C9C-E71FAF142D35}"/>
    <cellStyle name="Comma 4 2 3 6 2 2 4" xfId="34213" xr:uid="{8ACF2588-9616-4DC4-A2CA-B0E13905A05C}"/>
    <cellStyle name="Comma 4 2 3 6 2 3" xfId="21549" xr:uid="{53BC1BC9-EDBB-4C88-831D-090B96A17331}"/>
    <cellStyle name="Comma 4 2 3 6 2 3 2" xfId="38443" xr:uid="{1168BF91-3D8E-43E3-A478-4EE097361429}"/>
    <cellStyle name="Comma 4 2 3 6 2 4" xfId="13102" xr:uid="{B46EA42A-3817-431D-885B-159F68A1324D}"/>
    <cellStyle name="Comma 4 2 3 6 2 5" xfId="29996" xr:uid="{E59FD6DD-90AA-4B9F-B2B2-FCB27D3A6A54}"/>
    <cellStyle name="Comma 4 2 3 6 3" xfId="5848" xr:uid="{00000000-0005-0000-0000-0000AC080000}"/>
    <cellStyle name="Comma 4 2 3 6 3 2" xfId="23621" xr:uid="{0CE08136-728F-44C1-9F68-09B2211303A7}"/>
    <cellStyle name="Comma 4 2 3 6 3 2 2" xfId="40515" xr:uid="{A620FD8E-9E00-487E-BBB0-AE733D984912}"/>
    <cellStyle name="Comma 4 2 3 6 3 3" xfId="15174" xr:uid="{F7D048DB-4706-42A5-B173-B8C9C2C4C136}"/>
    <cellStyle name="Comma 4 2 3 6 3 4" xfId="32068" xr:uid="{533DD3D9-6541-4A4B-9B70-E75E4A52512D}"/>
    <cellStyle name="Comma 4 2 3 6 4" xfId="19404" xr:uid="{BA71B36D-EABD-474C-AEFC-DCFEB806D706}"/>
    <cellStyle name="Comma 4 2 3 6 4 2" xfId="36298" xr:uid="{356FDFB9-92D1-4D6C-B73B-E2E29BBD6CB1}"/>
    <cellStyle name="Comma 4 2 3 6 5" xfId="10957" xr:uid="{CFBA84E2-8695-43AF-89BA-F7F77548EC79}"/>
    <cellStyle name="Comma 4 2 3 6 6" xfId="27851" xr:uid="{256495C7-D468-4AB6-A025-1E34D4E144A6}"/>
    <cellStyle name="Comma 4 2 3 7" xfId="1955" xr:uid="{00000000-0005-0000-0000-0000AD080000}"/>
    <cellStyle name="Comma 4 2 3 7 2" xfId="4184" xr:uid="{00000000-0005-0000-0000-0000AE080000}"/>
    <cellStyle name="Comma 4 2 3 7 2 2" xfId="8406" xr:uid="{00000000-0005-0000-0000-0000AF080000}"/>
    <cellStyle name="Comma 4 2 3 7 2 2 2" xfId="26179" xr:uid="{F3CFA9DF-628C-4725-901F-AFAAE17F5145}"/>
    <cellStyle name="Comma 4 2 3 7 2 2 2 2" xfId="43073" xr:uid="{85380423-5648-4CF7-83D0-44D3A6431D55}"/>
    <cellStyle name="Comma 4 2 3 7 2 2 3" xfId="17732" xr:uid="{3485FEC6-24C4-450E-B882-B338128800E3}"/>
    <cellStyle name="Comma 4 2 3 7 2 2 4" xfId="34626" xr:uid="{5FF79D4B-3039-4046-B774-29C0274AC455}"/>
    <cellStyle name="Comma 4 2 3 7 2 3" xfId="21962" xr:uid="{5C9DA8A9-151F-498B-8360-B5D0C6BD402C}"/>
    <cellStyle name="Comma 4 2 3 7 2 3 2" xfId="38856" xr:uid="{41CAD94E-9781-4107-B299-0BBDB7E45305}"/>
    <cellStyle name="Comma 4 2 3 7 2 4" xfId="13515" xr:uid="{CB6C6537-30CE-43A7-9E1C-7F9204549DF2}"/>
    <cellStyle name="Comma 4 2 3 7 2 5" xfId="30409" xr:uid="{D24D0CF1-C9B5-4F4E-8D4E-398FFD90E331}"/>
    <cellStyle name="Comma 4 2 3 7 3" xfId="6261" xr:uid="{00000000-0005-0000-0000-0000B0080000}"/>
    <cellStyle name="Comma 4 2 3 7 3 2" xfId="24034" xr:uid="{6E68697F-289B-4FC2-BF07-FCCBB2F7A92A}"/>
    <cellStyle name="Comma 4 2 3 7 3 2 2" xfId="40928" xr:uid="{91566084-088B-40B6-AEF0-49CD8BFC3F7F}"/>
    <cellStyle name="Comma 4 2 3 7 3 3" xfId="15587" xr:uid="{101A6806-6203-4371-9A6D-0ACEEB2DE17C}"/>
    <cellStyle name="Comma 4 2 3 7 3 4" xfId="32481" xr:uid="{434A08EB-9A7C-419E-B744-772776FCC574}"/>
    <cellStyle name="Comma 4 2 3 7 4" xfId="19817" xr:uid="{0BCCA255-F220-4D1E-B1AC-B49907B75A55}"/>
    <cellStyle name="Comma 4 2 3 7 4 2" xfId="36711" xr:uid="{9BF54366-B20C-4848-9A16-97243C3B60E4}"/>
    <cellStyle name="Comma 4 2 3 7 5" xfId="11370" xr:uid="{FA908E11-7866-44FF-816B-7F2CF3CB6978}"/>
    <cellStyle name="Comma 4 2 3 7 6" xfId="28264" xr:uid="{2B909C19-7EE8-48FB-85F3-75CD75B6F5AE}"/>
    <cellStyle name="Comma 4 2 3 8" xfId="2390" xr:uid="{00000000-0005-0000-0000-0000B1080000}"/>
    <cellStyle name="Comma 4 2 3 8 2" xfId="6674" xr:uid="{00000000-0005-0000-0000-0000B2080000}"/>
    <cellStyle name="Comma 4 2 3 8 2 2" xfId="24447" xr:uid="{9E84D23C-DF3D-4DAF-B871-E6E0CE2F280C}"/>
    <cellStyle name="Comma 4 2 3 8 2 2 2" xfId="41341" xr:uid="{44F37F6C-414F-49A3-A123-DBA7ECFF910E}"/>
    <cellStyle name="Comma 4 2 3 8 2 3" xfId="16000" xr:uid="{92EBF802-F1A9-4B18-BFD8-301B32CE89FE}"/>
    <cellStyle name="Comma 4 2 3 8 2 4" xfId="32894" xr:uid="{853BC644-6EE4-469D-92CB-F367E22B30AB}"/>
    <cellStyle name="Comma 4 2 3 8 3" xfId="20230" xr:uid="{3247B40C-8E49-4B84-8970-4FBE78CBBED8}"/>
    <cellStyle name="Comma 4 2 3 8 3 2" xfId="37124" xr:uid="{E284FEA0-5968-4F3C-B2E3-0A3C145620A2}"/>
    <cellStyle name="Comma 4 2 3 8 4" xfId="11783" xr:uid="{1E962350-7DCD-4420-A7B9-CB84DAA587BE}"/>
    <cellStyle name="Comma 4 2 3 8 5" xfId="28677" xr:uid="{767B48D1-7CB8-45AC-A03E-E220ACDE33B5}"/>
    <cellStyle name="Comma 4 2 3 9" xfId="2373" xr:uid="{00000000-0005-0000-0000-0000B3080000}"/>
    <cellStyle name="Comma 4 2 4" xfId="140" xr:uid="{00000000-0005-0000-0000-0000B4080000}"/>
    <cellStyle name="Comma 4 2 4 10" xfId="4612" xr:uid="{00000000-0005-0000-0000-0000B5080000}"/>
    <cellStyle name="Comma 4 2 4 10 2" xfId="22385" xr:uid="{9EB13D3D-4167-4801-8E1A-910A4DD73956}"/>
    <cellStyle name="Comma 4 2 4 10 2 2" xfId="39279" xr:uid="{A830A660-CF94-4EA0-B76F-A3926543A338}"/>
    <cellStyle name="Comma 4 2 4 10 3" xfId="13938" xr:uid="{AB2C1A8E-8A37-4F1F-9026-847189440490}"/>
    <cellStyle name="Comma 4 2 4 10 4" xfId="30832" xr:uid="{4648FB4B-1782-4A44-9785-8ABE85DD5EC2}"/>
    <cellStyle name="Comma 4 2 4 11" xfId="8858" xr:uid="{B6A00C95-D04C-44B2-B8AF-67540882256C}"/>
    <cellStyle name="Comma 4 2 4 11 2" xfId="18168" xr:uid="{2DB0634A-437D-4D06-B34A-79438FEFA346}"/>
    <cellStyle name="Comma 4 2 4 11 3" xfId="35062" xr:uid="{F9DCA6C6-D3BB-468D-AB68-48F7CF11AEC3}"/>
    <cellStyle name="Comma 4 2 4 12" xfId="9721" xr:uid="{B4AB28D8-1EB3-4D99-981A-D157725EB9FE}"/>
    <cellStyle name="Comma 4 2 4 13" xfId="26615" xr:uid="{4F48E0F2-9C69-4176-86EA-E149F50DDA41}"/>
    <cellStyle name="Comma 4 2 4 2" xfId="141" xr:uid="{00000000-0005-0000-0000-0000B6080000}"/>
    <cellStyle name="Comma 4 2 4 2 10" xfId="9065" xr:uid="{961AA06A-D943-447E-AADB-49B440E7E7CE}"/>
    <cellStyle name="Comma 4 2 4 2 10 2" xfId="18169" xr:uid="{652B43DF-393B-48C4-BF05-7FF8ECC6765B}"/>
    <cellStyle name="Comma 4 2 4 2 10 3" xfId="35063" xr:uid="{8B6772C9-786C-4E89-AD22-E1D1BF8FD476}"/>
    <cellStyle name="Comma 4 2 4 2 11" xfId="9722" xr:uid="{880D09C0-E5D8-4884-8781-4CA6189E3A8F}"/>
    <cellStyle name="Comma 4 2 4 2 12" xfId="26616" xr:uid="{DF87604F-C962-43A4-96F4-B4A402E0E940}"/>
    <cellStyle name="Comma 4 2 4 2 2" xfId="679" xr:uid="{00000000-0005-0000-0000-0000B7080000}"/>
    <cellStyle name="Comma 4 2 4 2 2 2" xfId="2950" xr:uid="{00000000-0005-0000-0000-0000B8080000}"/>
    <cellStyle name="Comma 4 2 4 2 2 2 2" xfId="7172" xr:uid="{00000000-0005-0000-0000-0000B9080000}"/>
    <cellStyle name="Comma 4 2 4 2 2 2 2 2" xfId="24945" xr:uid="{B076C24D-96C7-47D3-8124-CA4632D63587}"/>
    <cellStyle name="Comma 4 2 4 2 2 2 2 2 2" xfId="41839" xr:uid="{A27D3EB1-7678-4BC5-99B6-BF2ECAB1622A}"/>
    <cellStyle name="Comma 4 2 4 2 2 2 2 3" xfId="16498" xr:uid="{45D46F7E-68DC-4CBF-A5FA-5A9970DE0C9B}"/>
    <cellStyle name="Comma 4 2 4 2 2 2 2 4" xfId="33392" xr:uid="{852BE61B-8FAC-4C51-836D-5284AC6D0011}"/>
    <cellStyle name="Comma 4 2 4 2 2 2 3" xfId="20728" xr:uid="{CE1D0437-2DB7-48F3-8976-8F8E74FE95DC}"/>
    <cellStyle name="Comma 4 2 4 2 2 2 3 2" xfId="37622" xr:uid="{BF3DD235-95EE-4F67-9C15-AFF674666776}"/>
    <cellStyle name="Comma 4 2 4 2 2 2 4" xfId="12281" xr:uid="{22B30F40-D78F-45DE-8A9F-D93E8CD2581F}"/>
    <cellStyle name="Comma 4 2 4 2 2 2 5" xfId="29175" xr:uid="{203F0732-7768-48C8-971F-E96A559A3F6A}"/>
    <cellStyle name="Comma 4 2 4 2 2 3" xfId="5027" xr:uid="{00000000-0005-0000-0000-0000BA080000}"/>
    <cellStyle name="Comma 4 2 4 2 2 3 2" xfId="22800" xr:uid="{19C4A8F5-48BC-490F-853B-143AAC0E2FF2}"/>
    <cellStyle name="Comma 4 2 4 2 2 3 2 2" xfId="39694" xr:uid="{2B39EA01-A1D5-4CA4-8AB5-BC8D235497E1}"/>
    <cellStyle name="Comma 4 2 4 2 2 3 3" xfId="14353" xr:uid="{DCAA599F-9B2A-47FB-B1EF-80499FB666A3}"/>
    <cellStyle name="Comma 4 2 4 2 2 3 4" xfId="31247" xr:uid="{A082AA9D-9A5D-4DA5-9BBC-D09664F902DF}"/>
    <cellStyle name="Comma 4 2 4 2 2 4" xfId="9490" xr:uid="{2FAEB1E6-7B41-437B-B2A9-4352AB4F4B98}"/>
    <cellStyle name="Comma 4 2 4 2 2 4 2" xfId="18583" xr:uid="{8464D0C5-C141-4812-8063-1F2A03151D2A}"/>
    <cellStyle name="Comma 4 2 4 2 2 4 3" xfId="35477" xr:uid="{E03DA4A0-2EC2-463D-BC16-2C9A3F20ACB2}"/>
    <cellStyle name="Comma 4 2 4 2 2 5" xfId="10136" xr:uid="{CBCC27BE-90C5-42F6-BF02-B82333C04F3F}"/>
    <cellStyle name="Comma 4 2 4 2 2 6" xfId="27030" xr:uid="{436740D1-02E9-4B6C-A1E1-EF620C198CCB}"/>
    <cellStyle name="Comma 4 2 4 2 3" xfId="1132" xr:uid="{00000000-0005-0000-0000-0000BB080000}"/>
    <cellStyle name="Comma 4 2 4 2 3 2" xfId="3363" xr:uid="{00000000-0005-0000-0000-0000BC080000}"/>
    <cellStyle name="Comma 4 2 4 2 3 2 2" xfId="7585" xr:uid="{00000000-0005-0000-0000-0000BD080000}"/>
    <cellStyle name="Comma 4 2 4 2 3 2 2 2" xfId="25358" xr:uid="{8FFC9B98-9CE4-465D-8E0E-30E959915855}"/>
    <cellStyle name="Comma 4 2 4 2 3 2 2 2 2" xfId="42252" xr:uid="{D4A70DED-2E11-45D0-910A-CC47935EEEE2}"/>
    <cellStyle name="Comma 4 2 4 2 3 2 2 3" xfId="16911" xr:uid="{EB94707C-AE54-42E3-A502-06FF2088A45E}"/>
    <cellStyle name="Comma 4 2 4 2 3 2 2 4" xfId="33805" xr:uid="{E8002A66-9DB1-49DC-9821-23E44E3DCCF5}"/>
    <cellStyle name="Comma 4 2 4 2 3 2 3" xfId="21141" xr:uid="{CC1DD8A9-34F2-47CF-9238-3E2B59CEAD74}"/>
    <cellStyle name="Comma 4 2 4 2 3 2 3 2" xfId="38035" xr:uid="{7D0D9D56-CE57-445E-B311-909CC8ED67B1}"/>
    <cellStyle name="Comma 4 2 4 2 3 2 4" xfId="12694" xr:uid="{38537B3A-3C57-4F63-86EB-A9BFCE10A702}"/>
    <cellStyle name="Comma 4 2 4 2 3 2 5" xfId="29588" xr:uid="{F5EEED65-933B-47C3-B5C9-A90752E2584D}"/>
    <cellStyle name="Comma 4 2 4 2 3 3" xfId="5440" xr:uid="{00000000-0005-0000-0000-0000BE080000}"/>
    <cellStyle name="Comma 4 2 4 2 3 3 2" xfId="23213" xr:uid="{EB3CB702-5965-41A0-91F0-41779D4C91AC}"/>
    <cellStyle name="Comma 4 2 4 2 3 3 2 2" xfId="40107" xr:uid="{622B269B-D4D2-4E4F-848B-1F7E1E7A6DC7}"/>
    <cellStyle name="Comma 4 2 4 2 3 3 3" xfId="14766" xr:uid="{F46C1F72-D625-4141-99F2-8E074B198411}"/>
    <cellStyle name="Comma 4 2 4 2 3 3 4" xfId="31660" xr:uid="{8E206D65-865B-4F94-B308-3C596D145F96}"/>
    <cellStyle name="Comma 4 2 4 2 3 4" xfId="18996" xr:uid="{9F5CC97C-7684-46A6-BA98-424DCF62699C}"/>
    <cellStyle name="Comma 4 2 4 2 3 4 2" xfId="35890" xr:uid="{26AEB290-798E-4184-9C14-BE1C72480455}"/>
    <cellStyle name="Comma 4 2 4 2 3 5" xfId="10549" xr:uid="{20DCB0F0-2282-4A43-8671-09C5C4F54AC4}"/>
    <cellStyle name="Comma 4 2 4 2 3 6" xfId="27443" xr:uid="{4E3C2178-0C31-487A-AC4E-774E53D6F8CA}"/>
    <cellStyle name="Comma 4 2 4 2 4" xfId="1546" xr:uid="{00000000-0005-0000-0000-0000BF080000}"/>
    <cellStyle name="Comma 4 2 4 2 4 2" xfId="3776" xr:uid="{00000000-0005-0000-0000-0000C0080000}"/>
    <cellStyle name="Comma 4 2 4 2 4 2 2" xfId="7998" xr:uid="{00000000-0005-0000-0000-0000C1080000}"/>
    <cellStyle name="Comma 4 2 4 2 4 2 2 2" xfId="25771" xr:uid="{6DAD83B3-BF9C-4AA2-80B0-6FCB93303562}"/>
    <cellStyle name="Comma 4 2 4 2 4 2 2 2 2" xfId="42665" xr:uid="{8B0BF9E2-ECA8-48B0-86AB-EF3A8F05A1C3}"/>
    <cellStyle name="Comma 4 2 4 2 4 2 2 3" xfId="17324" xr:uid="{A398696F-9AF4-45E1-AA41-923B68EC75E8}"/>
    <cellStyle name="Comma 4 2 4 2 4 2 2 4" xfId="34218" xr:uid="{3903439F-DF75-41F7-B3D7-90852DCB39E1}"/>
    <cellStyle name="Comma 4 2 4 2 4 2 3" xfId="21554" xr:uid="{12A7BF1D-B400-4A53-8008-8000C84A7A34}"/>
    <cellStyle name="Comma 4 2 4 2 4 2 3 2" xfId="38448" xr:uid="{559CF67B-E4D8-43DB-B66E-2CA35A8092A4}"/>
    <cellStyle name="Comma 4 2 4 2 4 2 4" xfId="13107" xr:uid="{0F885F6A-DE2B-41A3-8A1E-F530CC4995C0}"/>
    <cellStyle name="Comma 4 2 4 2 4 2 5" xfId="30001" xr:uid="{4C062D67-B7A2-48C4-B702-76BDA25696A7}"/>
    <cellStyle name="Comma 4 2 4 2 4 3" xfId="5853" xr:uid="{00000000-0005-0000-0000-0000C2080000}"/>
    <cellStyle name="Comma 4 2 4 2 4 3 2" xfId="23626" xr:uid="{A4EF8EB1-1080-42D1-972C-22ACAC3C6B00}"/>
    <cellStyle name="Comma 4 2 4 2 4 3 2 2" xfId="40520" xr:uid="{28EF4685-0490-43C4-A7FA-F4EE314062AA}"/>
    <cellStyle name="Comma 4 2 4 2 4 3 3" xfId="15179" xr:uid="{AFF57AA7-5FF2-4D31-8CA3-0C2231662371}"/>
    <cellStyle name="Comma 4 2 4 2 4 3 4" xfId="32073" xr:uid="{EBD17D63-8C50-46CE-B4E0-EA96C10D1B85}"/>
    <cellStyle name="Comma 4 2 4 2 4 4" xfId="19409" xr:uid="{4654D40C-BF91-46FC-84AE-6833F9F3B01F}"/>
    <cellStyle name="Comma 4 2 4 2 4 4 2" xfId="36303" xr:uid="{5763E65D-9319-4F70-8526-CDC449F1C606}"/>
    <cellStyle name="Comma 4 2 4 2 4 5" xfId="10962" xr:uid="{8178044B-0ECC-4271-B640-8B4EE92123C4}"/>
    <cellStyle name="Comma 4 2 4 2 4 6" xfId="27856" xr:uid="{C4BA5F5F-C138-4379-80D9-6FF37112AA96}"/>
    <cellStyle name="Comma 4 2 4 2 5" xfId="1960" xr:uid="{00000000-0005-0000-0000-0000C3080000}"/>
    <cellStyle name="Comma 4 2 4 2 5 2" xfId="4189" xr:uid="{00000000-0005-0000-0000-0000C4080000}"/>
    <cellStyle name="Comma 4 2 4 2 5 2 2" xfId="8411" xr:uid="{00000000-0005-0000-0000-0000C5080000}"/>
    <cellStyle name="Comma 4 2 4 2 5 2 2 2" xfId="26184" xr:uid="{0182E7EE-9E4E-4B81-8E5C-147752EB7312}"/>
    <cellStyle name="Comma 4 2 4 2 5 2 2 2 2" xfId="43078" xr:uid="{06FE72FE-9FC7-4568-B998-57EE668B720A}"/>
    <cellStyle name="Comma 4 2 4 2 5 2 2 3" xfId="17737" xr:uid="{ED1F609A-9185-4245-83BB-C3CF16F95A2A}"/>
    <cellStyle name="Comma 4 2 4 2 5 2 2 4" xfId="34631" xr:uid="{3FDB9560-639D-4DD0-8C29-E280D709C784}"/>
    <cellStyle name="Comma 4 2 4 2 5 2 3" xfId="21967" xr:uid="{66C66A1E-ED67-4568-81ED-3E61697E9AFB}"/>
    <cellStyle name="Comma 4 2 4 2 5 2 3 2" xfId="38861" xr:uid="{939ADF83-7026-4BE8-AC33-54BF9EE0D64F}"/>
    <cellStyle name="Comma 4 2 4 2 5 2 4" xfId="13520" xr:uid="{EC50F0C6-0E36-42EE-B090-AEFBDBFE87AB}"/>
    <cellStyle name="Comma 4 2 4 2 5 2 5" xfId="30414" xr:uid="{961B9639-452C-4A49-B76C-FADF345B333B}"/>
    <cellStyle name="Comma 4 2 4 2 5 3" xfId="6266" xr:uid="{00000000-0005-0000-0000-0000C6080000}"/>
    <cellStyle name="Comma 4 2 4 2 5 3 2" xfId="24039" xr:uid="{23566C17-163E-489C-B3AE-9FD6EC089466}"/>
    <cellStyle name="Comma 4 2 4 2 5 3 2 2" xfId="40933" xr:uid="{49A56C5F-A8F3-4401-933F-FB15DABF3668}"/>
    <cellStyle name="Comma 4 2 4 2 5 3 3" xfId="15592" xr:uid="{992285C4-B1BE-4B4D-8BE6-6AB6049156DC}"/>
    <cellStyle name="Comma 4 2 4 2 5 3 4" xfId="32486" xr:uid="{ADEC115D-125A-4AD3-B392-9CFBE22508DA}"/>
    <cellStyle name="Comma 4 2 4 2 5 4" xfId="19822" xr:uid="{A60E0639-B83E-432A-9C6B-AE02EAE86B2E}"/>
    <cellStyle name="Comma 4 2 4 2 5 4 2" xfId="36716" xr:uid="{F5AE7064-A7FE-443F-AD90-62BCB11609AA}"/>
    <cellStyle name="Comma 4 2 4 2 5 5" xfId="11375" xr:uid="{3F095912-CBC1-4E4B-8C0B-66C912A70298}"/>
    <cellStyle name="Comma 4 2 4 2 5 6" xfId="28269" xr:uid="{06934C74-E311-4CAD-9769-71DE699A3009}"/>
    <cellStyle name="Comma 4 2 4 2 6" xfId="2395" xr:uid="{00000000-0005-0000-0000-0000C7080000}"/>
    <cellStyle name="Comma 4 2 4 2 6 2" xfId="6679" xr:uid="{00000000-0005-0000-0000-0000C8080000}"/>
    <cellStyle name="Comma 4 2 4 2 6 2 2" xfId="24452" xr:uid="{C4A0A80A-E358-46A2-B991-FD0647F64175}"/>
    <cellStyle name="Comma 4 2 4 2 6 2 2 2" xfId="41346" xr:uid="{59A4B310-F200-46E8-9EA5-755EE9F6ABFC}"/>
    <cellStyle name="Comma 4 2 4 2 6 2 3" xfId="16005" xr:uid="{A663E211-9C8C-4D05-ACA9-7EE02F794CCE}"/>
    <cellStyle name="Comma 4 2 4 2 6 2 4" xfId="32899" xr:uid="{5D9FC8D8-0F0A-414A-9938-04C2882440E7}"/>
    <cellStyle name="Comma 4 2 4 2 6 3" xfId="20235" xr:uid="{BA015572-5877-45DE-A537-290D9D360D62}"/>
    <cellStyle name="Comma 4 2 4 2 6 3 2" xfId="37129" xr:uid="{A92969EB-2FAC-4E89-A9E2-016D84C5848D}"/>
    <cellStyle name="Comma 4 2 4 2 6 4" xfId="11788" xr:uid="{07AC6048-84D4-4CA3-BD99-C4B1997AFE19}"/>
    <cellStyle name="Comma 4 2 4 2 6 5" xfId="28682" xr:uid="{7C202F75-F11D-4EB7-B884-C25BE789BC4D}"/>
    <cellStyle name="Comma 4 2 4 2 7" xfId="2368" xr:uid="{00000000-0005-0000-0000-0000C9080000}"/>
    <cellStyle name="Comma 4 2 4 2 8" xfId="2773" xr:uid="{00000000-0005-0000-0000-0000CA080000}"/>
    <cellStyle name="Comma 4 2 4 2 8 2" xfId="6996" xr:uid="{00000000-0005-0000-0000-0000CB080000}"/>
    <cellStyle name="Comma 4 2 4 2 8 2 2" xfId="24769" xr:uid="{D427A132-6FF3-4686-A305-A27BBF216EDC}"/>
    <cellStyle name="Comma 4 2 4 2 8 2 2 2" xfId="41663" xr:uid="{07292BA9-60E9-400A-8A32-66C6363668BD}"/>
    <cellStyle name="Comma 4 2 4 2 8 2 3" xfId="16322" xr:uid="{9AB8558F-EF04-4E56-A417-5B3320E4F3A4}"/>
    <cellStyle name="Comma 4 2 4 2 8 2 4" xfId="33216" xr:uid="{4834D84B-3889-4160-A4F1-CFFE99516E37}"/>
    <cellStyle name="Comma 4 2 4 2 8 3" xfId="20552" xr:uid="{1CA0E8CE-4716-46B0-8555-6B80A058C68D}"/>
    <cellStyle name="Comma 4 2 4 2 8 3 2" xfId="37446" xr:uid="{CBF9C0DB-5238-4BEF-B7A6-C3F6D5D1B3A7}"/>
    <cellStyle name="Comma 4 2 4 2 8 4" xfId="12105" xr:uid="{B1FC8676-56C6-462D-85A6-6EFCDF3D5D1E}"/>
    <cellStyle name="Comma 4 2 4 2 8 5" xfId="28999" xr:uid="{3F687CE5-4383-4BD4-A8BC-027B898CBEE3}"/>
    <cellStyle name="Comma 4 2 4 2 9" xfId="4613" xr:uid="{00000000-0005-0000-0000-0000CC080000}"/>
    <cellStyle name="Comma 4 2 4 2 9 2" xfId="22386" xr:uid="{35E2325E-9C69-4918-9476-B8E5531FC461}"/>
    <cellStyle name="Comma 4 2 4 2 9 2 2" xfId="39280" xr:uid="{E3A6B209-6811-4BC9-809C-5463BD306B75}"/>
    <cellStyle name="Comma 4 2 4 2 9 3" xfId="13939" xr:uid="{DDA7F92F-E91B-4CA4-B893-274C0A9472BF}"/>
    <cellStyle name="Comma 4 2 4 2 9 4" xfId="30833" xr:uid="{CA735792-002B-415F-895C-C43D29DB9EED}"/>
    <cellStyle name="Comma 4 2 4 3" xfId="678" xr:uid="{00000000-0005-0000-0000-0000CD080000}"/>
    <cellStyle name="Comma 4 2 4 3 2" xfId="2949" xr:uid="{00000000-0005-0000-0000-0000CE080000}"/>
    <cellStyle name="Comma 4 2 4 3 2 2" xfId="7171" xr:uid="{00000000-0005-0000-0000-0000CF080000}"/>
    <cellStyle name="Comma 4 2 4 3 2 2 2" xfId="24944" xr:uid="{17525CA7-6803-416E-9F83-267809A719A0}"/>
    <cellStyle name="Comma 4 2 4 3 2 2 2 2" xfId="41838" xr:uid="{E9450896-8EE9-4C2B-9FEF-5029871A8368}"/>
    <cellStyle name="Comma 4 2 4 3 2 2 3" xfId="16497" xr:uid="{D02656AD-C6FD-4271-876F-44F0FE7B6BD3}"/>
    <cellStyle name="Comma 4 2 4 3 2 2 4" xfId="33391" xr:uid="{A61BD873-C180-49DB-801A-A833375935F8}"/>
    <cellStyle name="Comma 4 2 4 3 2 3" xfId="20727" xr:uid="{9FF7DFEA-DD13-43F2-AC92-53BE58836F82}"/>
    <cellStyle name="Comma 4 2 4 3 2 3 2" xfId="37621" xr:uid="{0DA2E6F3-F618-4AA7-B780-5093C2600C03}"/>
    <cellStyle name="Comma 4 2 4 3 2 4" xfId="12280" xr:uid="{B59ECE30-FB84-4204-9180-ABAE76F440CE}"/>
    <cellStyle name="Comma 4 2 4 3 2 5" xfId="29174" xr:uid="{802AEB73-49A2-4025-9B61-13EB163E676D}"/>
    <cellStyle name="Comma 4 2 4 3 3" xfId="5026" xr:uid="{00000000-0005-0000-0000-0000D0080000}"/>
    <cellStyle name="Comma 4 2 4 3 3 2" xfId="22799" xr:uid="{DD4D4638-4B9A-4A09-8731-1980EDDF797F}"/>
    <cellStyle name="Comma 4 2 4 3 3 2 2" xfId="39693" xr:uid="{BDF01685-5404-450C-8BEF-24909C6878B3}"/>
    <cellStyle name="Comma 4 2 4 3 3 3" xfId="14352" xr:uid="{4FC28023-6077-42CB-B786-12AEF3C8EB8E}"/>
    <cellStyle name="Comma 4 2 4 3 3 4" xfId="31246" xr:uid="{FFAA906B-B702-4AB2-95F2-633BD8B20895}"/>
    <cellStyle name="Comma 4 2 4 3 4" xfId="9283" xr:uid="{7E46ED3C-A8F4-4512-93D9-5F41F1AC397C}"/>
    <cellStyle name="Comma 4 2 4 3 4 2" xfId="18582" xr:uid="{A199E14D-550C-47C2-9A8D-A28CFD14D818}"/>
    <cellStyle name="Comma 4 2 4 3 4 3" xfId="35476" xr:uid="{A81E3724-2FD5-4276-890F-EFFE36F85208}"/>
    <cellStyle name="Comma 4 2 4 3 5" xfId="10135" xr:uid="{3B46C027-7C73-4DDE-B25F-59DABB6D1B2B}"/>
    <cellStyle name="Comma 4 2 4 3 6" xfId="27029" xr:uid="{89EFE00C-0485-4A58-B93F-47E2095E7E4B}"/>
    <cellStyle name="Comma 4 2 4 4" xfId="1131" xr:uid="{00000000-0005-0000-0000-0000D1080000}"/>
    <cellStyle name="Comma 4 2 4 4 2" xfId="3362" xr:uid="{00000000-0005-0000-0000-0000D2080000}"/>
    <cellStyle name="Comma 4 2 4 4 2 2" xfId="7584" xr:uid="{00000000-0005-0000-0000-0000D3080000}"/>
    <cellStyle name="Comma 4 2 4 4 2 2 2" xfId="25357" xr:uid="{79EC2777-9817-495C-BE3C-B04B3B053496}"/>
    <cellStyle name="Comma 4 2 4 4 2 2 2 2" xfId="42251" xr:uid="{3A042BD8-21AF-421A-BD00-FE3B35011E5F}"/>
    <cellStyle name="Comma 4 2 4 4 2 2 3" xfId="16910" xr:uid="{3D7C5CDB-F036-4BC7-BC2D-E1E118154B49}"/>
    <cellStyle name="Comma 4 2 4 4 2 2 4" xfId="33804" xr:uid="{BD243992-3A13-47F0-96B1-C73A4B5A95E0}"/>
    <cellStyle name="Comma 4 2 4 4 2 3" xfId="21140" xr:uid="{FB5FDFEC-248C-4D69-A472-372CDDFBA8F8}"/>
    <cellStyle name="Comma 4 2 4 4 2 3 2" xfId="38034" xr:uid="{4197EAA3-E249-44D1-A8D9-411ACB7AC832}"/>
    <cellStyle name="Comma 4 2 4 4 2 4" xfId="12693" xr:uid="{784B1C2F-1C4A-4D1B-B9C9-7F93C0E71F1A}"/>
    <cellStyle name="Comma 4 2 4 4 2 5" xfId="29587" xr:uid="{6688E2E7-3135-4083-BCA8-6A2CDEF969D0}"/>
    <cellStyle name="Comma 4 2 4 4 3" xfId="5439" xr:uid="{00000000-0005-0000-0000-0000D4080000}"/>
    <cellStyle name="Comma 4 2 4 4 3 2" xfId="23212" xr:uid="{C40467E8-5803-4D24-8793-86F5369BD3F2}"/>
    <cellStyle name="Comma 4 2 4 4 3 2 2" xfId="40106" xr:uid="{2CD1B507-D2E7-4511-933F-187668087221}"/>
    <cellStyle name="Comma 4 2 4 4 3 3" xfId="14765" xr:uid="{3C5D6AF2-456D-4144-859E-F92711AED7B5}"/>
    <cellStyle name="Comma 4 2 4 4 3 4" xfId="31659" xr:uid="{A9C60AA1-04B8-459E-A12C-F53AF5F8C42B}"/>
    <cellStyle name="Comma 4 2 4 4 4" xfId="18995" xr:uid="{9EF1737D-F3D5-4E94-BC5A-92191776947B}"/>
    <cellStyle name="Comma 4 2 4 4 4 2" xfId="35889" xr:uid="{C77A5FE3-B176-4F91-9FF0-DDA53D98EEC9}"/>
    <cellStyle name="Comma 4 2 4 4 5" xfId="10548" xr:uid="{0351C2AC-34AB-4784-8A77-DE931FA70824}"/>
    <cellStyle name="Comma 4 2 4 4 6" xfId="27442" xr:uid="{0D165BB9-7623-4F7E-AD62-22679A843AE7}"/>
    <cellStyle name="Comma 4 2 4 5" xfId="1545" xr:uid="{00000000-0005-0000-0000-0000D5080000}"/>
    <cellStyle name="Comma 4 2 4 5 2" xfId="3775" xr:uid="{00000000-0005-0000-0000-0000D6080000}"/>
    <cellStyle name="Comma 4 2 4 5 2 2" xfId="7997" xr:uid="{00000000-0005-0000-0000-0000D7080000}"/>
    <cellStyle name="Comma 4 2 4 5 2 2 2" xfId="25770" xr:uid="{679696D3-980C-4186-A01A-2AD69E5D5B95}"/>
    <cellStyle name="Comma 4 2 4 5 2 2 2 2" xfId="42664" xr:uid="{579564AF-D57F-4753-AC79-61D3C872D260}"/>
    <cellStyle name="Comma 4 2 4 5 2 2 3" xfId="17323" xr:uid="{774D4D55-AB65-4F22-AB1B-ECBFA03A5BD7}"/>
    <cellStyle name="Comma 4 2 4 5 2 2 4" xfId="34217" xr:uid="{7D2DFA50-95DE-430C-BB2E-F030B6B4887E}"/>
    <cellStyle name="Comma 4 2 4 5 2 3" xfId="21553" xr:uid="{F470DF07-B6DB-41A1-A5B5-73ADDD3C2297}"/>
    <cellStyle name="Comma 4 2 4 5 2 3 2" xfId="38447" xr:uid="{533F17F9-98A6-4099-A8E1-3AB15E3F3128}"/>
    <cellStyle name="Comma 4 2 4 5 2 4" xfId="13106" xr:uid="{2135894E-481B-4DE5-B89E-CD3647234285}"/>
    <cellStyle name="Comma 4 2 4 5 2 5" xfId="30000" xr:uid="{342CC415-E160-44E6-9811-82E1234EF22B}"/>
    <cellStyle name="Comma 4 2 4 5 3" xfId="5852" xr:uid="{00000000-0005-0000-0000-0000D8080000}"/>
    <cellStyle name="Comma 4 2 4 5 3 2" xfId="23625" xr:uid="{B6D8A9F5-79CC-40F0-9FEF-11872A4252AA}"/>
    <cellStyle name="Comma 4 2 4 5 3 2 2" xfId="40519" xr:uid="{58240789-442C-49CF-9630-09B591B81354}"/>
    <cellStyle name="Comma 4 2 4 5 3 3" xfId="15178" xr:uid="{90D29946-A540-4D59-9083-429EFA755AF2}"/>
    <cellStyle name="Comma 4 2 4 5 3 4" xfId="32072" xr:uid="{FD2D6DAB-1612-4B24-9331-00DE27FBD458}"/>
    <cellStyle name="Comma 4 2 4 5 4" xfId="19408" xr:uid="{C69D02CF-B5EF-4086-968C-A2AC33CB8E67}"/>
    <cellStyle name="Comma 4 2 4 5 4 2" xfId="36302" xr:uid="{1F5A4DD2-D415-4701-B813-7B8A985FEAC4}"/>
    <cellStyle name="Comma 4 2 4 5 5" xfId="10961" xr:uid="{7131599C-76CD-4FAA-8AE6-2D128A91D56D}"/>
    <cellStyle name="Comma 4 2 4 5 6" xfId="27855" xr:uid="{70CDE495-E5B8-460D-9D66-F1E4254F6E45}"/>
    <cellStyle name="Comma 4 2 4 6" xfId="1959" xr:uid="{00000000-0005-0000-0000-0000D9080000}"/>
    <cellStyle name="Comma 4 2 4 6 2" xfId="4188" xr:uid="{00000000-0005-0000-0000-0000DA080000}"/>
    <cellStyle name="Comma 4 2 4 6 2 2" xfId="8410" xr:uid="{00000000-0005-0000-0000-0000DB080000}"/>
    <cellStyle name="Comma 4 2 4 6 2 2 2" xfId="26183" xr:uid="{22E6B5CE-96E3-4F44-ACD9-C2B700951B89}"/>
    <cellStyle name="Comma 4 2 4 6 2 2 2 2" xfId="43077" xr:uid="{C034FEBF-55C3-4DD5-A726-D47D2AD5DD7A}"/>
    <cellStyle name="Comma 4 2 4 6 2 2 3" xfId="17736" xr:uid="{47DE5B7D-FB54-4822-AF6D-3DB5410667CE}"/>
    <cellStyle name="Comma 4 2 4 6 2 2 4" xfId="34630" xr:uid="{6CEDAD85-57D1-4E2A-8FF9-BC92603FCEFF}"/>
    <cellStyle name="Comma 4 2 4 6 2 3" xfId="21966" xr:uid="{DCD97FB7-2609-429B-B93C-494B1962A8B6}"/>
    <cellStyle name="Comma 4 2 4 6 2 3 2" xfId="38860" xr:uid="{69B5E190-F25D-49E3-8019-05E2375ABE63}"/>
    <cellStyle name="Comma 4 2 4 6 2 4" xfId="13519" xr:uid="{DD291B67-9010-4F53-AB2F-434B403D3C59}"/>
    <cellStyle name="Comma 4 2 4 6 2 5" xfId="30413" xr:uid="{2948E088-17BE-47CF-A5E8-9467E2944B0E}"/>
    <cellStyle name="Comma 4 2 4 6 3" xfId="6265" xr:uid="{00000000-0005-0000-0000-0000DC080000}"/>
    <cellStyle name="Comma 4 2 4 6 3 2" xfId="24038" xr:uid="{AF160EAB-9E19-4D81-A968-D2613504AB48}"/>
    <cellStyle name="Comma 4 2 4 6 3 2 2" xfId="40932" xr:uid="{0342769F-B0C0-4C61-9B43-7005FF2B5626}"/>
    <cellStyle name="Comma 4 2 4 6 3 3" xfId="15591" xr:uid="{DF0E821C-FDDD-4FC1-9175-2203BD1A7B3D}"/>
    <cellStyle name="Comma 4 2 4 6 3 4" xfId="32485" xr:uid="{35270343-4A09-41A5-9CBA-6BD1BEB3B823}"/>
    <cellStyle name="Comma 4 2 4 6 4" xfId="19821" xr:uid="{AD6CC111-0AD8-4B35-992E-88A677BFEEE0}"/>
    <cellStyle name="Comma 4 2 4 6 4 2" xfId="36715" xr:uid="{B5703A9E-CE3E-427A-818D-4EFD190DAAE9}"/>
    <cellStyle name="Comma 4 2 4 6 5" xfId="11374" xr:uid="{A5E65D21-FA99-4280-A66D-BA47194A4316}"/>
    <cellStyle name="Comma 4 2 4 6 6" xfId="28268" xr:uid="{FCAB419F-8423-4DED-94A9-5862868661D8}"/>
    <cellStyle name="Comma 4 2 4 7" xfId="2394" xr:uid="{00000000-0005-0000-0000-0000DD080000}"/>
    <cellStyle name="Comma 4 2 4 7 2" xfId="6678" xr:uid="{00000000-0005-0000-0000-0000DE080000}"/>
    <cellStyle name="Comma 4 2 4 7 2 2" xfId="24451" xr:uid="{C65AB4F3-9C64-4713-9CC3-2895FBB6E4CC}"/>
    <cellStyle name="Comma 4 2 4 7 2 2 2" xfId="41345" xr:uid="{72E1A50A-7DD4-470B-8589-289372C7E50F}"/>
    <cellStyle name="Comma 4 2 4 7 2 3" xfId="16004" xr:uid="{7C4047CE-CA1E-4B30-9AAB-5EC8C3A67B7F}"/>
    <cellStyle name="Comma 4 2 4 7 2 4" xfId="32898" xr:uid="{7F8943EA-F93B-4339-9121-40EA8B50D365}"/>
    <cellStyle name="Comma 4 2 4 7 3" xfId="20234" xr:uid="{741A425D-F28E-4A3F-B473-E1F5995AC06C}"/>
    <cellStyle name="Comma 4 2 4 7 3 2" xfId="37128" xr:uid="{49C98A14-230E-4AA5-AFAF-A22B16FAAB39}"/>
    <cellStyle name="Comma 4 2 4 7 4" xfId="11787" xr:uid="{37DCD983-A9CC-476C-AA72-CB3E04EB1FD1}"/>
    <cellStyle name="Comma 4 2 4 7 5" xfId="28681" xr:uid="{657E457D-81D0-458B-B956-6AB3F9FDDF3A}"/>
    <cellStyle name="Comma 4 2 4 8" xfId="2369" xr:uid="{00000000-0005-0000-0000-0000DF080000}"/>
    <cellStyle name="Comma 4 2 4 9" xfId="2772" xr:uid="{00000000-0005-0000-0000-0000E0080000}"/>
    <cellStyle name="Comma 4 2 4 9 2" xfId="6995" xr:uid="{00000000-0005-0000-0000-0000E1080000}"/>
    <cellStyle name="Comma 4 2 4 9 2 2" xfId="24768" xr:uid="{BC4BD633-2ABC-417A-A4E5-500B6A48C722}"/>
    <cellStyle name="Comma 4 2 4 9 2 2 2" xfId="41662" xr:uid="{2DEE1375-4FB8-4754-9AA5-2950CAC111FA}"/>
    <cellStyle name="Comma 4 2 4 9 2 3" xfId="16321" xr:uid="{B7F5460F-119E-45D1-B7D7-2DDDBD3783BD}"/>
    <cellStyle name="Comma 4 2 4 9 2 4" xfId="33215" xr:uid="{AF7D89B6-6C97-48C3-829D-9BFFD0AAC01E}"/>
    <cellStyle name="Comma 4 2 4 9 3" xfId="20551" xr:uid="{27DC9CAE-D176-4B10-B695-421D634076F6}"/>
    <cellStyle name="Comma 4 2 4 9 3 2" xfId="37445" xr:uid="{C7D1BD75-72C5-4C4D-8EBD-9CE636650076}"/>
    <cellStyle name="Comma 4 2 4 9 4" xfId="12104" xr:uid="{40BB13A9-FB71-405A-A645-70D7CE95AD05}"/>
    <cellStyle name="Comma 4 2 4 9 5" xfId="28998" xr:uid="{6873F6C7-F4AD-44B6-8138-40D38B99AB89}"/>
    <cellStyle name="Comma 4 2 5" xfId="142" xr:uid="{00000000-0005-0000-0000-0000E2080000}"/>
    <cellStyle name="Comma 4 2 5 10" xfId="8974" xr:uid="{86B0C89A-8A2D-4755-B15D-84E412E1D380}"/>
    <cellStyle name="Comma 4 2 5 10 2" xfId="18170" xr:uid="{55D59B39-5D83-4323-A999-E2D6839D723B}"/>
    <cellStyle name="Comma 4 2 5 10 3" xfId="35064" xr:uid="{AF4A2981-F87D-4F60-8A1A-6335AEB39197}"/>
    <cellStyle name="Comma 4 2 5 11" xfId="9723" xr:uid="{036361DF-B9E8-46B5-B653-49267E744835}"/>
    <cellStyle name="Comma 4 2 5 12" xfId="26617" xr:uid="{B9F2C655-F010-42AD-82FC-E80B70F5BDBC}"/>
    <cellStyle name="Comma 4 2 5 2" xfId="680" xr:uid="{00000000-0005-0000-0000-0000E3080000}"/>
    <cellStyle name="Comma 4 2 5 2 2" xfId="2951" xr:uid="{00000000-0005-0000-0000-0000E4080000}"/>
    <cellStyle name="Comma 4 2 5 2 2 2" xfId="7173" xr:uid="{00000000-0005-0000-0000-0000E5080000}"/>
    <cellStyle name="Comma 4 2 5 2 2 2 2" xfId="24946" xr:uid="{EA39E4FD-3C4B-4C0A-A0F1-67088F4878C4}"/>
    <cellStyle name="Comma 4 2 5 2 2 2 2 2" xfId="41840" xr:uid="{EFCE2A97-E111-4D76-B98E-B3C8F5E62764}"/>
    <cellStyle name="Comma 4 2 5 2 2 2 3" xfId="16499" xr:uid="{AF6485BF-86CB-4E80-A503-04BBD30D3D07}"/>
    <cellStyle name="Comma 4 2 5 2 2 2 4" xfId="33393" xr:uid="{1EE13435-D30F-4E68-A46E-63CF25C4E3AC}"/>
    <cellStyle name="Comma 4 2 5 2 2 3" xfId="20729" xr:uid="{86B7D3D7-556E-435C-8546-AC263184A798}"/>
    <cellStyle name="Comma 4 2 5 2 2 3 2" xfId="37623" xr:uid="{A6580B32-19ED-4131-8766-F934063C3D22}"/>
    <cellStyle name="Comma 4 2 5 2 2 4" xfId="12282" xr:uid="{3BC9D90F-5096-4B78-A65D-4199E0FE7888}"/>
    <cellStyle name="Comma 4 2 5 2 2 5" xfId="29176" xr:uid="{44EB8623-9BF0-4885-AFDF-4C1441BC8B65}"/>
    <cellStyle name="Comma 4 2 5 2 3" xfId="5028" xr:uid="{00000000-0005-0000-0000-0000E6080000}"/>
    <cellStyle name="Comma 4 2 5 2 3 2" xfId="22801" xr:uid="{1A8342F4-B123-4BE6-B33F-DC9AB1E237A0}"/>
    <cellStyle name="Comma 4 2 5 2 3 2 2" xfId="39695" xr:uid="{16C6B14A-F252-4357-B17C-07B4936F90F3}"/>
    <cellStyle name="Comma 4 2 5 2 3 3" xfId="14354" xr:uid="{6D0D30A5-D67B-4E55-8F49-B5AB8C11E861}"/>
    <cellStyle name="Comma 4 2 5 2 3 4" xfId="31248" xr:uid="{D42BBF5A-7A2B-4D2C-88BC-123886246BF1}"/>
    <cellStyle name="Comma 4 2 5 2 4" xfId="9399" xr:uid="{1B388BC7-1FC6-4DC3-B345-755F61B57864}"/>
    <cellStyle name="Comma 4 2 5 2 4 2" xfId="18584" xr:uid="{98B9BF69-4767-45CC-8056-5E8946610CCD}"/>
    <cellStyle name="Comma 4 2 5 2 4 3" xfId="35478" xr:uid="{34E3C745-FC5D-4D7A-9FA9-E9A4AF70FB26}"/>
    <cellStyle name="Comma 4 2 5 2 5" xfId="10137" xr:uid="{5FD38A03-3A07-42A7-94C5-57CC8551FDA7}"/>
    <cellStyle name="Comma 4 2 5 2 6" xfId="27031" xr:uid="{D082F7DA-B324-42CB-8981-8667267BBB40}"/>
    <cellStyle name="Comma 4 2 5 3" xfId="1133" xr:uid="{00000000-0005-0000-0000-0000E7080000}"/>
    <cellStyle name="Comma 4 2 5 3 2" xfId="3364" xr:uid="{00000000-0005-0000-0000-0000E8080000}"/>
    <cellStyle name="Comma 4 2 5 3 2 2" xfId="7586" xr:uid="{00000000-0005-0000-0000-0000E9080000}"/>
    <cellStyle name="Comma 4 2 5 3 2 2 2" xfId="25359" xr:uid="{A8CDAA20-EF65-42EA-B637-CC7966ED27DF}"/>
    <cellStyle name="Comma 4 2 5 3 2 2 2 2" xfId="42253" xr:uid="{FE984112-AD73-4FE4-B6A0-72072048D54D}"/>
    <cellStyle name="Comma 4 2 5 3 2 2 3" xfId="16912" xr:uid="{CC8184E2-C3E8-4B31-8D72-7031D7975053}"/>
    <cellStyle name="Comma 4 2 5 3 2 2 4" xfId="33806" xr:uid="{C798EFB3-5EBD-4764-A9EB-C628B4228AC1}"/>
    <cellStyle name="Comma 4 2 5 3 2 3" xfId="21142" xr:uid="{6480632C-2EFF-4A63-9408-D07A1FCFCF33}"/>
    <cellStyle name="Comma 4 2 5 3 2 3 2" xfId="38036" xr:uid="{C6D32523-2D70-4A7B-8454-18311616FCAC}"/>
    <cellStyle name="Comma 4 2 5 3 2 4" xfId="12695" xr:uid="{899AC37B-751C-4E61-AF9B-D41AC784E2BE}"/>
    <cellStyle name="Comma 4 2 5 3 2 5" xfId="29589" xr:uid="{9AFE62A0-B58F-4A1B-8C5A-734BD67D518F}"/>
    <cellStyle name="Comma 4 2 5 3 3" xfId="5441" xr:uid="{00000000-0005-0000-0000-0000EA080000}"/>
    <cellStyle name="Comma 4 2 5 3 3 2" xfId="23214" xr:uid="{7DEEC261-7D26-4A1E-83DA-2484E0ED9E37}"/>
    <cellStyle name="Comma 4 2 5 3 3 2 2" xfId="40108" xr:uid="{13322B57-9A3C-4210-A6BE-EAA5E4BD978E}"/>
    <cellStyle name="Comma 4 2 5 3 3 3" xfId="14767" xr:uid="{621F2348-59B7-4C7A-8F99-F652E4329469}"/>
    <cellStyle name="Comma 4 2 5 3 3 4" xfId="31661" xr:uid="{5B08FB9E-D6A5-4A5B-AD01-8CF33536125E}"/>
    <cellStyle name="Comma 4 2 5 3 4" xfId="18997" xr:uid="{90D6EA57-60D1-451D-A436-C614053EF40D}"/>
    <cellStyle name="Comma 4 2 5 3 4 2" xfId="35891" xr:uid="{62424EED-6A6B-40EF-B3B3-F562FA762F64}"/>
    <cellStyle name="Comma 4 2 5 3 5" xfId="10550" xr:uid="{3B3C2EEF-44D3-4705-9E4A-3F0F2E2D3159}"/>
    <cellStyle name="Comma 4 2 5 3 6" xfId="27444" xr:uid="{6A587F2F-38BF-4B41-8429-8153AC981331}"/>
    <cellStyle name="Comma 4 2 5 4" xfId="1547" xr:uid="{00000000-0005-0000-0000-0000EB080000}"/>
    <cellStyle name="Comma 4 2 5 4 2" xfId="3777" xr:uid="{00000000-0005-0000-0000-0000EC080000}"/>
    <cellStyle name="Comma 4 2 5 4 2 2" xfId="7999" xr:uid="{00000000-0005-0000-0000-0000ED080000}"/>
    <cellStyle name="Comma 4 2 5 4 2 2 2" xfId="25772" xr:uid="{931FBD61-405A-4861-A28E-442CC1EB0BF9}"/>
    <cellStyle name="Comma 4 2 5 4 2 2 2 2" xfId="42666" xr:uid="{9131DB2A-59D0-4402-BAB1-3D80D48B5D2E}"/>
    <cellStyle name="Comma 4 2 5 4 2 2 3" xfId="17325" xr:uid="{8B37EF5E-BF79-421D-81BD-29C5C319DDF7}"/>
    <cellStyle name="Comma 4 2 5 4 2 2 4" xfId="34219" xr:uid="{6C798883-778A-4DF1-AE61-C3B80187E4AD}"/>
    <cellStyle name="Comma 4 2 5 4 2 3" xfId="21555" xr:uid="{B51F0C7C-E4FA-433F-99CB-13C73E3963A7}"/>
    <cellStyle name="Comma 4 2 5 4 2 3 2" xfId="38449" xr:uid="{1A163F32-74A6-40D4-A32C-0C10C7503500}"/>
    <cellStyle name="Comma 4 2 5 4 2 4" xfId="13108" xr:uid="{E8602198-5962-4FD6-ACCA-90A7629EEB37}"/>
    <cellStyle name="Comma 4 2 5 4 2 5" xfId="30002" xr:uid="{524D204E-C73E-4650-86C6-F47B60AFA966}"/>
    <cellStyle name="Comma 4 2 5 4 3" xfId="5854" xr:uid="{00000000-0005-0000-0000-0000EE080000}"/>
    <cellStyle name="Comma 4 2 5 4 3 2" xfId="23627" xr:uid="{9B932C59-47F4-48A0-8ED1-526AFACF3C78}"/>
    <cellStyle name="Comma 4 2 5 4 3 2 2" xfId="40521" xr:uid="{DC990FAB-ACA8-48B5-8B57-0673664A17EE}"/>
    <cellStyle name="Comma 4 2 5 4 3 3" xfId="15180" xr:uid="{B36F5A57-8E79-496B-8DE2-59C2606D43F7}"/>
    <cellStyle name="Comma 4 2 5 4 3 4" xfId="32074" xr:uid="{7EC498A6-E8AA-475C-BA22-FC409AE5519C}"/>
    <cellStyle name="Comma 4 2 5 4 4" xfId="19410" xr:uid="{D133D1E2-261C-496F-B349-7142F423810B}"/>
    <cellStyle name="Comma 4 2 5 4 4 2" xfId="36304" xr:uid="{16E5640A-B660-4F8B-A139-2B95593CD780}"/>
    <cellStyle name="Comma 4 2 5 4 5" xfId="10963" xr:uid="{55CD0D14-EE5B-4B96-ADC9-5B2B33930207}"/>
    <cellStyle name="Comma 4 2 5 4 6" xfId="27857" xr:uid="{64FA0671-2E60-4B6B-94A4-A2D395FFB3EB}"/>
    <cellStyle name="Comma 4 2 5 5" xfId="1961" xr:uid="{00000000-0005-0000-0000-0000EF080000}"/>
    <cellStyle name="Comma 4 2 5 5 2" xfId="4190" xr:uid="{00000000-0005-0000-0000-0000F0080000}"/>
    <cellStyle name="Comma 4 2 5 5 2 2" xfId="8412" xr:uid="{00000000-0005-0000-0000-0000F1080000}"/>
    <cellStyle name="Comma 4 2 5 5 2 2 2" xfId="26185" xr:uid="{B8A865B3-299D-4892-906F-0AC69A265534}"/>
    <cellStyle name="Comma 4 2 5 5 2 2 2 2" xfId="43079" xr:uid="{B6FFE822-3133-436C-BB06-5C5E69748CDD}"/>
    <cellStyle name="Comma 4 2 5 5 2 2 3" xfId="17738" xr:uid="{A7DAF9CA-FF55-4FA4-9825-9E8311139B76}"/>
    <cellStyle name="Comma 4 2 5 5 2 2 4" xfId="34632" xr:uid="{66971FED-2E27-4D19-B3F8-2C105ED6A7C3}"/>
    <cellStyle name="Comma 4 2 5 5 2 3" xfId="21968" xr:uid="{6C35B185-B954-4CBD-99F9-49D226F459F1}"/>
    <cellStyle name="Comma 4 2 5 5 2 3 2" xfId="38862" xr:uid="{F272EC8D-875A-4F23-AFB1-1A3361DAF2E3}"/>
    <cellStyle name="Comma 4 2 5 5 2 4" xfId="13521" xr:uid="{F4BF0EC8-16E4-4524-B145-BB39FEA07CD5}"/>
    <cellStyle name="Comma 4 2 5 5 2 5" xfId="30415" xr:uid="{E770451F-340F-4E7B-8D57-241B08D07F8A}"/>
    <cellStyle name="Comma 4 2 5 5 3" xfId="6267" xr:uid="{00000000-0005-0000-0000-0000F2080000}"/>
    <cellStyle name="Comma 4 2 5 5 3 2" xfId="24040" xr:uid="{7B45F989-C71A-490A-A467-8323B6A26632}"/>
    <cellStyle name="Comma 4 2 5 5 3 2 2" xfId="40934" xr:uid="{D3709039-C3FC-41BB-875A-80B28734D831}"/>
    <cellStyle name="Comma 4 2 5 5 3 3" xfId="15593" xr:uid="{194A8F26-FB3D-4976-93CB-E6F74063BE54}"/>
    <cellStyle name="Comma 4 2 5 5 3 4" xfId="32487" xr:uid="{1F5E778F-426B-49EA-B938-30F43A39763C}"/>
    <cellStyle name="Comma 4 2 5 5 4" xfId="19823" xr:uid="{C1A5292A-416D-4D6F-9E29-C9C38A5AB8DD}"/>
    <cellStyle name="Comma 4 2 5 5 4 2" xfId="36717" xr:uid="{36771084-26D0-4E18-85A5-99F6BEDDAFE8}"/>
    <cellStyle name="Comma 4 2 5 5 5" xfId="11376" xr:uid="{3E65C20E-7941-4343-825E-91BBC70C3B58}"/>
    <cellStyle name="Comma 4 2 5 5 6" xfId="28270" xr:uid="{AE598FD8-153C-4B30-8358-C0A7B9EC2C82}"/>
    <cellStyle name="Comma 4 2 5 6" xfId="2396" xr:uid="{00000000-0005-0000-0000-0000F3080000}"/>
    <cellStyle name="Comma 4 2 5 6 2" xfId="6680" xr:uid="{00000000-0005-0000-0000-0000F4080000}"/>
    <cellStyle name="Comma 4 2 5 6 2 2" xfId="24453" xr:uid="{CC86CEEA-C915-41ED-A295-6A292D58E69C}"/>
    <cellStyle name="Comma 4 2 5 6 2 2 2" xfId="41347" xr:uid="{9EDEAABE-AC19-4590-B93F-9FBF70E6F964}"/>
    <cellStyle name="Comma 4 2 5 6 2 3" xfId="16006" xr:uid="{BA4C7350-F2B3-4FCA-862E-F8FAA2073E25}"/>
    <cellStyle name="Comma 4 2 5 6 2 4" xfId="32900" xr:uid="{C968A2D8-CDF0-4B31-B0F9-B9F0A42B0417}"/>
    <cellStyle name="Comma 4 2 5 6 3" xfId="20236" xr:uid="{CC4E3B74-9042-4A41-93D3-9B96AAA10E7A}"/>
    <cellStyle name="Comma 4 2 5 6 3 2" xfId="37130" xr:uid="{AC2420D1-34DC-463E-A738-D82D83F6E09A}"/>
    <cellStyle name="Comma 4 2 5 6 4" xfId="11789" xr:uid="{45EF1F41-5F62-4C3C-A9B9-35451530A7C9}"/>
    <cellStyle name="Comma 4 2 5 6 5" xfId="28683" xr:uid="{32F8D6EA-B13C-42E2-8627-17C1CEB00FED}"/>
    <cellStyle name="Comma 4 2 5 7" xfId="2367" xr:uid="{00000000-0005-0000-0000-0000F5080000}"/>
    <cellStyle name="Comma 4 2 5 8" xfId="2774" xr:uid="{00000000-0005-0000-0000-0000F6080000}"/>
    <cellStyle name="Comma 4 2 5 8 2" xfId="6997" xr:uid="{00000000-0005-0000-0000-0000F7080000}"/>
    <cellStyle name="Comma 4 2 5 8 2 2" xfId="24770" xr:uid="{2B2B68CC-B65D-4762-A531-95C0ED1C29EA}"/>
    <cellStyle name="Comma 4 2 5 8 2 2 2" xfId="41664" xr:uid="{B4EE544E-5674-4EE5-B5F6-E3B4AF9CAE06}"/>
    <cellStyle name="Comma 4 2 5 8 2 3" xfId="16323" xr:uid="{8D7D4674-14DC-44F8-8AB1-235AB4CE7FFD}"/>
    <cellStyle name="Comma 4 2 5 8 2 4" xfId="33217" xr:uid="{F697E6BD-A65B-4A83-8D7E-04917A866D5E}"/>
    <cellStyle name="Comma 4 2 5 8 3" xfId="20553" xr:uid="{B361861F-E915-44F4-B306-01AA9BA81A0A}"/>
    <cellStyle name="Comma 4 2 5 8 3 2" xfId="37447" xr:uid="{CF55DC0E-61AA-447C-A46C-9D24179B4A80}"/>
    <cellStyle name="Comma 4 2 5 8 4" xfId="12106" xr:uid="{74047412-A788-42D0-AD0D-E0AD35779237}"/>
    <cellStyle name="Comma 4 2 5 8 5" xfId="29000" xr:uid="{337599DB-7331-45AB-B9F8-14259D2169F8}"/>
    <cellStyle name="Comma 4 2 5 9" xfId="4614" xr:uid="{00000000-0005-0000-0000-0000F8080000}"/>
    <cellStyle name="Comma 4 2 5 9 2" xfId="22387" xr:uid="{954D753C-EDA2-49BF-93D4-B05F80E7FB3C}"/>
    <cellStyle name="Comma 4 2 5 9 2 2" xfId="39281" xr:uid="{7863CEBB-89CC-4D0D-8646-A51ED76A5CFA}"/>
    <cellStyle name="Comma 4 2 5 9 3" xfId="13940" xr:uid="{5C0E126F-BCD7-4CD4-AC42-D1389E71ADD4}"/>
    <cellStyle name="Comma 4 2 5 9 4" xfId="30834" xr:uid="{8D663DC3-709E-44DA-813F-904404BDA748}"/>
    <cellStyle name="Comma 4 2 6" xfId="143" xr:uid="{00000000-0005-0000-0000-0000F9080000}"/>
    <cellStyle name="Comma 4 2 6 10" xfId="9177" xr:uid="{A20A3B72-7630-464F-8E57-DA2B9D6E44FB}"/>
    <cellStyle name="Comma 4 2 6 10 2" xfId="18171" xr:uid="{4CE7A39F-3150-4847-A3D9-E9841D60ACB3}"/>
    <cellStyle name="Comma 4 2 6 10 3" xfId="35065" xr:uid="{0D0A991A-F296-4195-B887-35AFE0E1D167}"/>
    <cellStyle name="Comma 4 2 6 11" xfId="9724" xr:uid="{FA3D5BA7-8467-42A2-8F5B-E9B6689DAB47}"/>
    <cellStyle name="Comma 4 2 6 12" xfId="26618" xr:uid="{27325067-DB3A-4552-B4B5-63A1789D504C}"/>
    <cellStyle name="Comma 4 2 6 2" xfId="681" xr:uid="{00000000-0005-0000-0000-0000FA080000}"/>
    <cellStyle name="Comma 4 2 6 2 2" xfId="2952" xr:uid="{00000000-0005-0000-0000-0000FB080000}"/>
    <cellStyle name="Comma 4 2 6 2 2 2" xfId="7174" xr:uid="{00000000-0005-0000-0000-0000FC080000}"/>
    <cellStyle name="Comma 4 2 6 2 2 2 2" xfId="24947" xr:uid="{36081267-CC0B-4EE0-99B2-0BEF567EB272}"/>
    <cellStyle name="Comma 4 2 6 2 2 2 2 2" xfId="41841" xr:uid="{E122C50F-0FF6-40D3-9A7B-CCD390CAAF3C}"/>
    <cellStyle name="Comma 4 2 6 2 2 2 3" xfId="16500" xr:uid="{69A95697-AEB0-4799-90D5-106CBD8A822A}"/>
    <cellStyle name="Comma 4 2 6 2 2 2 4" xfId="33394" xr:uid="{61F47A6C-F2A7-46D0-BA62-4CC3EE4AD978}"/>
    <cellStyle name="Comma 4 2 6 2 2 3" xfId="20730" xr:uid="{88ADA9DF-5B51-480D-BE20-DB1107AFE967}"/>
    <cellStyle name="Comma 4 2 6 2 2 3 2" xfId="37624" xr:uid="{0D62D3B0-34A4-4494-A424-97B732ACDB2B}"/>
    <cellStyle name="Comma 4 2 6 2 2 4" xfId="12283" xr:uid="{CC766F57-3956-451F-8FAA-11BDFA303CCE}"/>
    <cellStyle name="Comma 4 2 6 2 2 5" xfId="29177" xr:uid="{916DC9E0-F305-4A35-B199-05FF9D98E108}"/>
    <cellStyle name="Comma 4 2 6 2 3" xfId="5029" xr:uid="{00000000-0005-0000-0000-0000FD080000}"/>
    <cellStyle name="Comma 4 2 6 2 3 2" xfId="22802" xr:uid="{318DBE71-E023-469F-AF5C-6C3ACF5B520D}"/>
    <cellStyle name="Comma 4 2 6 2 3 2 2" xfId="39696" xr:uid="{260B0253-3BF9-45D5-BCB9-33657FA092AE}"/>
    <cellStyle name="Comma 4 2 6 2 3 3" xfId="14355" xr:uid="{DB1CE689-FB1C-49F1-8105-83CB86E979C8}"/>
    <cellStyle name="Comma 4 2 6 2 3 4" xfId="31249" xr:uid="{6EBB651B-FBF1-44DA-A045-D8151FAE2B25}"/>
    <cellStyle name="Comma 4 2 6 2 4" xfId="9594" xr:uid="{CCB8D3FE-19FC-4F7F-9966-44FD23A1A32A}"/>
    <cellStyle name="Comma 4 2 6 2 4 2" xfId="18585" xr:uid="{ADF4DF29-07A0-4344-96CF-6F3F4FD28FDB}"/>
    <cellStyle name="Comma 4 2 6 2 4 3" xfId="35479" xr:uid="{EEEA01B5-F97C-45ED-8256-7F68EE845539}"/>
    <cellStyle name="Comma 4 2 6 2 5" xfId="10138" xr:uid="{B78C770D-AAB2-4CB7-83E3-9AD4D09BFAF4}"/>
    <cellStyle name="Comma 4 2 6 2 6" xfId="27032" xr:uid="{B094C140-754A-4CA3-BF48-02C895A73D11}"/>
    <cellStyle name="Comma 4 2 6 3" xfId="1134" xr:uid="{00000000-0005-0000-0000-0000FE080000}"/>
    <cellStyle name="Comma 4 2 6 3 2" xfId="3365" xr:uid="{00000000-0005-0000-0000-0000FF080000}"/>
    <cellStyle name="Comma 4 2 6 3 2 2" xfId="7587" xr:uid="{00000000-0005-0000-0000-000000090000}"/>
    <cellStyle name="Comma 4 2 6 3 2 2 2" xfId="25360" xr:uid="{CFF3FF14-63BD-45CE-8387-583F21C3DBDE}"/>
    <cellStyle name="Comma 4 2 6 3 2 2 2 2" xfId="42254" xr:uid="{4921617E-60F8-49CE-ACA4-9FADD27CA104}"/>
    <cellStyle name="Comma 4 2 6 3 2 2 3" xfId="16913" xr:uid="{FB8D4039-6D6C-4D16-8CAA-55CC595E8A7A}"/>
    <cellStyle name="Comma 4 2 6 3 2 2 4" xfId="33807" xr:uid="{A4F9C127-74E2-4791-8264-6308A28B6156}"/>
    <cellStyle name="Comma 4 2 6 3 2 3" xfId="21143" xr:uid="{EDE1C62F-372F-49C0-807E-C0B30EE52108}"/>
    <cellStyle name="Comma 4 2 6 3 2 3 2" xfId="38037" xr:uid="{A4FD66B1-8118-4232-B3FD-71CD78D7C1DA}"/>
    <cellStyle name="Comma 4 2 6 3 2 4" xfId="12696" xr:uid="{5168796A-F930-4693-839A-73E26021E831}"/>
    <cellStyle name="Comma 4 2 6 3 2 5" xfId="29590" xr:uid="{37602274-5982-48B2-A147-1D2DDFB5E833}"/>
    <cellStyle name="Comma 4 2 6 3 3" xfId="5442" xr:uid="{00000000-0005-0000-0000-000001090000}"/>
    <cellStyle name="Comma 4 2 6 3 3 2" xfId="23215" xr:uid="{A9B8ACB8-731E-4BF7-A2B0-4CEE94B97E58}"/>
    <cellStyle name="Comma 4 2 6 3 3 2 2" xfId="40109" xr:uid="{7050DC70-9394-480F-9F28-862C6EC1776B}"/>
    <cellStyle name="Comma 4 2 6 3 3 3" xfId="14768" xr:uid="{C32BBC9E-9A3B-4298-9096-61B60841F235}"/>
    <cellStyle name="Comma 4 2 6 3 3 4" xfId="31662" xr:uid="{248C4753-E68D-4178-8951-0958B86F5E72}"/>
    <cellStyle name="Comma 4 2 6 3 4" xfId="18998" xr:uid="{0EB74FF4-EBA8-4A3D-B881-153E95D3020A}"/>
    <cellStyle name="Comma 4 2 6 3 4 2" xfId="35892" xr:uid="{D3B662E4-E862-4F31-9A5D-4B597E2A2BB0}"/>
    <cellStyle name="Comma 4 2 6 3 5" xfId="10551" xr:uid="{522CD3E8-E16B-4AB6-97F0-83F901BDE394}"/>
    <cellStyle name="Comma 4 2 6 3 6" xfId="27445" xr:uid="{97C2BB7E-6BEF-45B3-A60B-18EF6CFA0D18}"/>
    <cellStyle name="Comma 4 2 6 4" xfId="1548" xr:uid="{00000000-0005-0000-0000-000002090000}"/>
    <cellStyle name="Comma 4 2 6 4 2" xfId="3778" xr:uid="{00000000-0005-0000-0000-000003090000}"/>
    <cellStyle name="Comma 4 2 6 4 2 2" xfId="8000" xr:uid="{00000000-0005-0000-0000-000004090000}"/>
    <cellStyle name="Comma 4 2 6 4 2 2 2" xfId="25773" xr:uid="{62D8EE63-90A2-4A2A-9DBF-D0E5E332C72F}"/>
    <cellStyle name="Comma 4 2 6 4 2 2 2 2" xfId="42667" xr:uid="{EE66BA94-339E-4C34-B890-3330F590CC5B}"/>
    <cellStyle name="Comma 4 2 6 4 2 2 3" xfId="17326" xr:uid="{80AC6440-08E5-4621-8100-71BCEB6C4A02}"/>
    <cellStyle name="Comma 4 2 6 4 2 2 4" xfId="34220" xr:uid="{0A931B33-8D76-44A4-8C77-AA12EEA84415}"/>
    <cellStyle name="Comma 4 2 6 4 2 3" xfId="21556" xr:uid="{206F4AB0-F62C-410F-A9F7-637F204E3713}"/>
    <cellStyle name="Comma 4 2 6 4 2 3 2" xfId="38450" xr:uid="{16EE3885-254A-4B8F-AAE8-03A8229C7CC8}"/>
    <cellStyle name="Comma 4 2 6 4 2 4" xfId="13109" xr:uid="{3D7FB39C-0C0B-4FAC-9F7C-F4A169E3E487}"/>
    <cellStyle name="Comma 4 2 6 4 2 5" xfId="30003" xr:uid="{B3D23417-3DD1-4262-A3FA-B2FA009DA4A3}"/>
    <cellStyle name="Comma 4 2 6 4 3" xfId="5855" xr:uid="{00000000-0005-0000-0000-000005090000}"/>
    <cellStyle name="Comma 4 2 6 4 3 2" xfId="23628" xr:uid="{48DEDAAD-D6FA-4540-B2FE-4AE2D9626AC9}"/>
    <cellStyle name="Comma 4 2 6 4 3 2 2" xfId="40522" xr:uid="{8EC0DCB0-BAEF-45C6-A339-05BCEA56103C}"/>
    <cellStyle name="Comma 4 2 6 4 3 3" xfId="15181" xr:uid="{3891AD10-AB9E-4803-8532-887B8200A101}"/>
    <cellStyle name="Comma 4 2 6 4 3 4" xfId="32075" xr:uid="{0317300D-A90E-486E-9BFB-D3B7B4EB9EE5}"/>
    <cellStyle name="Comma 4 2 6 4 4" xfId="19411" xr:uid="{491AC5FE-B3F7-4826-A599-A458583C8005}"/>
    <cellStyle name="Comma 4 2 6 4 4 2" xfId="36305" xr:uid="{511D204C-1C78-4836-9DF7-0626C5135584}"/>
    <cellStyle name="Comma 4 2 6 4 5" xfId="10964" xr:uid="{F1BE11DF-1C48-4CE2-B1D3-79A14CC453D6}"/>
    <cellStyle name="Comma 4 2 6 4 6" xfId="27858" xr:uid="{6264BE51-6B6D-4C79-BDA1-8D5649FA03D3}"/>
    <cellStyle name="Comma 4 2 6 5" xfId="1962" xr:uid="{00000000-0005-0000-0000-000006090000}"/>
    <cellStyle name="Comma 4 2 6 5 2" xfId="4191" xr:uid="{00000000-0005-0000-0000-000007090000}"/>
    <cellStyle name="Comma 4 2 6 5 2 2" xfId="8413" xr:uid="{00000000-0005-0000-0000-000008090000}"/>
    <cellStyle name="Comma 4 2 6 5 2 2 2" xfId="26186" xr:uid="{77018C9F-96D1-4FC6-A537-428B9EF68725}"/>
    <cellStyle name="Comma 4 2 6 5 2 2 2 2" xfId="43080" xr:uid="{4D6C834F-2E35-474A-98E7-7411213329FC}"/>
    <cellStyle name="Comma 4 2 6 5 2 2 3" xfId="17739" xr:uid="{A6342C8C-727F-4BC0-8DE2-091577E3FC45}"/>
    <cellStyle name="Comma 4 2 6 5 2 2 4" xfId="34633" xr:uid="{64A9D7EB-3E35-4DB4-849D-D5D53A1CE5CF}"/>
    <cellStyle name="Comma 4 2 6 5 2 3" xfId="21969" xr:uid="{AFAA0DDB-8940-494E-AD2C-07B64499A5B7}"/>
    <cellStyle name="Comma 4 2 6 5 2 3 2" xfId="38863" xr:uid="{36AC7756-4EC3-4C14-BB49-066BFD6DD130}"/>
    <cellStyle name="Comma 4 2 6 5 2 4" xfId="13522" xr:uid="{653FA63B-2809-43DB-8E5C-2DFB641E3CC6}"/>
    <cellStyle name="Comma 4 2 6 5 2 5" xfId="30416" xr:uid="{5DE13E58-EDFE-4582-BA42-B0728174EC9B}"/>
    <cellStyle name="Comma 4 2 6 5 3" xfId="6268" xr:uid="{00000000-0005-0000-0000-000009090000}"/>
    <cellStyle name="Comma 4 2 6 5 3 2" xfId="24041" xr:uid="{BC97A73C-707D-4929-94E3-41C7CD441110}"/>
    <cellStyle name="Comma 4 2 6 5 3 2 2" xfId="40935" xr:uid="{400B2DDE-5202-4518-877C-86AD4ECD3FEE}"/>
    <cellStyle name="Comma 4 2 6 5 3 3" xfId="15594" xr:uid="{DE874F9F-3766-410A-B414-38DC9F760114}"/>
    <cellStyle name="Comma 4 2 6 5 3 4" xfId="32488" xr:uid="{2CDF2801-A895-4100-BA9A-0018EDFF9A56}"/>
    <cellStyle name="Comma 4 2 6 5 4" xfId="19824" xr:uid="{9E2DF10A-6D1C-4143-BCAC-B1536B993F35}"/>
    <cellStyle name="Comma 4 2 6 5 4 2" xfId="36718" xr:uid="{48528BEE-0990-4782-9F20-169B884F8CDD}"/>
    <cellStyle name="Comma 4 2 6 5 5" xfId="11377" xr:uid="{CDDD8CBE-3B60-4E8D-BF2E-9F680734444E}"/>
    <cellStyle name="Comma 4 2 6 5 6" xfId="28271" xr:uid="{E1502A2C-B5C6-40B1-86FC-B1DC488E2812}"/>
    <cellStyle name="Comma 4 2 6 6" xfId="2397" xr:uid="{00000000-0005-0000-0000-00000A090000}"/>
    <cellStyle name="Comma 4 2 6 6 2" xfId="6681" xr:uid="{00000000-0005-0000-0000-00000B090000}"/>
    <cellStyle name="Comma 4 2 6 6 2 2" xfId="24454" xr:uid="{9353119A-76A1-40A7-86A5-32CCC5C851CE}"/>
    <cellStyle name="Comma 4 2 6 6 2 2 2" xfId="41348" xr:uid="{01E04850-A435-4D84-B78C-9555AF708663}"/>
    <cellStyle name="Comma 4 2 6 6 2 3" xfId="16007" xr:uid="{A2F66A6E-B7F0-446B-AE5F-98800DD9AAC0}"/>
    <cellStyle name="Comma 4 2 6 6 2 4" xfId="32901" xr:uid="{4F38E0B0-8683-44E5-B2FC-16C0A29854BA}"/>
    <cellStyle name="Comma 4 2 6 6 3" xfId="20237" xr:uid="{C3D69480-413F-46AF-A202-C6712F6C3976}"/>
    <cellStyle name="Comma 4 2 6 6 3 2" xfId="37131" xr:uid="{A169A130-A9AB-464C-A3E9-5FB2D455125F}"/>
    <cellStyle name="Comma 4 2 6 6 4" xfId="11790" xr:uid="{62C5EC55-7EC4-4468-B19D-E67B4D7021AB}"/>
    <cellStyle name="Comma 4 2 6 6 5" xfId="28684" xr:uid="{54AB9EA5-0AF5-40C2-8997-94337F550D6A}"/>
    <cellStyle name="Comma 4 2 6 7" xfId="2366" xr:uid="{00000000-0005-0000-0000-00000C090000}"/>
    <cellStyle name="Comma 4 2 6 8" xfId="2775" xr:uid="{00000000-0005-0000-0000-00000D090000}"/>
    <cellStyle name="Comma 4 2 6 8 2" xfId="6998" xr:uid="{00000000-0005-0000-0000-00000E090000}"/>
    <cellStyle name="Comma 4 2 6 8 2 2" xfId="24771" xr:uid="{AF9E5018-771B-4491-9250-03A15D03FCFD}"/>
    <cellStyle name="Comma 4 2 6 8 2 2 2" xfId="41665" xr:uid="{7079B2D7-1068-4C72-9DBB-F03F029A8F91}"/>
    <cellStyle name="Comma 4 2 6 8 2 3" xfId="16324" xr:uid="{755B0870-8C54-438A-A92B-D0C0647CE52F}"/>
    <cellStyle name="Comma 4 2 6 8 2 4" xfId="33218" xr:uid="{74524480-5A7F-43D6-9309-21F2830E9BAD}"/>
    <cellStyle name="Comma 4 2 6 8 3" xfId="20554" xr:uid="{C7DA88F0-4FC3-450C-9864-B795026A3A1E}"/>
    <cellStyle name="Comma 4 2 6 8 3 2" xfId="37448" xr:uid="{1C5FE5B2-7B8A-4715-A163-8D42891800E4}"/>
    <cellStyle name="Comma 4 2 6 8 4" xfId="12107" xr:uid="{7B16AD5D-6012-4D9B-BC9E-B6F11DAB4C0A}"/>
    <cellStyle name="Comma 4 2 6 8 5" xfId="29001" xr:uid="{ABC03A09-0798-4F63-8D56-7F8F760FD46F}"/>
    <cellStyle name="Comma 4 2 6 9" xfId="4615" xr:uid="{00000000-0005-0000-0000-00000F090000}"/>
    <cellStyle name="Comma 4 2 6 9 2" xfId="22388" xr:uid="{CE64ED21-0211-4575-B285-0B0EE1725BF2}"/>
    <cellStyle name="Comma 4 2 6 9 2 2" xfId="39282" xr:uid="{F8044E16-69F0-410C-8C85-433987F49BE9}"/>
    <cellStyle name="Comma 4 2 6 9 3" xfId="13941" xr:uid="{730D0CB9-DB95-49BB-A51B-6F69499D7D38}"/>
    <cellStyle name="Comma 4 2 6 9 4" xfId="30835" xr:uid="{EC1BBF8C-A48C-4099-A52C-677C829BAD18}"/>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0 2 2" xfId="24772" xr:uid="{6E56FEDD-8F2F-4509-840F-3B1F4ECAFDE4}"/>
    <cellStyle name="Comma 4 3 2 10 2 2 2" xfId="41666" xr:uid="{E67C905D-15D4-4E3C-8595-B05B28C4D284}"/>
    <cellStyle name="Comma 4 3 2 10 2 3" xfId="16325" xr:uid="{E80CA040-D9FD-4E99-ABF7-4D1A521788B0}"/>
    <cellStyle name="Comma 4 3 2 10 2 4" xfId="33219" xr:uid="{FA8094A6-FBB3-4D81-A9F2-DCBB996E692E}"/>
    <cellStyle name="Comma 4 3 2 10 3" xfId="20555" xr:uid="{5FF79115-51CE-46B9-AABF-881C08049C8A}"/>
    <cellStyle name="Comma 4 3 2 10 3 2" xfId="37449" xr:uid="{A8ED5FB9-BD1B-4CC8-8365-9FCFD5CD6E4F}"/>
    <cellStyle name="Comma 4 3 2 10 4" xfId="12108" xr:uid="{9577F1FE-E833-437E-B2F2-EF401D4808F8}"/>
    <cellStyle name="Comma 4 3 2 10 5" xfId="29002" xr:uid="{E1E5342E-4728-4AFA-A7FC-9FF6ED9A80CA}"/>
    <cellStyle name="Comma 4 3 2 11" xfId="4616" xr:uid="{00000000-0005-0000-0000-000014090000}"/>
    <cellStyle name="Comma 4 3 2 11 2" xfId="22389" xr:uid="{20CCFF77-389F-463B-95DE-043F0D8B2388}"/>
    <cellStyle name="Comma 4 3 2 11 2 2" xfId="39283" xr:uid="{2D265C04-904D-4CD4-8DC0-1498A5443319}"/>
    <cellStyle name="Comma 4 3 2 11 3" xfId="13942" xr:uid="{A7D65DA8-9F30-444C-9241-C800C2C1938A}"/>
    <cellStyle name="Comma 4 3 2 11 4" xfId="30836" xr:uid="{307377E0-944F-4A75-B4E0-0FB43A61F0D3}"/>
    <cellStyle name="Comma 4 3 2 12" xfId="8807" xr:uid="{5C5EF314-D0DB-425B-AE7D-D52FEEE90EC1}"/>
    <cellStyle name="Comma 4 3 2 12 2" xfId="18172" xr:uid="{8187E17F-289A-4EA7-975D-E11B6206E422}"/>
    <cellStyle name="Comma 4 3 2 12 3" xfId="35066" xr:uid="{DAC72B61-1391-4A8D-A03E-6BE01EA8D57C}"/>
    <cellStyle name="Comma 4 3 2 13" xfId="9725" xr:uid="{6A644D7F-A560-4463-AFFA-111B60F89F6C}"/>
    <cellStyle name="Comma 4 3 2 14" xfId="26619" xr:uid="{79B60999-0BFE-4B5D-9C62-9E837F62F175}"/>
    <cellStyle name="Comma 4 3 2 2" xfId="146" xr:uid="{00000000-0005-0000-0000-000015090000}"/>
    <cellStyle name="Comma 4 3 2 2 10" xfId="4617" xr:uid="{00000000-0005-0000-0000-000016090000}"/>
    <cellStyle name="Comma 4 3 2 2 10 2" xfId="22390" xr:uid="{E2F9D87E-271F-4275-ACE7-0369490E0032}"/>
    <cellStyle name="Comma 4 3 2 2 10 2 2" xfId="39284" xr:uid="{D242908D-C828-47BA-9B65-6D974AB9FC9C}"/>
    <cellStyle name="Comma 4 3 2 2 10 3" xfId="13943" xr:uid="{695F8F23-8990-476F-B0B6-57DBF09DBA95}"/>
    <cellStyle name="Comma 4 3 2 2 10 4" xfId="30837" xr:uid="{87FB4836-E1A2-4150-BE6F-1FACBC6EBB80}"/>
    <cellStyle name="Comma 4 3 2 2 11" xfId="8910" xr:uid="{15019DD0-71A0-438D-B796-68DE42B22692}"/>
    <cellStyle name="Comma 4 3 2 2 11 2" xfId="18173" xr:uid="{807B5763-59CB-44B9-84B9-4DC6869E54E1}"/>
    <cellStyle name="Comma 4 3 2 2 11 3" xfId="35067" xr:uid="{D02B44F4-EC37-4395-81CF-1A9F0C9358BE}"/>
    <cellStyle name="Comma 4 3 2 2 12" xfId="9726" xr:uid="{9997DBDB-80AC-4371-B2C1-6656D538A95E}"/>
    <cellStyle name="Comma 4 3 2 2 13" xfId="26620" xr:uid="{79B55892-D50F-4033-BE1E-8E4D17267AA2}"/>
    <cellStyle name="Comma 4 3 2 2 2" xfId="147" xr:uid="{00000000-0005-0000-0000-000017090000}"/>
    <cellStyle name="Comma 4 3 2 2 2 10" xfId="9117" xr:uid="{1409F531-DBF2-41E0-9C74-F9317358BA15}"/>
    <cellStyle name="Comma 4 3 2 2 2 10 2" xfId="18174" xr:uid="{DAD30225-FD3B-4147-B4C7-B7B547EEA4BA}"/>
    <cellStyle name="Comma 4 3 2 2 2 10 3" xfId="35068" xr:uid="{94F13828-5136-48F2-AFB3-21E490E055AC}"/>
    <cellStyle name="Comma 4 3 2 2 2 11" xfId="9727" xr:uid="{E32BE38E-42D9-4785-8D1A-54BBEDEC0E92}"/>
    <cellStyle name="Comma 4 3 2 2 2 12" xfId="26621" xr:uid="{8264EF05-608E-482C-99A8-FE183B2E347E}"/>
    <cellStyle name="Comma 4 3 2 2 2 2" xfId="684" xr:uid="{00000000-0005-0000-0000-000018090000}"/>
    <cellStyle name="Comma 4 3 2 2 2 2 2" xfId="2955" xr:uid="{00000000-0005-0000-0000-000019090000}"/>
    <cellStyle name="Comma 4 3 2 2 2 2 2 2" xfId="7177" xr:uid="{00000000-0005-0000-0000-00001A090000}"/>
    <cellStyle name="Comma 4 3 2 2 2 2 2 2 2" xfId="24950" xr:uid="{3198DB70-585C-44EB-8772-B5C7EABE0732}"/>
    <cellStyle name="Comma 4 3 2 2 2 2 2 2 2 2" xfId="41844" xr:uid="{6B50CBE8-9C34-4984-A380-EA3375A6EBAB}"/>
    <cellStyle name="Comma 4 3 2 2 2 2 2 2 3" xfId="16503" xr:uid="{6173F529-3B10-4EAF-ACF4-A14C68C4ED14}"/>
    <cellStyle name="Comma 4 3 2 2 2 2 2 2 4" xfId="33397" xr:uid="{F63C665D-3F1E-424C-A7CD-B3D026BF965D}"/>
    <cellStyle name="Comma 4 3 2 2 2 2 2 3" xfId="20733" xr:uid="{239D28E6-C8F2-4264-9DBB-E034FA506E96}"/>
    <cellStyle name="Comma 4 3 2 2 2 2 2 3 2" xfId="37627" xr:uid="{5AF0F84D-E378-4F9C-8905-AF2E8430A94F}"/>
    <cellStyle name="Comma 4 3 2 2 2 2 2 4" xfId="12286" xr:uid="{33FB0A2A-9EC9-472D-A8B3-FFA1F43939B5}"/>
    <cellStyle name="Comma 4 3 2 2 2 2 2 5" xfId="29180" xr:uid="{BDB13221-AF05-4612-A303-7EF17D339DAA}"/>
    <cellStyle name="Comma 4 3 2 2 2 2 3" xfId="5032" xr:uid="{00000000-0005-0000-0000-00001B090000}"/>
    <cellStyle name="Comma 4 3 2 2 2 2 3 2" xfId="22805" xr:uid="{3FB43754-5717-429E-B2E3-9FD04AB6B5A0}"/>
    <cellStyle name="Comma 4 3 2 2 2 2 3 2 2" xfId="39699" xr:uid="{563120F3-C427-4901-83E6-1D11DC8B7ADD}"/>
    <cellStyle name="Comma 4 3 2 2 2 2 3 3" xfId="14358" xr:uid="{1BFA15AB-3E80-4BC1-895F-E4B83A6B09F2}"/>
    <cellStyle name="Comma 4 3 2 2 2 2 3 4" xfId="31252" xr:uid="{1CEC0EA0-FB30-42B3-A15E-CEB370BD4F17}"/>
    <cellStyle name="Comma 4 3 2 2 2 2 4" xfId="9542" xr:uid="{26CD77CC-F017-4839-8245-BBF245D45E53}"/>
    <cellStyle name="Comma 4 3 2 2 2 2 4 2" xfId="18588" xr:uid="{8A0EEA61-4BE6-463A-A705-7ABDE6B99EED}"/>
    <cellStyle name="Comma 4 3 2 2 2 2 4 3" xfId="35482" xr:uid="{966EAB85-EC56-4C7C-8C44-8B3500B1FE0E}"/>
    <cellStyle name="Comma 4 3 2 2 2 2 5" xfId="10141" xr:uid="{2522A557-BD65-4551-93B3-9A2C0855FFE3}"/>
    <cellStyle name="Comma 4 3 2 2 2 2 6" xfId="27035" xr:uid="{8C603DF7-35E9-4DA9-A402-FF7C7332E6D8}"/>
    <cellStyle name="Comma 4 3 2 2 2 3" xfId="1137" xr:uid="{00000000-0005-0000-0000-00001C090000}"/>
    <cellStyle name="Comma 4 3 2 2 2 3 2" xfId="3368" xr:uid="{00000000-0005-0000-0000-00001D090000}"/>
    <cellStyle name="Comma 4 3 2 2 2 3 2 2" xfId="7590" xr:uid="{00000000-0005-0000-0000-00001E090000}"/>
    <cellStyle name="Comma 4 3 2 2 2 3 2 2 2" xfId="25363" xr:uid="{BBCABAFF-EC2F-4FDD-94CD-44AEF247F634}"/>
    <cellStyle name="Comma 4 3 2 2 2 3 2 2 2 2" xfId="42257" xr:uid="{78B54AF7-1A6F-4BBB-B509-2A4B75730660}"/>
    <cellStyle name="Comma 4 3 2 2 2 3 2 2 3" xfId="16916" xr:uid="{75105028-AE33-474B-AA6B-8C3A177F50AE}"/>
    <cellStyle name="Comma 4 3 2 2 2 3 2 2 4" xfId="33810" xr:uid="{397E20A6-90E6-4825-833D-421CFA9DC1B4}"/>
    <cellStyle name="Comma 4 3 2 2 2 3 2 3" xfId="21146" xr:uid="{8A778212-A128-4BBB-AC5D-D7FE5D2D0149}"/>
    <cellStyle name="Comma 4 3 2 2 2 3 2 3 2" xfId="38040" xr:uid="{4F4BBD56-A58C-432B-86D2-B26DAFC78807}"/>
    <cellStyle name="Comma 4 3 2 2 2 3 2 4" xfId="12699" xr:uid="{C70EBDCF-98B7-45AC-B191-A7AA02C5F54E}"/>
    <cellStyle name="Comma 4 3 2 2 2 3 2 5" xfId="29593" xr:uid="{F64E2E53-C401-40DD-B586-A2B3FE6638F1}"/>
    <cellStyle name="Comma 4 3 2 2 2 3 3" xfId="5445" xr:uid="{00000000-0005-0000-0000-00001F090000}"/>
    <cellStyle name="Comma 4 3 2 2 2 3 3 2" xfId="23218" xr:uid="{C3F69447-637D-4101-B7A3-C0429C038927}"/>
    <cellStyle name="Comma 4 3 2 2 2 3 3 2 2" xfId="40112" xr:uid="{B29703F9-5CFD-4CCC-A3D6-7C3A89BBDBA9}"/>
    <cellStyle name="Comma 4 3 2 2 2 3 3 3" xfId="14771" xr:uid="{35807575-543C-4515-93FA-8AC010BAC4FC}"/>
    <cellStyle name="Comma 4 3 2 2 2 3 3 4" xfId="31665" xr:uid="{3849ECF4-6ECD-452D-9439-625B4E760052}"/>
    <cellStyle name="Comma 4 3 2 2 2 3 4" xfId="19001" xr:uid="{4B0DF272-EFA7-42F5-B8A4-0471590F956D}"/>
    <cellStyle name="Comma 4 3 2 2 2 3 4 2" xfId="35895" xr:uid="{3C17B2FC-D9F6-4690-BB58-6650D7B66AE4}"/>
    <cellStyle name="Comma 4 3 2 2 2 3 5" xfId="10554" xr:uid="{4372F5F1-4A57-45A1-8DB0-194FBAE5FDF9}"/>
    <cellStyle name="Comma 4 3 2 2 2 3 6" xfId="27448" xr:uid="{041326C5-D072-4E21-9B7C-4F1765F6B524}"/>
    <cellStyle name="Comma 4 3 2 2 2 4" xfId="1551" xr:uid="{00000000-0005-0000-0000-000020090000}"/>
    <cellStyle name="Comma 4 3 2 2 2 4 2" xfId="3781" xr:uid="{00000000-0005-0000-0000-000021090000}"/>
    <cellStyle name="Comma 4 3 2 2 2 4 2 2" xfId="8003" xr:uid="{00000000-0005-0000-0000-000022090000}"/>
    <cellStyle name="Comma 4 3 2 2 2 4 2 2 2" xfId="25776" xr:uid="{F5181857-36C1-40EA-9315-A48E59020E03}"/>
    <cellStyle name="Comma 4 3 2 2 2 4 2 2 2 2" xfId="42670" xr:uid="{95303154-3F14-454F-B1DF-45BE8BD9CC60}"/>
    <cellStyle name="Comma 4 3 2 2 2 4 2 2 3" xfId="17329" xr:uid="{2BC89773-B489-4757-9821-61F587E77CB6}"/>
    <cellStyle name="Comma 4 3 2 2 2 4 2 2 4" xfId="34223" xr:uid="{4FD07F63-583B-487F-9C98-61942AA42630}"/>
    <cellStyle name="Comma 4 3 2 2 2 4 2 3" xfId="21559" xr:uid="{5A6E1CDC-2353-4B1D-A9C8-AD6C40476A28}"/>
    <cellStyle name="Comma 4 3 2 2 2 4 2 3 2" xfId="38453" xr:uid="{96BEB1D6-E860-410E-B34E-6CE0D6A413AC}"/>
    <cellStyle name="Comma 4 3 2 2 2 4 2 4" xfId="13112" xr:uid="{EC63CE7F-E768-4736-B55B-3D4EFD240132}"/>
    <cellStyle name="Comma 4 3 2 2 2 4 2 5" xfId="30006" xr:uid="{BFCBEEE0-5EC7-433D-9E7F-782D8FF1EB79}"/>
    <cellStyle name="Comma 4 3 2 2 2 4 3" xfId="5858" xr:uid="{00000000-0005-0000-0000-000023090000}"/>
    <cellStyle name="Comma 4 3 2 2 2 4 3 2" xfId="23631" xr:uid="{A46A72B7-5259-4BA8-9D74-87F625D41C5C}"/>
    <cellStyle name="Comma 4 3 2 2 2 4 3 2 2" xfId="40525" xr:uid="{17E4469C-510F-46E6-A1B2-0DDDEB3F389D}"/>
    <cellStyle name="Comma 4 3 2 2 2 4 3 3" xfId="15184" xr:uid="{F791B574-365E-4AC1-8639-94F0C794E31F}"/>
    <cellStyle name="Comma 4 3 2 2 2 4 3 4" xfId="32078" xr:uid="{662E1914-553E-4EFB-8EAE-E58C5677343D}"/>
    <cellStyle name="Comma 4 3 2 2 2 4 4" xfId="19414" xr:uid="{9B152093-3DE0-4C15-B517-237FA2E6B25A}"/>
    <cellStyle name="Comma 4 3 2 2 2 4 4 2" xfId="36308" xr:uid="{77791F22-4E69-4025-8EDD-E4C8626B9C8E}"/>
    <cellStyle name="Comma 4 3 2 2 2 4 5" xfId="10967" xr:uid="{8306086B-6239-4140-A6E7-C06F8F41B16F}"/>
    <cellStyle name="Comma 4 3 2 2 2 4 6" xfId="27861" xr:uid="{B16E00D3-5BBA-44DF-9933-14335245148B}"/>
    <cellStyle name="Comma 4 3 2 2 2 5" xfId="1965" xr:uid="{00000000-0005-0000-0000-000024090000}"/>
    <cellStyle name="Comma 4 3 2 2 2 5 2" xfId="4194" xr:uid="{00000000-0005-0000-0000-000025090000}"/>
    <cellStyle name="Comma 4 3 2 2 2 5 2 2" xfId="8416" xr:uid="{00000000-0005-0000-0000-000026090000}"/>
    <cellStyle name="Comma 4 3 2 2 2 5 2 2 2" xfId="26189" xr:uid="{A858C714-4BAB-4EF1-B8BA-C4CBB89DA85E}"/>
    <cellStyle name="Comma 4 3 2 2 2 5 2 2 2 2" xfId="43083" xr:uid="{0AE38649-23D3-4832-8291-CC5CA04F7144}"/>
    <cellStyle name="Comma 4 3 2 2 2 5 2 2 3" xfId="17742" xr:uid="{B2C1BE9D-76E2-4741-B4EF-D99E9F03296C}"/>
    <cellStyle name="Comma 4 3 2 2 2 5 2 2 4" xfId="34636" xr:uid="{5B722DEE-9DAC-49EA-9DAB-2F1449D18833}"/>
    <cellStyle name="Comma 4 3 2 2 2 5 2 3" xfId="21972" xr:uid="{AB9EDFC7-CE76-49FF-BA74-4ECFBCEB135C}"/>
    <cellStyle name="Comma 4 3 2 2 2 5 2 3 2" xfId="38866" xr:uid="{329F3B8D-47DD-46D7-B3B6-FCE198FB8845}"/>
    <cellStyle name="Comma 4 3 2 2 2 5 2 4" xfId="13525" xr:uid="{45E5B07C-F16D-4751-9CEE-057A5AC1577B}"/>
    <cellStyle name="Comma 4 3 2 2 2 5 2 5" xfId="30419" xr:uid="{6382AD79-B700-4E77-A01D-74DE75D03805}"/>
    <cellStyle name="Comma 4 3 2 2 2 5 3" xfId="6271" xr:uid="{00000000-0005-0000-0000-000027090000}"/>
    <cellStyle name="Comma 4 3 2 2 2 5 3 2" xfId="24044" xr:uid="{6F09554C-A0E3-4F74-8456-9251258B9483}"/>
    <cellStyle name="Comma 4 3 2 2 2 5 3 2 2" xfId="40938" xr:uid="{636E3927-D4E4-4943-BC55-4C7195EB22B3}"/>
    <cellStyle name="Comma 4 3 2 2 2 5 3 3" xfId="15597" xr:uid="{6B885804-2A46-4B3B-9824-019C1D6EC0D7}"/>
    <cellStyle name="Comma 4 3 2 2 2 5 3 4" xfId="32491" xr:uid="{9EA90FDD-B28A-4D8F-85F8-B29BEB3DF6BB}"/>
    <cellStyle name="Comma 4 3 2 2 2 5 4" xfId="19827" xr:uid="{A0E803B1-5CC4-408D-9C9C-E81CDC1CE0C1}"/>
    <cellStyle name="Comma 4 3 2 2 2 5 4 2" xfId="36721" xr:uid="{F75F7FBF-ECCF-4007-B126-E0665B9CCAD1}"/>
    <cellStyle name="Comma 4 3 2 2 2 5 5" xfId="11380" xr:uid="{EF485D7E-DBA0-45EC-B4D2-03563043CDDD}"/>
    <cellStyle name="Comma 4 3 2 2 2 5 6" xfId="28274" xr:uid="{BE14BB0E-7AF7-4917-98DD-19772FD1ED9B}"/>
    <cellStyle name="Comma 4 3 2 2 2 6" xfId="2400" xr:uid="{00000000-0005-0000-0000-000028090000}"/>
    <cellStyle name="Comma 4 3 2 2 2 6 2" xfId="6684" xr:uid="{00000000-0005-0000-0000-000029090000}"/>
    <cellStyle name="Comma 4 3 2 2 2 6 2 2" xfId="24457" xr:uid="{72724408-0B4F-4DBE-A25B-BDB205DFB0FB}"/>
    <cellStyle name="Comma 4 3 2 2 2 6 2 2 2" xfId="41351" xr:uid="{7BB5F831-09CF-4F89-BDB3-D661DD143804}"/>
    <cellStyle name="Comma 4 3 2 2 2 6 2 3" xfId="16010" xr:uid="{20D1D4C0-A355-4515-9B02-88E1347D5F22}"/>
    <cellStyle name="Comma 4 3 2 2 2 6 2 4" xfId="32904" xr:uid="{84D27269-B45A-4554-B1FD-ABE86D5040B9}"/>
    <cellStyle name="Comma 4 3 2 2 2 6 3" xfId="20240" xr:uid="{F10EDD11-613A-440E-9F9B-8D1CF12A4AE6}"/>
    <cellStyle name="Comma 4 3 2 2 2 6 3 2" xfId="37134" xr:uid="{B4E13D14-E949-4BE5-A59A-92BE17929813}"/>
    <cellStyle name="Comma 4 3 2 2 2 6 4" xfId="11793" xr:uid="{61E695BA-1EAC-4187-8EB5-E3F2F40FBE90}"/>
    <cellStyle name="Comma 4 3 2 2 2 6 5" xfId="28687" xr:uid="{F92A27F2-7916-4A14-91A4-5AB25C868A02}"/>
    <cellStyle name="Comma 4 3 2 2 2 7" xfId="2363" xr:uid="{00000000-0005-0000-0000-00002A090000}"/>
    <cellStyle name="Comma 4 3 2 2 2 8" xfId="2778" xr:uid="{00000000-0005-0000-0000-00002B090000}"/>
    <cellStyle name="Comma 4 3 2 2 2 8 2" xfId="7001" xr:uid="{00000000-0005-0000-0000-00002C090000}"/>
    <cellStyle name="Comma 4 3 2 2 2 8 2 2" xfId="24774" xr:uid="{FD1DF2DF-78C8-4FBF-BB04-8D018F814B01}"/>
    <cellStyle name="Comma 4 3 2 2 2 8 2 2 2" xfId="41668" xr:uid="{A70BD2E8-2B6F-4DD1-A308-FEDB71C42362}"/>
    <cellStyle name="Comma 4 3 2 2 2 8 2 3" xfId="16327" xr:uid="{551547ED-BD11-4152-B2AC-24A8006A950C}"/>
    <cellStyle name="Comma 4 3 2 2 2 8 2 4" xfId="33221" xr:uid="{7F920718-063D-45AD-B372-82C5388F58F0}"/>
    <cellStyle name="Comma 4 3 2 2 2 8 3" xfId="20557" xr:uid="{2A7F9E3F-57D3-4B40-9A18-DD3957AB2CBD}"/>
    <cellStyle name="Comma 4 3 2 2 2 8 3 2" xfId="37451" xr:uid="{97C1DE7A-58DE-448A-8B8F-6D4E3F0994E3}"/>
    <cellStyle name="Comma 4 3 2 2 2 8 4" xfId="12110" xr:uid="{64C23185-B93E-4B4D-86BD-0C38E87FFD19}"/>
    <cellStyle name="Comma 4 3 2 2 2 8 5" xfId="29004" xr:uid="{8C6EF85D-F617-4DF4-8DF6-DE78691456CC}"/>
    <cellStyle name="Comma 4 3 2 2 2 9" xfId="4618" xr:uid="{00000000-0005-0000-0000-00002D090000}"/>
    <cellStyle name="Comma 4 3 2 2 2 9 2" xfId="22391" xr:uid="{F402C538-6121-4A30-BA75-54B0BE0C5587}"/>
    <cellStyle name="Comma 4 3 2 2 2 9 2 2" xfId="39285" xr:uid="{BA63BC44-379F-4B7E-942C-687EC4FE1D66}"/>
    <cellStyle name="Comma 4 3 2 2 2 9 3" xfId="13944" xr:uid="{658A4FE6-70AB-4650-A137-58C82670CB89}"/>
    <cellStyle name="Comma 4 3 2 2 2 9 4" xfId="30838" xr:uid="{0A90A6E5-E6D3-494B-BA28-CA566E39A0F7}"/>
    <cellStyle name="Comma 4 3 2 2 3" xfId="683" xr:uid="{00000000-0005-0000-0000-00002E090000}"/>
    <cellStyle name="Comma 4 3 2 2 3 2" xfId="2954" xr:uid="{00000000-0005-0000-0000-00002F090000}"/>
    <cellStyle name="Comma 4 3 2 2 3 2 2" xfId="7176" xr:uid="{00000000-0005-0000-0000-000030090000}"/>
    <cellStyle name="Comma 4 3 2 2 3 2 2 2" xfId="24949" xr:uid="{DFEB7C8E-EC76-4389-AE13-461D16E5F2FB}"/>
    <cellStyle name="Comma 4 3 2 2 3 2 2 2 2" xfId="41843" xr:uid="{7098B700-1677-4AEA-84CF-4FCF427921F5}"/>
    <cellStyle name="Comma 4 3 2 2 3 2 2 3" xfId="16502" xr:uid="{3A06B542-B0D4-416A-A2C6-0893A9699299}"/>
    <cellStyle name="Comma 4 3 2 2 3 2 2 4" xfId="33396" xr:uid="{F0D23BF9-AA22-410A-AAD3-47883B0F291A}"/>
    <cellStyle name="Comma 4 3 2 2 3 2 3" xfId="20732" xr:uid="{CEBCCBA5-30D3-4E9C-AEA8-4262D72D1417}"/>
    <cellStyle name="Comma 4 3 2 2 3 2 3 2" xfId="37626" xr:uid="{367DD3E2-45DD-4C20-9D13-D17F4D78EAB6}"/>
    <cellStyle name="Comma 4 3 2 2 3 2 4" xfId="12285" xr:uid="{F489E375-19AB-4292-9CA4-7675800AAA15}"/>
    <cellStyle name="Comma 4 3 2 2 3 2 5" xfId="29179" xr:uid="{F2C330A1-1708-4FD4-9582-5AF209028993}"/>
    <cellStyle name="Comma 4 3 2 2 3 3" xfId="5031" xr:uid="{00000000-0005-0000-0000-000031090000}"/>
    <cellStyle name="Comma 4 3 2 2 3 3 2" xfId="22804" xr:uid="{D84FA8AC-E66C-48E5-B90F-394E55D03062}"/>
    <cellStyle name="Comma 4 3 2 2 3 3 2 2" xfId="39698" xr:uid="{DC251911-3307-49E7-A1B1-DD8BC0BBED6A}"/>
    <cellStyle name="Comma 4 3 2 2 3 3 3" xfId="14357" xr:uid="{735E903A-E272-4ACE-9326-29FD26849A42}"/>
    <cellStyle name="Comma 4 3 2 2 3 3 4" xfId="31251" xr:uid="{8BB3B6EA-702E-43F4-B5F6-AD3A10A2C025}"/>
    <cellStyle name="Comma 4 3 2 2 3 4" xfId="9335" xr:uid="{BACD532B-C811-4076-B107-03E74D1B7113}"/>
    <cellStyle name="Comma 4 3 2 2 3 4 2" xfId="18587" xr:uid="{E84EBC40-0276-4601-864C-FD886BE4579A}"/>
    <cellStyle name="Comma 4 3 2 2 3 4 3" xfId="35481" xr:uid="{6FBEC748-0546-44D3-84BA-81E4869E2E52}"/>
    <cellStyle name="Comma 4 3 2 2 3 5" xfId="10140" xr:uid="{3B179265-BEFB-4BE4-B1C6-6368BB07B0C9}"/>
    <cellStyle name="Comma 4 3 2 2 3 6" xfId="27034" xr:uid="{107E88E5-BFF4-449F-80E5-3158E64AF414}"/>
    <cellStyle name="Comma 4 3 2 2 4" xfId="1136" xr:uid="{00000000-0005-0000-0000-000032090000}"/>
    <cellStyle name="Comma 4 3 2 2 4 2" xfId="3367" xr:uid="{00000000-0005-0000-0000-000033090000}"/>
    <cellStyle name="Comma 4 3 2 2 4 2 2" xfId="7589" xr:uid="{00000000-0005-0000-0000-000034090000}"/>
    <cellStyle name="Comma 4 3 2 2 4 2 2 2" xfId="25362" xr:uid="{118B9289-31FA-4D79-AD4F-910D8FD61BAB}"/>
    <cellStyle name="Comma 4 3 2 2 4 2 2 2 2" xfId="42256" xr:uid="{E0697E2C-F576-4B5E-9613-2A6F2C973EED}"/>
    <cellStyle name="Comma 4 3 2 2 4 2 2 3" xfId="16915" xr:uid="{14556CCB-40E9-4474-B08F-B989F1BFF6B4}"/>
    <cellStyle name="Comma 4 3 2 2 4 2 2 4" xfId="33809" xr:uid="{21F42942-61F6-4E34-BFF9-839BD8CFF41E}"/>
    <cellStyle name="Comma 4 3 2 2 4 2 3" xfId="21145" xr:uid="{E1240824-9804-49EC-ACD8-B385AE27CBE5}"/>
    <cellStyle name="Comma 4 3 2 2 4 2 3 2" xfId="38039" xr:uid="{05875DB1-5AF5-4B3D-AB40-2214D645C1EE}"/>
    <cellStyle name="Comma 4 3 2 2 4 2 4" xfId="12698" xr:uid="{CD499188-A8CA-4C3E-802B-F94D4F4D9D06}"/>
    <cellStyle name="Comma 4 3 2 2 4 2 5" xfId="29592" xr:uid="{06B8125B-3540-40C4-B5EF-80A7F2B356C9}"/>
    <cellStyle name="Comma 4 3 2 2 4 3" xfId="5444" xr:uid="{00000000-0005-0000-0000-000035090000}"/>
    <cellStyle name="Comma 4 3 2 2 4 3 2" xfId="23217" xr:uid="{F80ACCF6-1773-4AA1-A465-8B637B7A6CD3}"/>
    <cellStyle name="Comma 4 3 2 2 4 3 2 2" xfId="40111" xr:uid="{402B2FA5-3D03-489B-8473-75756C85899D}"/>
    <cellStyle name="Comma 4 3 2 2 4 3 3" xfId="14770" xr:uid="{844387B3-E085-4957-868C-5B4C33D1D3A0}"/>
    <cellStyle name="Comma 4 3 2 2 4 3 4" xfId="31664" xr:uid="{7E44BB7C-4FBB-4307-8DC8-E0D8F0DA6A8C}"/>
    <cellStyle name="Comma 4 3 2 2 4 4" xfId="19000" xr:uid="{A8228772-D07F-47B7-BF2B-B98DD9A146DD}"/>
    <cellStyle name="Comma 4 3 2 2 4 4 2" xfId="35894" xr:uid="{2DF42B5A-0E49-4FA3-9B6A-DA53B5CEB3D0}"/>
    <cellStyle name="Comma 4 3 2 2 4 5" xfId="10553" xr:uid="{F0727D8C-66A7-4F25-8FA8-F0C87D6C10A7}"/>
    <cellStyle name="Comma 4 3 2 2 4 6" xfId="27447" xr:uid="{451E9D20-4FDB-43F0-AC2C-D517C4C6D391}"/>
    <cellStyle name="Comma 4 3 2 2 5" xfId="1550" xr:uid="{00000000-0005-0000-0000-000036090000}"/>
    <cellStyle name="Comma 4 3 2 2 5 2" xfId="3780" xr:uid="{00000000-0005-0000-0000-000037090000}"/>
    <cellStyle name="Comma 4 3 2 2 5 2 2" xfId="8002" xr:uid="{00000000-0005-0000-0000-000038090000}"/>
    <cellStyle name="Comma 4 3 2 2 5 2 2 2" xfId="25775" xr:uid="{D11EB69A-9D6D-45FB-B897-7C41580147BE}"/>
    <cellStyle name="Comma 4 3 2 2 5 2 2 2 2" xfId="42669" xr:uid="{10449E1E-F240-43A8-9ACB-D79305D27985}"/>
    <cellStyle name="Comma 4 3 2 2 5 2 2 3" xfId="17328" xr:uid="{24D9B11F-91AB-43D8-A39D-3688A269D88F}"/>
    <cellStyle name="Comma 4 3 2 2 5 2 2 4" xfId="34222" xr:uid="{670616BA-8E53-42BB-9BB1-F99820C9DD21}"/>
    <cellStyle name="Comma 4 3 2 2 5 2 3" xfId="21558" xr:uid="{E12034AD-1EE8-416E-8E17-D0711CD4523A}"/>
    <cellStyle name="Comma 4 3 2 2 5 2 3 2" xfId="38452" xr:uid="{746DF32A-4680-4D11-8A0F-889050C5F1A2}"/>
    <cellStyle name="Comma 4 3 2 2 5 2 4" xfId="13111" xr:uid="{CE8E6625-E45D-4EA0-B81C-B1B4D4711F2A}"/>
    <cellStyle name="Comma 4 3 2 2 5 2 5" xfId="30005" xr:uid="{F81DBB1F-55E6-43A0-A07F-1F77377A7713}"/>
    <cellStyle name="Comma 4 3 2 2 5 3" xfId="5857" xr:uid="{00000000-0005-0000-0000-000039090000}"/>
    <cellStyle name="Comma 4 3 2 2 5 3 2" xfId="23630" xr:uid="{9D91C7B4-B31F-4D8E-9147-2758BE724E37}"/>
    <cellStyle name="Comma 4 3 2 2 5 3 2 2" xfId="40524" xr:uid="{4EB93A50-A277-4787-90CF-53A1C42DFF64}"/>
    <cellStyle name="Comma 4 3 2 2 5 3 3" xfId="15183" xr:uid="{A8876EB3-789B-491A-ADB0-50AE26B7B51E}"/>
    <cellStyle name="Comma 4 3 2 2 5 3 4" xfId="32077" xr:uid="{740E1E79-7E9A-48D1-8E08-9383799CF908}"/>
    <cellStyle name="Comma 4 3 2 2 5 4" xfId="19413" xr:uid="{35EFC247-B46C-4730-BF86-8362C5D4134A}"/>
    <cellStyle name="Comma 4 3 2 2 5 4 2" xfId="36307" xr:uid="{E3D578BF-2758-442B-9DCB-57E2A81E43A4}"/>
    <cellStyle name="Comma 4 3 2 2 5 5" xfId="10966" xr:uid="{3BAA5EE9-9384-4569-A0CE-23B875EA79F8}"/>
    <cellStyle name="Comma 4 3 2 2 5 6" xfId="27860" xr:uid="{4CDC17AD-6CA8-48D1-A259-A336D797EE07}"/>
    <cellStyle name="Comma 4 3 2 2 6" xfId="1964" xr:uid="{00000000-0005-0000-0000-00003A090000}"/>
    <cellStyle name="Comma 4 3 2 2 6 2" xfId="4193" xr:uid="{00000000-0005-0000-0000-00003B090000}"/>
    <cellStyle name="Comma 4 3 2 2 6 2 2" xfId="8415" xr:uid="{00000000-0005-0000-0000-00003C090000}"/>
    <cellStyle name="Comma 4 3 2 2 6 2 2 2" xfId="26188" xr:uid="{AEA85C58-4815-4BAB-823F-BFE14FAA3C79}"/>
    <cellStyle name="Comma 4 3 2 2 6 2 2 2 2" xfId="43082" xr:uid="{C15B42FB-5EAA-4E40-ABE6-B514BCFE32C3}"/>
    <cellStyle name="Comma 4 3 2 2 6 2 2 3" xfId="17741" xr:uid="{13F50AF7-E945-4140-8492-357AABD5BEAA}"/>
    <cellStyle name="Comma 4 3 2 2 6 2 2 4" xfId="34635" xr:uid="{0107C320-AE5E-4BE1-98ED-BFE22F8349CC}"/>
    <cellStyle name="Comma 4 3 2 2 6 2 3" xfId="21971" xr:uid="{3D50A12B-ED23-438E-8A8C-2FB41B33E9EA}"/>
    <cellStyle name="Comma 4 3 2 2 6 2 3 2" xfId="38865" xr:uid="{1D916FBD-50B7-4244-A32A-A56F4176937F}"/>
    <cellStyle name="Comma 4 3 2 2 6 2 4" xfId="13524" xr:uid="{F6F491CC-F1EE-47C8-A75A-83DC05C348A4}"/>
    <cellStyle name="Comma 4 3 2 2 6 2 5" xfId="30418" xr:uid="{82BDBF21-46BC-448E-946B-B5648ACEB542}"/>
    <cellStyle name="Comma 4 3 2 2 6 3" xfId="6270" xr:uid="{00000000-0005-0000-0000-00003D090000}"/>
    <cellStyle name="Comma 4 3 2 2 6 3 2" xfId="24043" xr:uid="{D9B3B001-CDEE-4FED-B4C7-FAB6CF679470}"/>
    <cellStyle name="Comma 4 3 2 2 6 3 2 2" xfId="40937" xr:uid="{0EA66BC4-4E8D-4FAA-B357-413BE0B317BB}"/>
    <cellStyle name="Comma 4 3 2 2 6 3 3" xfId="15596" xr:uid="{D266097D-2BFC-479D-97C5-D1953BFEE3A6}"/>
    <cellStyle name="Comma 4 3 2 2 6 3 4" xfId="32490" xr:uid="{E2A522DE-B220-4FDB-AFCD-8897DE033EE3}"/>
    <cellStyle name="Comma 4 3 2 2 6 4" xfId="19826" xr:uid="{52A437CF-9268-44CD-ADAE-35BDFB6DF7C8}"/>
    <cellStyle name="Comma 4 3 2 2 6 4 2" xfId="36720" xr:uid="{CE330DAC-70FE-430B-A217-55E64B41E4B1}"/>
    <cellStyle name="Comma 4 3 2 2 6 5" xfId="11379" xr:uid="{662353FB-913F-4125-9EB1-01688F8A19A4}"/>
    <cellStyle name="Comma 4 3 2 2 6 6" xfId="28273" xr:uid="{CFAD4F05-CBD4-4BA0-95F6-5069287323C7}"/>
    <cellStyle name="Comma 4 3 2 2 7" xfId="2399" xr:uid="{00000000-0005-0000-0000-00003E090000}"/>
    <cellStyle name="Comma 4 3 2 2 7 2" xfId="6683" xr:uid="{00000000-0005-0000-0000-00003F090000}"/>
    <cellStyle name="Comma 4 3 2 2 7 2 2" xfId="24456" xr:uid="{FB21912D-4AAA-482F-8885-5083C3A11184}"/>
    <cellStyle name="Comma 4 3 2 2 7 2 2 2" xfId="41350" xr:uid="{BD2BE4C3-5722-49DE-8B44-6457F189F839}"/>
    <cellStyle name="Comma 4 3 2 2 7 2 3" xfId="16009" xr:uid="{FAA38FF8-DC4C-4238-8C36-931D7D8B4466}"/>
    <cellStyle name="Comma 4 3 2 2 7 2 4" xfId="32903" xr:uid="{B066947F-1D60-4F39-A79B-88B9713DD822}"/>
    <cellStyle name="Comma 4 3 2 2 7 3" xfId="20239" xr:uid="{5A5374AC-786B-4FB2-960C-FE6DC8991D34}"/>
    <cellStyle name="Comma 4 3 2 2 7 3 2" xfId="37133" xr:uid="{99ECDDD3-F09F-4CFB-B819-21B3B18F5293}"/>
    <cellStyle name="Comma 4 3 2 2 7 4" xfId="11792" xr:uid="{678147F6-321A-44A2-8223-57C6CE3B9DA3}"/>
    <cellStyle name="Comma 4 3 2 2 7 5" xfId="28686" xr:uid="{4399CD63-666A-42BB-AC38-A2A3AF2778DD}"/>
    <cellStyle name="Comma 4 3 2 2 8" xfId="2364" xr:uid="{00000000-0005-0000-0000-000040090000}"/>
    <cellStyle name="Comma 4 3 2 2 9" xfId="2777" xr:uid="{00000000-0005-0000-0000-000041090000}"/>
    <cellStyle name="Comma 4 3 2 2 9 2" xfId="7000" xr:uid="{00000000-0005-0000-0000-000042090000}"/>
    <cellStyle name="Comma 4 3 2 2 9 2 2" xfId="24773" xr:uid="{4EAAF78B-CBDA-4DF1-9FDA-3F4974E0FB56}"/>
    <cellStyle name="Comma 4 3 2 2 9 2 2 2" xfId="41667" xr:uid="{0314465B-0F51-46CC-908A-CFA028FE7D67}"/>
    <cellStyle name="Comma 4 3 2 2 9 2 3" xfId="16326" xr:uid="{E3597D2B-176A-46AA-B6C1-C5A80390C39A}"/>
    <cellStyle name="Comma 4 3 2 2 9 2 4" xfId="33220" xr:uid="{CE2647FE-E592-4D8B-ACB7-ACFCB7DC48FC}"/>
    <cellStyle name="Comma 4 3 2 2 9 3" xfId="20556" xr:uid="{9DEAFCBE-1C42-4A11-BCBE-A1965DF17BFF}"/>
    <cellStyle name="Comma 4 3 2 2 9 3 2" xfId="37450" xr:uid="{430FE939-EE9F-4FA2-9F6B-2FA3169EEC03}"/>
    <cellStyle name="Comma 4 3 2 2 9 4" xfId="12109" xr:uid="{2567692A-FE6D-4AD5-97C1-14A6DD38EE14}"/>
    <cellStyle name="Comma 4 3 2 2 9 5" xfId="29003" xr:uid="{111E954C-5A30-408D-AED6-054229204FC5}"/>
    <cellStyle name="Comma 4 3 2 3" xfId="148" xr:uid="{00000000-0005-0000-0000-000043090000}"/>
    <cellStyle name="Comma 4 3 2 3 10" xfId="9014" xr:uid="{46568903-2C47-4BC3-8E78-5A47F62B319C}"/>
    <cellStyle name="Comma 4 3 2 3 10 2" xfId="18175" xr:uid="{72FAA6C8-95E6-4570-939B-1248EE221DB4}"/>
    <cellStyle name="Comma 4 3 2 3 10 3" xfId="35069" xr:uid="{726237EF-5CF9-40DE-95BC-409B4346A7C8}"/>
    <cellStyle name="Comma 4 3 2 3 11" xfId="9728" xr:uid="{C3C05C04-A7ED-47FF-9643-C0F03EADC85A}"/>
    <cellStyle name="Comma 4 3 2 3 12" xfId="26622" xr:uid="{446073D4-9927-4F5C-A34B-32A751561E56}"/>
    <cellStyle name="Comma 4 3 2 3 2" xfId="685" xr:uid="{00000000-0005-0000-0000-000044090000}"/>
    <cellStyle name="Comma 4 3 2 3 2 2" xfId="2956" xr:uid="{00000000-0005-0000-0000-000045090000}"/>
    <cellStyle name="Comma 4 3 2 3 2 2 2" xfId="7178" xr:uid="{00000000-0005-0000-0000-000046090000}"/>
    <cellStyle name="Comma 4 3 2 3 2 2 2 2" xfId="24951" xr:uid="{4DEBA900-349A-48DF-8C73-CDE5EA8025C7}"/>
    <cellStyle name="Comma 4 3 2 3 2 2 2 2 2" xfId="41845" xr:uid="{810C1C7D-6881-45EB-8599-C37EB15376C3}"/>
    <cellStyle name="Comma 4 3 2 3 2 2 2 3" xfId="16504" xr:uid="{5843447E-5F08-436C-8772-4E749A1186D3}"/>
    <cellStyle name="Comma 4 3 2 3 2 2 2 4" xfId="33398" xr:uid="{EB7C017A-6BBC-4D33-9E81-52084C6CCAEC}"/>
    <cellStyle name="Comma 4 3 2 3 2 2 3" xfId="20734" xr:uid="{5C066420-5240-41E7-8F6E-8E4EB2B0D90E}"/>
    <cellStyle name="Comma 4 3 2 3 2 2 3 2" xfId="37628" xr:uid="{6A0A8D1B-9697-47E0-BC28-3D9D10E48936}"/>
    <cellStyle name="Comma 4 3 2 3 2 2 4" xfId="12287" xr:uid="{CA361A32-8614-40D8-B817-06AC4F45C754}"/>
    <cellStyle name="Comma 4 3 2 3 2 2 5" xfId="29181" xr:uid="{D53BA93E-FA31-4C83-BB6D-8030FF3993D1}"/>
    <cellStyle name="Comma 4 3 2 3 2 3" xfId="5033" xr:uid="{00000000-0005-0000-0000-000047090000}"/>
    <cellStyle name="Comma 4 3 2 3 2 3 2" xfId="22806" xr:uid="{3B4E8963-D927-46B3-B15B-50348566D64C}"/>
    <cellStyle name="Comma 4 3 2 3 2 3 2 2" xfId="39700" xr:uid="{05746309-06D0-4BBC-A3BD-DD1BDE43BAF4}"/>
    <cellStyle name="Comma 4 3 2 3 2 3 3" xfId="14359" xr:uid="{DA7459E3-A7B9-435E-A0F0-92BF2224053C}"/>
    <cellStyle name="Comma 4 3 2 3 2 3 4" xfId="31253" xr:uid="{A2EBC31A-9F0A-41FC-8EA1-2B097DDCC3D7}"/>
    <cellStyle name="Comma 4 3 2 3 2 4" xfId="9439" xr:uid="{2FD116B5-6902-4630-AFC5-CC8B06C5F457}"/>
    <cellStyle name="Comma 4 3 2 3 2 4 2" xfId="18589" xr:uid="{CCDB2FBF-C131-4402-BB92-7D81E44847D9}"/>
    <cellStyle name="Comma 4 3 2 3 2 4 3" xfId="35483" xr:uid="{860767CB-7DF1-4B85-83F0-84C37FF47A7D}"/>
    <cellStyle name="Comma 4 3 2 3 2 5" xfId="10142" xr:uid="{D9146B92-A51F-4074-AA24-6C7823704CD6}"/>
    <cellStyle name="Comma 4 3 2 3 2 6" xfId="27036" xr:uid="{814F9F62-F8EA-483D-82B7-9C6206147681}"/>
    <cellStyle name="Comma 4 3 2 3 3" xfId="1138" xr:uid="{00000000-0005-0000-0000-000048090000}"/>
    <cellStyle name="Comma 4 3 2 3 3 2" xfId="3369" xr:uid="{00000000-0005-0000-0000-000049090000}"/>
    <cellStyle name="Comma 4 3 2 3 3 2 2" xfId="7591" xr:uid="{00000000-0005-0000-0000-00004A090000}"/>
    <cellStyle name="Comma 4 3 2 3 3 2 2 2" xfId="25364" xr:uid="{2321C442-3135-4C7D-B650-98093D520526}"/>
    <cellStyle name="Comma 4 3 2 3 3 2 2 2 2" xfId="42258" xr:uid="{9D7C7256-09C6-4B46-AEFB-467DB0D344E2}"/>
    <cellStyle name="Comma 4 3 2 3 3 2 2 3" xfId="16917" xr:uid="{EAEAA89C-9836-4ACA-AD6B-DAF090E0AFC3}"/>
    <cellStyle name="Comma 4 3 2 3 3 2 2 4" xfId="33811" xr:uid="{EA4AB45C-E413-46CC-B926-F5BCBCBA277F}"/>
    <cellStyle name="Comma 4 3 2 3 3 2 3" xfId="21147" xr:uid="{A8F980A1-06FA-43FB-8429-7837AC325C9E}"/>
    <cellStyle name="Comma 4 3 2 3 3 2 3 2" xfId="38041" xr:uid="{AB7E72C0-ECB9-4944-B668-441C0FC657B4}"/>
    <cellStyle name="Comma 4 3 2 3 3 2 4" xfId="12700" xr:uid="{BE25FF53-1C6C-4709-B9F4-8FA532E7B279}"/>
    <cellStyle name="Comma 4 3 2 3 3 2 5" xfId="29594" xr:uid="{B44EC266-0B44-4460-9477-2D400633B6A5}"/>
    <cellStyle name="Comma 4 3 2 3 3 3" xfId="5446" xr:uid="{00000000-0005-0000-0000-00004B090000}"/>
    <cellStyle name="Comma 4 3 2 3 3 3 2" xfId="23219" xr:uid="{C4661980-52BF-4795-9F79-891A5B8B5B2F}"/>
    <cellStyle name="Comma 4 3 2 3 3 3 2 2" xfId="40113" xr:uid="{95917682-64BC-4F3E-8028-4A326B9D0A59}"/>
    <cellStyle name="Comma 4 3 2 3 3 3 3" xfId="14772" xr:uid="{088CC0D9-6D32-4D96-9082-AE3A8A1D933B}"/>
    <cellStyle name="Comma 4 3 2 3 3 3 4" xfId="31666" xr:uid="{EBF173E8-3CDB-4E0B-B940-70D490DA29CF}"/>
    <cellStyle name="Comma 4 3 2 3 3 4" xfId="19002" xr:uid="{392DCF0C-B6FE-42AC-A031-34F43F855F90}"/>
    <cellStyle name="Comma 4 3 2 3 3 4 2" xfId="35896" xr:uid="{0F795DE4-A9F8-4EDA-8F92-3FC302894D43}"/>
    <cellStyle name="Comma 4 3 2 3 3 5" xfId="10555" xr:uid="{1CCB09B7-6AD2-483E-8519-ECB529F0C6F5}"/>
    <cellStyle name="Comma 4 3 2 3 3 6" xfId="27449" xr:uid="{FFF1514D-A746-4DD0-B786-02EF874B4FCC}"/>
    <cellStyle name="Comma 4 3 2 3 4" xfId="1552" xr:uid="{00000000-0005-0000-0000-00004C090000}"/>
    <cellStyle name="Comma 4 3 2 3 4 2" xfId="3782" xr:uid="{00000000-0005-0000-0000-00004D090000}"/>
    <cellStyle name="Comma 4 3 2 3 4 2 2" xfId="8004" xr:uid="{00000000-0005-0000-0000-00004E090000}"/>
    <cellStyle name="Comma 4 3 2 3 4 2 2 2" xfId="25777" xr:uid="{C827E13A-4CB5-4A7E-8024-8EC4250FF046}"/>
    <cellStyle name="Comma 4 3 2 3 4 2 2 2 2" xfId="42671" xr:uid="{E49FEFFD-4040-49E8-91D8-D4859213FF38}"/>
    <cellStyle name="Comma 4 3 2 3 4 2 2 3" xfId="17330" xr:uid="{08DACB07-2026-4BBF-9A03-9BE9E5EF3038}"/>
    <cellStyle name="Comma 4 3 2 3 4 2 2 4" xfId="34224" xr:uid="{D1DE5093-E5D7-40AE-898E-29384569389B}"/>
    <cellStyle name="Comma 4 3 2 3 4 2 3" xfId="21560" xr:uid="{F066AB20-C108-4B38-B67D-5C81B3DCC686}"/>
    <cellStyle name="Comma 4 3 2 3 4 2 3 2" xfId="38454" xr:uid="{AC5B3817-FC2F-4443-890D-8F203922E387}"/>
    <cellStyle name="Comma 4 3 2 3 4 2 4" xfId="13113" xr:uid="{2E9BD30B-6838-48BD-A0F5-CEAF034E3640}"/>
    <cellStyle name="Comma 4 3 2 3 4 2 5" xfId="30007" xr:uid="{71EE021D-45A3-463C-94E2-F8D7CA67436E}"/>
    <cellStyle name="Comma 4 3 2 3 4 3" xfId="5859" xr:uid="{00000000-0005-0000-0000-00004F090000}"/>
    <cellStyle name="Comma 4 3 2 3 4 3 2" xfId="23632" xr:uid="{3853CE83-9C8D-42D5-B613-0ACB40A4E9E8}"/>
    <cellStyle name="Comma 4 3 2 3 4 3 2 2" xfId="40526" xr:uid="{1AFA2241-7D2D-42D4-B692-0F3A6D8A1C0B}"/>
    <cellStyle name="Comma 4 3 2 3 4 3 3" xfId="15185" xr:uid="{0A1E99EA-9539-4104-9CC6-DED00E6B3C3C}"/>
    <cellStyle name="Comma 4 3 2 3 4 3 4" xfId="32079" xr:uid="{34542E84-1E77-4AF2-BF26-A932817A4099}"/>
    <cellStyle name="Comma 4 3 2 3 4 4" xfId="19415" xr:uid="{F25112B8-04B6-483B-963B-BC5DA6EC482D}"/>
    <cellStyle name="Comma 4 3 2 3 4 4 2" xfId="36309" xr:uid="{E11BF590-9F7C-43A6-9969-A6C5B0C30AA9}"/>
    <cellStyle name="Comma 4 3 2 3 4 5" xfId="10968" xr:uid="{271C8050-1E31-41FC-A99C-BE424A35B2B8}"/>
    <cellStyle name="Comma 4 3 2 3 4 6" xfId="27862" xr:uid="{76143CEE-B530-4903-A65E-951B3832F472}"/>
    <cellStyle name="Comma 4 3 2 3 5" xfId="1966" xr:uid="{00000000-0005-0000-0000-000050090000}"/>
    <cellStyle name="Comma 4 3 2 3 5 2" xfId="4195" xr:uid="{00000000-0005-0000-0000-000051090000}"/>
    <cellStyle name="Comma 4 3 2 3 5 2 2" xfId="8417" xr:uid="{00000000-0005-0000-0000-000052090000}"/>
    <cellStyle name="Comma 4 3 2 3 5 2 2 2" xfId="26190" xr:uid="{24DB1787-B343-4116-A730-E68BBEA2A542}"/>
    <cellStyle name="Comma 4 3 2 3 5 2 2 2 2" xfId="43084" xr:uid="{033ACF9D-08B7-47E7-8270-5B4513712986}"/>
    <cellStyle name="Comma 4 3 2 3 5 2 2 3" xfId="17743" xr:uid="{DA83E111-11DF-4CA0-82C1-919C4671C58C}"/>
    <cellStyle name="Comma 4 3 2 3 5 2 2 4" xfId="34637" xr:uid="{CB14F6C9-E48F-486F-B5F6-C51AB308736F}"/>
    <cellStyle name="Comma 4 3 2 3 5 2 3" xfId="21973" xr:uid="{E2BEBF01-DFD9-4528-BE75-4E37C91C755A}"/>
    <cellStyle name="Comma 4 3 2 3 5 2 3 2" xfId="38867" xr:uid="{52029894-407B-466B-AB92-8F0F60555989}"/>
    <cellStyle name="Comma 4 3 2 3 5 2 4" xfId="13526" xr:uid="{16BE91AB-6F49-4538-9C81-2B4B427A8CAD}"/>
    <cellStyle name="Comma 4 3 2 3 5 2 5" xfId="30420" xr:uid="{42488B15-3991-4416-8B0C-C993ED883F8D}"/>
    <cellStyle name="Comma 4 3 2 3 5 3" xfId="6272" xr:uid="{00000000-0005-0000-0000-000053090000}"/>
    <cellStyle name="Comma 4 3 2 3 5 3 2" xfId="24045" xr:uid="{54083828-BA46-477D-96B0-6CE0ADE47796}"/>
    <cellStyle name="Comma 4 3 2 3 5 3 2 2" xfId="40939" xr:uid="{67211815-A9BB-49C5-98D5-87D7B53B2F8E}"/>
    <cellStyle name="Comma 4 3 2 3 5 3 3" xfId="15598" xr:uid="{58E195F4-7BCA-4F9C-9817-3FF678129C9F}"/>
    <cellStyle name="Comma 4 3 2 3 5 3 4" xfId="32492" xr:uid="{C56C03FE-0353-4E23-A04A-D1C2B686BFE4}"/>
    <cellStyle name="Comma 4 3 2 3 5 4" xfId="19828" xr:uid="{8D822D60-FFF2-4D83-B3E4-7B64C0D91633}"/>
    <cellStyle name="Comma 4 3 2 3 5 4 2" xfId="36722" xr:uid="{B0C4C642-9E00-4DA3-886B-1847DDBFDC23}"/>
    <cellStyle name="Comma 4 3 2 3 5 5" xfId="11381" xr:uid="{0F6FC89B-EC5B-4DF4-B224-06A63F9E7583}"/>
    <cellStyle name="Comma 4 3 2 3 5 6" xfId="28275" xr:uid="{CB883953-56C8-42AD-8113-8709995286F9}"/>
    <cellStyle name="Comma 4 3 2 3 6" xfId="2401" xr:uid="{00000000-0005-0000-0000-000054090000}"/>
    <cellStyle name="Comma 4 3 2 3 6 2" xfId="6685" xr:uid="{00000000-0005-0000-0000-000055090000}"/>
    <cellStyle name="Comma 4 3 2 3 6 2 2" xfId="24458" xr:uid="{526417DD-F82C-4B37-BC9E-1ABE645F8187}"/>
    <cellStyle name="Comma 4 3 2 3 6 2 2 2" xfId="41352" xr:uid="{7A08DEB9-4D78-4561-BBCD-43F7B99CE303}"/>
    <cellStyle name="Comma 4 3 2 3 6 2 3" xfId="16011" xr:uid="{732E176F-5B40-44F7-A73D-D63A58B42BCA}"/>
    <cellStyle name="Comma 4 3 2 3 6 2 4" xfId="32905" xr:uid="{B0CAFBEC-2F96-475F-887E-42CDBDC4CAC2}"/>
    <cellStyle name="Comma 4 3 2 3 6 3" xfId="20241" xr:uid="{106A5C88-2418-4139-B96D-B90888230D39}"/>
    <cellStyle name="Comma 4 3 2 3 6 3 2" xfId="37135" xr:uid="{2A852B1A-32C4-4D1B-B1D1-4981B7286BF2}"/>
    <cellStyle name="Comma 4 3 2 3 6 4" xfId="11794" xr:uid="{7B9F1005-45F5-4C62-8D13-1AA978591A78}"/>
    <cellStyle name="Comma 4 3 2 3 6 5" xfId="28688" xr:uid="{9EF998CE-767A-44F5-A790-B1DCB094F376}"/>
    <cellStyle name="Comma 4 3 2 3 7" xfId="2362" xr:uid="{00000000-0005-0000-0000-000056090000}"/>
    <cellStyle name="Comma 4 3 2 3 8" xfId="2779" xr:uid="{00000000-0005-0000-0000-000057090000}"/>
    <cellStyle name="Comma 4 3 2 3 8 2" xfId="7002" xr:uid="{00000000-0005-0000-0000-000058090000}"/>
    <cellStyle name="Comma 4 3 2 3 8 2 2" xfId="24775" xr:uid="{332BAAEE-64B7-4CEB-9D4D-DBB92297E36A}"/>
    <cellStyle name="Comma 4 3 2 3 8 2 2 2" xfId="41669" xr:uid="{282B649E-819E-453C-822E-09072AEE1893}"/>
    <cellStyle name="Comma 4 3 2 3 8 2 3" xfId="16328" xr:uid="{3C51F7E6-E785-4B38-B48C-C66976F3E304}"/>
    <cellStyle name="Comma 4 3 2 3 8 2 4" xfId="33222" xr:uid="{3F89138D-1DDF-49E4-B238-52949F3A6779}"/>
    <cellStyle name="Comma 4 3 2 3 8 3" xfId="20558" xr:uid="{EAA7406A-690C-4264-A130-671BF1FB55E4}"/>
    <cellStyle name="Comma 4 3 2 3 8 3 2" xfId="37452" xr:uid="{CA956EE3-A86E-446B-8814-7AB33D20F237}"/>
    <cellStyle name="Comma 4 3 2 3 8 4" xfId="12111" xr:uid="{D8E09F99-4D71-4915-85E5-82532AABEEA1}"/>
    <cellStyle name="Comma 4 3 2 3 8 5" xfId="29005" xr:uid="{0342E0D1-10AD-4413-8792-7837E01AE7A3}"/>
    <cellStyle name="Comma 4 3 2 3 9" xfId="4619" xr:uid="{00000000-0005-0000-0000-000059090000}"/>
    <cellStyle name="Comma 4 3 2 3 9 2" xfId="22392" xr:uid="{C972ED5E-291D-4CD2-B3A7-BAA01A5367E9}"/>
    <cellStyle name="Comma 4 3 2 3 9 2 2" xfId="39286" xr:uid="{C4BE969D-E83E-4944-8605-2421C33AD6EA}"/>
    <cellStyle name="Comma 4 3 2 3 9 3" xfId="13945" xr:uid="{DF42ABE4-E4AF-4060-A8E7-48D3CF72676E}"/>
    <cellStyle name="Comma 4 3 2 3 9 4" xfId="30839" xr:uid="{F5C05489-0869-4097-8FFF-D627894181BB}"/>
    <cellStyle name="Comma 4 3 2 4" xfId="682" xr:uid="{00000000-0005-0000-0000-00005A090000}"/>
    <cellStyle name="Comma 4 3 2 4 2" xfId="2953" xr:uid="{00000000-0005-0000-0000-00005B090000}"/>
    <cellStyle name="Comma 4 3 2 4 2 2" xfId="7175" xr:uid="{00000000-0005-0000-0000-00005C090000}"/>
    <cellStyle name="Comma 4 3 2 4 2 2 2" xfId="24948" xr:uid="{A38C0A44-8B80-4B58-B263-FDA42FB0A1D7}"/>
    <cellStyle name="Comma 4 3 2 4 2 2 2 2" xfId="41842" xr:uid="{ED78DC03-83D7-449F-8B5A-ECBAD683F291}"/>
    <cellStyle name="Comma 4 3 2 4 2 2 3" xfId="16501" xr:uid="{594B1B20-4A27-458E-A522-700CBD62FFD6}"/>
    <cellStyle name="Comma 4 3 2 4 2 2 4" xfId="33395" xr:uid="{80EB5F88-AF50-42DB-9258-377EBCC105B3}"/>
    <cellStyle name="Comma 4 3 2 4 2 3" xfId="20731" xr:uid="{D87F30A0-1256-4A55-A838-4F32DF83D42A}"/>
    <cellStyle name="Comma 4 3 2 4 2 3 2" xfId="37625" xr:uid="{3D9E36D4-632D-4EEF-8A29-30E96A9D78D2}"/>
    <cellStyle name="Comma 4 3 2 4 2 4" xfId="12284" xr:uid="{A7B8A64B-B474-4BCD-A595-2F62260C48A8}"/>
    <cellStyle name="Comma 4 3 2 4 2 5" xfId="29178" xr:uid="{51280505-F758-4E76-98FB-8D60E5C3EE29}"/>
    <cellStyle name="Comma 4 3 2 4 3" xfId="5030" xr:uid="{00000000-0005-0000-0000-00005D090000}"/>
    <cellStyle name="Comma 4 3 2 4 3 2" xfId="22803" xr:uid="{3DA64F28-3A2B-40C6-843C-F7DA6DAC2A46}"/>
    <cellStyle name="Comma 4 3 2 4 3 2 2" xfId="39697" xr:uid="{070C9096-64CF-4CF6-B000-528F01092324}"/>
    <cellStyle name="Comma 4 3 2 4 3 3" xfId="14356" xr:uid="{02A6B0FA-CF9C-4B22-A1DB-CA587F991459}"/>
    <cellStyle name="Comma 4 3 2 4 3 4" xfId="31250" xr:uid="{74A65CD4-5946-4149-867F-CF13660F418C}"/>
    <cellStyle name="Comma 4 3 2 4 4" xfId="9232" xr:uid="{8193451B-D8F0-40BD-91ED-34E7041117F6}"/>
    <cellStyle name="Comma 4 3 2 4 4 2" xfId="18586" xr:uid="{8374A17E-8445-46CD-8C87-C011D0311A8D}"/>
    <cellStyle name="Comma 4 3 2 4 4 3" xfId="35480" xr:uid="{F4AA00BE-CD8F-4282-8A89-7B6568E4D14F}"/>
    <cellStyle name="Comma 4 3 2 4 5" xfId="10139" xr:uid="{92DE331D-69BE-49E0-9854-FA4587D65972}"/>
    <cellStyle name="Comma 4 3 2 4 6" xfId="27033" xr:uid="{BBA0D06E-EEBF-4601-ABB3-256D37E7FE81}"/>
    <cellStyle name="Comma 4 3 2 5" xfId="1135" xr:uid="{00000000-0005-0000-0000-00005E090000}"/>
    <cellStyle name="Comma 4 3 2 5 2" xfId="3366" xr:uid="{00000000-0005-0000-0000-00005F090000}"/>
    <cellStyle name="Comma 4 3 2 5 2 2" xfId="7588" xr:uid="{00000000-0005-0000-0000-000060090000}"/>
    <cellStyle name="Comma 4 3 2 5 2 2 2" xfId="25361" xr:uid="{7151F224-010D-4A57-A935-618B758A0243}"/>
    <cellStyle name="Comma 4 3 2 5 2 2 2 2" xfId="42255" xr:uid="{6371A995-8932-4E68-945E-D7BF98A65D2E}"/>
    <cellStyle name="Comma 4 3 2 5 2 2 3" xfId="16914" xr:uid="{DAAAD363-342B-415F-BA78-26F1F758A0A3}"/>
    <cellStyle name="Comma 4 3 2 5 2 2 4" xfId="33808" xr:uid="{938E6406-8AEB-4FF6-A3FA-80A817873644}"/>
    <cellStyle name="Comma 4 3 2 5 2 3" xfId="21144" xr:uid="{FAF87BC5-3168-464B-8257-0A36EDC74FD2}"/>
    <cellStyle name="Comma 4 3 2 5 2 3 2" xfId="38038" xr:uid="{A9C11EB5-481F-4F27-8765-E12BE2C8EA90}"/>
    <cellStyle name="Comma 4 3 2 5 2 4" xfId="12697" xr:uid="{F4CFD415-BF3D-4658-953A-BA0BDD6A1415}"/>
    <cellStyle name="Comma 4 3 2 5 2 5" xfId="29591" xr:uid="{05E1ADBB-653D-465D-8C33-8A61B68605B4}"/>
    <cellStyle name="Comma 4 3 2 5 3" xfId="5443" xr:uid="{00000000-0005-0000-0000-000061090000}"/>
    <cellStyle name="Comma 4 3 2 5 3 2" xfId="23216" xr:uid="{40A1A61A-D91D-4710-B8B4-ACB2C8C4E67A}"/>
    <cellStyle name="Comma 4 3 2 5 3 2 2" xfId="40110" xr:uid="{38CE8DB7-78F3-4669-A696-0FC6ECFB3EF1}"/>
    <cellStyle name="Comma 4 3 2 5 3 3" xfId="14769" xr:uid="{24C8FF17-E933-4C33-9E99-AA28E3FD924B}"/>
    <cellStyle name="Comma 4 3 2 5 3 4" xfId="31663" xr:uid="{754BF53F-458E-41A3-995B-D2413DA60B93}"/>
    <cellStyle name="Comma 4 3 2 5 4" xfId="18999" xr:uid="{E1FC7306-200A-4095-A869-8A976C835579}"/>
    <cellStyle name="Comma 4 3 2 5 4 2" xfId="35893" xr:uid="{399E62AD-C9D2-40C0-B161-398AE92B6C96}"/>
    <cellStyle name="Comma 4 3 2 5 5" xfId="10552" xr:uid="{CCC11A7B-E6A3-4A35-8E79-4A5AEE9AB4A0}"/>
    <cellStyle name="Comma 4 3 2 5 6" xfId="27446" xr:uid="{0AABC76F-69AF-416F-AFA1-2FEC2FA51FA0}"/>
    <cellStyle name="Comma 4 3 2 6" xfId="1549" xr:uid="{00000000-0005-0000-0000-000062090000}"/>
    <cellStyle name="Comma 4 3 2 6 2" xfId="3779" xr:uid="{00000000-0005-0000-0000-000063090000}"/>
    <cellStyle name="Comma 4 3 2 6 2 2" xfId="8001" xr:uid="{00000000-0005-0000-0000-000064090000}"/>
    <cellStyle name="Comma 4 3 2 6 2 2 2" xfId="25774" xr:uid="{CE87D2E7-DE9C-4140-BA0D-948251CC6C22}"/>
    <cellStyle name="Comma 4 3 2 6 2 2 2 2" xfId="42668" xr:uid="{4EF688CF-CD88-4EF4-AB58-535908E2F931}"/>
    <cellStyle name="Comma 4 3 2 6 2 2 3" xfId="17327" xr:uid="{3388AB1A-828E-48F3-AAD0-48009D87550B}"/>
    <cellStyle name="Comma 4 3 2 6 2 2 4" xfId="34221" xr:uid="{23E29A7D-BBC4-4FED-96EB-BAA4D972434E}"/>
    <cellStyle name="Comma 4 3 2 6 2 3" xfId="21557" xr:uid="{D9EDF1AD-01BE-487C-930D-0CB2D6EC4E42}"/>
    <cellStyle name="Comma 4 3 2 6 2 3 2" xfId="38451" xr:uid="{3282F26B-1B6D-486D-9C52-A357E3004EC8}"/>
    <cellStyle name="Comma 4 3 2 6 2 4" xfId="13110" xr:uid="{ADEC4B9C-AAED-4E5E-855E-961E07179616}"/>
    <cellStyle name="Comma 4 3 2 6 2 5" xfId="30004" xr:uid="{64268560-B95D-4236-B88D-7440C92B9BE9}"/>
    <cellStyle name="Comma 4 3 2 6 3" xfId="5856" xr:uid="{00000000-0005-0000-0000-000065090000}"/>
    <cellStyle name="Comma 4 3 2 6 3 2" xfId="23629" xr:uid="{93CCA3FF-C1AF-40A5-B7AD-74085A990AA2}"/>
    <cellStyle name="Comma 4 3 2 6 3 2 2" xfId="40523" xr:uid="{4BB882E9-F882-41CB-9260-CF6638BDE42D}"/>
    <cellStyle name="Comma 4 3 2 6 3 3" xfId="15182" xr:uid="{BF2CF271-A7ED-4AB5-9789-000DAEA5CDA1}"/>
    <cellStyle name="Comma 4 3 2 6 3 4" xfId="32076" xr:uid="{877E2338-95A8-43AD-A103-40163835A87E}"/>
    <cellStyle name="Comma 4 3 2 6 4" xfId="19412" xr:uid="{5A627324-7259-4CF4-BC16-C3C6F165CBD9}"/>
    <cellStyle name="Comma 4 3 2 6 4 2" xfId="36306" xr:uid="{5C09D15F-D7C7-4105-9842-7D28134EFD57}"/>
    <cellStyle name="Comma 4 3 2 6 5" xfId="10965" xr:uid="{D35BAC92-FB59-4DB2-BB6D-E81767DA28EE}"/>
    <cellStyle name="Comma 4 3 2 6 6" xfId="27859" xr:uid="{856862A3-B7F1-4E95-BD5F-6D53F4C19713}"/>
    <cellStyle name="Comma 4 3 2 7" xfId="1963" xr:uid="{00000000-0005-0000-0000-000066090000}"/>
    <cellStyle name="Comma 4 3 2 7 2" xfId="4192" xr:uid="{00000000-0005-0000-0000-000067090000}"/>
    <cellStyle name="Comma 4 3 2 7 2 2" xfId="8414" xr:uid="{00000000-0005-0000-0000-000068090000}"/>
    <cellStyle name="Comma 4 3 2 7 2 2 2" xfId="26187" xr:uid="{E0856AE6-C259-4C2E-9B9A-AAE1269907A4}"/>
    <cellStyle name="Comma 4 3 2 7 2 2 2 2" xfId="43081" xr:uid="{EBCCC7DA-D31A-48F4-B0D3-C311EC2C05ED}"/>
    <cellStyle name="Comma 4 3 2 7 2 2 3" xfId="17740" xr:uid="{B7571AD5-D2C4-45D0-B62E-64AA54E6DC15}"/>
    <cellStyle name="Comma 4 3 2 7 2 2 4" xfId="34634" xr:uid="{F0478BA9-9C9C-4F8C-AF66-7B07B082F743}"/>
    <cellStyle name="Comma 4 3 2 7 2 3" xfId="21970" xr:uid="{973E6693-7DAA-4FCF-BFEB-ABED33677040}"/>
    <cellStyle name="Comma 4 3 2 7 2 3 2" xfId="38864" xr:uid="{E2662E0D-7080-4E94-BAF2-BFCCD1C13171}"/>
    <cellStyle name="Comma 4 3 2 7 2 4" xfId="13523" xr:uid="{47C246BA-E7FB-4950-840B-CE78BD6300DF}"/>
    <cellStyle name="Comma 4 3 2 7 2 5" xfId="30417" xr:uid="{22A37220-0BD0-4127-98A6-3679E6A8C5E6}"/>
    <cellStyle name="Comma 4 3 2 7 3" xfId="6269" xr:uid="{00000000-0005-0000-0000-000069090000}"/>
    <cellStyle name="Comma 4 3 2 7 3 2" xfId="24042" xr:uid="{52964DB4-A2BD-4E00-87D8-A218E7D9BB6C}"/>
    <cellStyle name="Comma 4 3 2 7 3 2 2" xfId="40936" xr:uid="{F2766540-7B4F-4196-8992-062A059BA1F4}"/>
    <cellStyle name="Comma 4 3 2 7 3 3" xfId="15595" xr:uid="{A5124BA5-8759-4F1C-8426-01457D1A6858}"/>
    <cellStyle name="Comma 4 3 2 7 3 4" xfId="32489" xr:uid="{FCB1A170-429E-4FB4-98E6-1F273C7938D8}"/>
    <cellStyle name="Comma 4 3 2 7 4" xfId="19825" xr:uid="{AA62E804-5458-41D1-8205-16AD0D60F1DE}"/>
    <cellStyle name="Comma 4 3 2 7 4 2" xfId="36719" xr:uid="{16ECDA50-63C0-448C-9E97-1EBAF5047C25}"/>
    <cellStyle name="Comma 4 3 2 7 5" xfId="11378" xr:uid="{A9C6C5BF-175F-45A6-A1CE-70C7260AC31A}"/>
    <cellStyle name="Comma 4 3 2 7 6" xfId="28272" xr:uid="{0A7C14CE-DE75-4E29-BDFF-DF980527505F}"/>
    <cellStyle name="Comma 4 3 2 8" xfId="2398" xr:uid="{00000000-0005-0000-0000-00006A090000}"/>
    <cellStyle name="Comma 4 3 2 8 2" xfId="6682" xr:uid="{00000000-0005-0000-0000-00006B090000}"/>
    <cellStyle name="Comma 4 3 2 8 2 2" xfId="24455" xr:uid="{F37637A8-775A-4C40-B356-F1BFF21ACA04}"/>
    <cellStyle name="Comma 4 3 2 8 2 2 2" xfId="41349" xr:uid="{64EC9962-2163-48C1-B217-7BAE35AD3793}"/>
    <cellStyle name="Comma 4 3 2 8 2 3" xfId="16008" xr:uid="{244C6385-A827-4101-AF95-3E50C5A6A32D}"/>
    <cellStyle name="Comma 4 3 2 8 2 4" xfId="32902" xr:uid="{E32E774E-92FF-4F58-AC79-968CA232F44E}"/>
    <cellStyle name="Comma 4 3 2 8 3" xfId="20238" xr:uid="{D2B9114D-BEA3-49AB-8E9A-15F2D38C82D8}"/>
    <cellStyle name="Comma 4 3 2 8 3 2" xfId="37132" xr:uid="{1E063D9D-96CE-4B62-83ED-A0F6A639CD78}"/>
    <cellStyle name="Comma 4 3 2 8 4" xfId="11791" xr:uid="{108948FC-E5EA-4A1A-A749-98CB03A92B40}"/>
    <cellStyle name="Comma 4 3 2 8 5" xfId="28685" xr:uid="{824F7D49-6872-45F3-804F-03587F66BEF5}"/>
    <cellStyle name="Comma 4 3 2 9" xfId="2365" xr:uid="{00000000-0005-0000-0000-00006C090000}"/>
    <cellStyle name="Comma 4 3 3" xfId="149" xr:uid="{00000000-0005-0000-0000-00006D090000}"/>
    <cellStyle name="Comma 4 3 3 10" xfId="4620" xr:uid="{00000000-0005-0000-0000-00006E090000}"/>
    <cellStyle name="Comma 4 3 3 10 2" xfId="22393" xr:uid="{2A4C1F8C-BB69-42A6-B316-CB32AC47D16F}"/>
    <cellStyle name="Comma 4 3 3 10 2 2" xfId="39287" xr:uid="{0F90D552-1216-45B4-8C5C-7B481DE28CCB}"/>
    <cellStyle name="Comma 4 3 3 10 3" xfId="13946" xr:uid="{FF04A1FA-1EB2-4E02-A31E-275696F325D8}"/>
    <cellStyle name="Comma 4 3 3 10 4" xfId="30840" xr:uid="{D1D597E6-943D-4DBF-A31D-567A6DAF67D5}"/>
    <cellStyle name="Comma 4 3 3 11" xfId="8881" xr:uid="{ACA3BC7C-CED7-49C2-9DC3-E2A3989962E9}"/>
    <cellStyle name="Comma 4 3 3 11 2" xfId="18176" xr:uid="{DDB71C43-CC82-4AA7-97A9-856C588ADA91}"/>
    <cellStyle name="Comma 4 3 3 11 3" xfId="35070" xr:uid="{B4735AEF-13D4-42A0-86F8-453F6510F135}"/>
    <cellStyle name="Comma 4 3 3 12" xfId="9729" xr:uid="{C374673B-27C8-47E8-B74D-A3233FE076BA}"/>
    <cellStyle name="Comma 4 3 3 13" xfId="26623" xr:uid="{F8389537-335F-458B-83D4-347EFBFE17A4}"/>
    <cellStyle name="Comma 4 3 3 2" xfId="150" xr:uid="{00000000-0005-0000-0000-00006F090000}"/>
    <cellStyle name="Comma 4 3 3 2 10" xfId="9088" xr:uid="{D40CFC42-DEA3-4A4C-8532-2B6CFC29229D}"/>
    <cellStyle name="Comma 4 3 3 2 10 2" xfId="18177" xr:uid="{2F3BE709-8480-49F0-82CC-ABC77FBC1256}"/>
    <cellStyle name="Comma 4 3 3 2 10 3" xfId="35071" xr:uid="{6B613A51-5CBF-4DE2-B30B-E64FBCD2E617}"/>
    <cellStyle name="Comma 4 3 3 2 11" xfId="9730" xr:uid="{183F6E01-FC02-42D1-8E85-F0CC263C4154}"/>
    <cellStyle name="Comma 4 3 3 2 12" xfId="26624" xr:uid="{30B12FF8-5439-4F61-BC27-589781AD2DFC}"/>
    <cellStyle name="Comma 4 3 3 2 2" xfId="687" xr:uid="{00000000-0005-0000-0000-000070090000}"/>
    <cellStyle name="Comma 4 3 3 2 2 2" xfId="2958" xr:uid="{00000000-0005-0000-0000-000071090000}"/>
    <cellStyle name="Comma 4 3 3 2 2 2 2" xfId="7180" xr:uid="{00000000-0005-0000-0000-000072090000}"/>
    <cellStyle name="Comma 4 3 3 2 2 2 2 2" xfId="24953" xr:uid="{3ADCAB48-D7DA-449B-9E67-66FD8867C218}"/>
    <cellStyle name="Comma 4 3 3 2 2 2 2 2 2" xfId="41847" xr:uid="{E0C72B6D-0D58-4148-B753-A50C124F0E80}"/>
    <cellStyle name="Comma 4 3 3 2 2 2 2 3" xfId="16506" xr:uid="{9166808D-9764-487D-89CB-55583037264F}"/>
    <cellStyle name="Comma 4 3 3 2 2 2 2 4" xfId="33400" xr:uid="{CAF71551-8803-4124-AD86-D6036A50BE19}"/>
    <cellStyle name="Comma 4 3 3 2 2 2 3" xfId="20736" xr:uid="{6F1A6A84-74BA-46AD-8B6B-34F98BD6F591}"/>
    <cellStyle name="Comma 4 3 3 2 2 2 3 2" xfId="37630" xr:uid="{956C0A20-DBCE-447C-B307-E6B5A1513C84}"/>
    <cellStyle name="Comma 4 3 3 2 2 2 4" xfId="12289" xr:uid="{3E033FBD-7572-41F5-8F12-3E207286D428}"/>
    <cellStyle name="Comma 4 3 3 2 2 2 5" xfId="29183" xr:uid="{D22F76C9-F42E-4915-B57C-C0E88129650B}"/>
    <cellStyle name="Comma 4 3 3 2 2 3" xfId="5035" xr:uid="{00000000-0005-0000-0000-000073090000}"/>
    <cellStyle name="Comma 4 3 3 2 2 3 2" xfId="22808" xr:uid="{9EE55963-CE0E-41CC-8D26-D79933E524A4}"/>
    <cellStyle name="Comma 4 3 3 2 2 3 2 2" xfId="39702" xr:uid="{61A4B7F9-BC95-43B0-AAFA-CE91B97BA3C4}"/>
    <cellStyle name="Comma 4 3 3 2 2 3 3" xfId="14361" xr:uid="{CD7F2B77-8447-4567-A082-AB1F9C029DA4}"/>
    <cellStyle name="Comma 4 3 3 2 2 3 4" xfId="31255" xr:uid="{EECF74D2-4087-4BA8-A02A-1AC30061A047}"/>
    <cellStyle name="Comma 4 3 3 2 2 4" xfId="9513" xr:uid="{986E0DAD-8ABC-4DAC-9C56-EF87B6B3B829}"/>
    <cellStyle name="Comma 4 3 3 2 2 4 2" xfId="18591" xr:uid="{E63925E0-A7AE-4F20-929B-09D8604747F9}"/>
    <cellStyle name="Comma 4 3 3 2 2 4 3" xfId="35485" xr:uid="{B1D31111-5C15-4C1D-A55F-95CE2B68C42D}"/>
    <cellStyle name="Comma 4 3 3 2 2 5" xfId="10144" xr:uid="{3D894709-551E-4BDC-BCBE-E9381BCD27D8}"/>
    <cellStyle name="Comma 4 3 3 2 2 6" xfId="27038" xr:uid="{B6561597-4241-4CD4-9CDE-4F5C0DB4AEDD}"/>
    <cellStyle name="Comma 4 3 3 2 3" xfId="1140" xr:uid="{00000000-0005-0000-0000-000074090000}"/>
    <cellStyle name="Comma 4 3 3 2 3 2" xfId="3371" xr:uid="{00000000-0005-0000-0000-000075090000}"/>
    <cellStyle name="Comma 4 3 3 2 3 2 2" xfId="7593" xr:uid="{00000000-0005-0000-0000-000076090000}"/>
    <cellStyle name="Comma 4 3 3 2 3 2 2 2" xfId="25366" xr:uid="{FF1D0366-5680-429B-8193-FE71BDE7489F}"/>
    <cellStyle name="Comma 4 3 3 2 3 2 2 2 2" xfId="42260" xr:uid="{05B9F3C8-DC70-423C-AD1D-D266347E2755}"/>
    <cellStyle name="Comma 4 3 3 2 3 2 2 3" xfId="16919" xr:uid="{3162DFE2-780A-4358-B878-AF6072226A34}"/>
    <cellStyle name="Comma 4 3 3 2 3 2 2 4" xfId="33813" xr:uid="{6B34F219-F1E6-4264-82D7-DF61DD2A9BFA}"/>
    <cellStyle name="Comma 4 3 3 2 3 2 3" xfId="21149" xr:uid="{F1AEAC82-07EB-425F-8417-1CA8EC99D1D6}"/>
    <cellStyle name="Comma 4 3 3 2 3 2 3 2" xfId="38043" xr:uid="{2ABDAADB-7425-49A4-8E0A-B3316C352F1B}"/>
    <cellStyle name="Comma 4 3 3 2 3 2 4" xfId="12702" xr:uid="{915398CB-0268-4E71-A042-4810DAEB1B07}"/>
    <cellStyle name="Comma 4 3 3 2 3 2 5" xfId="29596" xr:uid="{51903B14-FE38-4491-B176-5A6D3DF20FAF}"/>
    <cellStyle name="Comma 4 3 3 2 3 3" xfId="5448" xr:uid="{00000000-0005-0000-0000-000077090000}"/>
    <cellStyle name="Comma 4 3 3 2 3 3 2" xfId="23221" xr:uid="{BCA6C0B5-0F4B-466F-A2B1-BDB8895098C3}"/>
    <cellStyle name="Comma 4 3 3 2 3 3 2 2" xfId="40115" xr:uid="{4B29748C-7B2A-48B6-BD8D-3118C0F23E44}"/>
    <cellStyle name="Comma 4 3 3 2 3 3 3" xfId="14774" xr:uid="{14CA2986-B627-46F6-A317-79418CC2C29C}"/>
    <cellStyle name="Comma 4 3 3 2 3 3 4" xfId="31668" xr:uid="{10F7D440-3F30-4D3A-80A2-06737269B393}"/>
    <cellStyle name="Comma 4 3 3 2 3 4" xfId="19004" xr:uid="{9FB4481A-9F20-4455-912F-86992862A65C}"/>
    <cellStyle name="Comma 4 3 3 2 3 4 2" xfId="35898" xr:uid="{71BD046A-6889-42F3-9EDE-420D2C7124A3}"/>
    <cellStyle name="Comma 4 3 3 2 3 5" xfId="10557" xr:uid="{A491CD0C-A230-4690-9513-F81D61B895C3}"/>
    <cellStyle name="Comma 4 3 3 2 3 6" xfId="27451" xr:uid="{CDB6AE76-778D-41CA-A419-2D380952B0CB}"/>
    <cellStyle name="Comma 4 3 3 2 4" xfId="1554" xr:uid="{00000000-0005-0000-0000-000078090000}"/>
    <cellStyle name="Comma 4 3 3 2 4 2" xfId="3784" xr:uid="{00000000-0005-0000-0000-000079090000}"/>
    <cellStyle name="Comma 4 3 3 2 4 2 2" xfId="8006" xr:uid="{00000000-0005-0000-0000-00007A090000}"/>
    <cellStyle name="Comma 4 3 3 2 4 2 2 2" xfId="25779" xr:uid="{557C6906-E341-4556-9D0F-88C1D414A949}"/>
    <cellStyle name="Comma 4 3 3 2 4 2 2 2 2" xfId="42673" xr:uid="{BB85E663-A36D-4618-AEB0-922FCE702214}"/>
    <cellStyle name="Comma 4 3 3 2 4 2 2 3" xfId="17332" xr:uid="{3BC974A1-714E-46EA-9C06-B87B165C897E}"/>
    <cellStyle name="Comma 4 3 3 2 4 2 2 4" xfId="34226" xr:uid="{4E773320-C913-44BB-8AA6-CED17C91FE16}"/>
    <cellStyle name="Comma 4 3 3 2 4 2 3" xfId="21562" xr:uid="{4BCB5F0F-7E4B-42DD-ACC4-17358E283DE9}"/>
    <cellStyle name="Comma 4 3 3 2 4 2 3 2" xfId="38456" xr:uid="{79B9747D-DAC2-4524-81F1-D2895BF4072E}"/>
    <cellStyle name="Comma 4 3 3 2 4 2 4" xfId="13115" xr:uid="{7B93FF38-6A58-4FF2-88E2-8E0AE8FDA062}"/>
    <cellStyle name="Comma 4 3 3 2 4 2 5" xfId="30009" xr:uid="{5D80D1FE-EA36-4307-96E8-55CD9B9F2A47}"/>
    <cellStyle name="Comma 4 3 3 2 4 3" xfId="5861" xr:uid="{00000000-0005-0000-0000-00007B090000}"/>
    <cellStyle name="Comma 4 3 3 2 4 3 2" xfId="23634" xr:uid="{07632152-88F4-4082-9C84-561C159C1371}"/>
    <cellStyle name="Comma 4 3 3 2 4 3 2 2" xfId="40528" xr:uid="{368C2609-2C14-4C2A-B544-A57888694F12}"/>
    <cellStyle name="Comma 4 3 3 2 4 3 3" xfId="15187" xr:uid="{4D5DEDA3-CED4-4B66-B32C-9D88BB0A2EEB}"/>
    <cellStyle name="Comma 4 3 3 2 4 3 4" xfId="32081" xr:uid="{B7165B49-AF40-4F0F-BBFF-B095F61973FA}"/>
    <cellStyle name="Comma 4 3 3 2 4 4" xfId="19417" xr:uid="{933C66F6-E337-47FF-B070-FC86584B2AF2}"/>
    <cellStyle name="Comma 4 3 3 2 4 4 2" xfId="36311" xr:uid="{DE2DA5A4-9297-4C12-B25A-A97117FAB6F6}"/>
    <cellStyle name="Comma 4 3 3 2 4 5" xfId="10970" xr:uid="{EBEFE078-598B-433E-A716-716A98EBD9D5}"/>
    <cellStyle name="Comma 4 3 3 2 4 6" xfId="27864" xr:uid="{D946F077-2E98-467E-997A-5DB72586517B}"/>
    <cellStyle name="Comma 4 3 3 2 5" xfId="1968" xr:uid="{00000000-0005-0000-0000-00007C090000}"/>
    <cellStyle name="Comma 4 3 3 2 5 2" xfId="4197" xr:uid="{00000000-0005-0000-0000-00007D090000}"/>
    <cellStyle name="Comma 4 3 3 2 5 2 2" xfId="8419" xr:uid="{00000000-0005-0000-0000-00007E090000}"/>
    <cellStyle name="Comma 4 3 3 2 5 2 2 2" xfId="26192" xr:uid="{BDBE277C-BA15-47D8-BF77-B85856A164F5}"/>
    <cellStyle name="Comma 4 3 3 2 5 2 2 2 2" xfId="43086" xr:uid="{F8B31160-0E0C-4419-8C23-B00ADC59A5C6}"/>
    <cellStyle name="Comma 4 3 3 2 5 2 2 3" xfId="17745" xr:uid="{B3C10BA4-B390-49D7-9363-F2F3B19C061E}"/>
    <cellStyle name="Comma 4 3 3 2 5 2 2 4" xfId="34639" xr:uid="{1EAEB7E6-0426-4439-8D4F-77B6F9483913}"/>
    <cellStyle name="Comma 4 3 3 2 5 2 3" xfId="21975" xr:uid="{F33DB4A2-7A51-4348-897E-EC4358063C22}"/>
    <cellStyle name="Comma 4 3 3 2 5 2 3 2" xfId="38869" xr:uid="{F7B8B3F1-D906-48E1-9A95-9B3848B80790}"/>
    <cellStyle name="Comma 4 3 3 2 5 2 4" xfId="13528" xr:uid="{19245F1E-BBD4-4D69-9166-252A206B38FB}"/>
    <cellStyle name="Comma 4 3 3 2 5 2 5" xfId="30422" xr:uid="{2CCB5035-829D-4A86-BBC4-85D5DAD324D6}"/>
    <cellStyle name="Comma 4 3 3 2 5 3" xfId="6274" xr:uid="{00000000-0005-0000-0000-00007F090000}"/>
    <cellStyle name="Comma 4 3 3 2 5 3 2" xfId="24047" xr:uid="{FACD3584-7C14-4D92-AF53-3757827E9229}"/>
    <cellStyle name="Comma 4 3 3 2 5 3 2 2" xfId="40941" xr:uid="{79B32439-3E1E-48A5-863D-40E8357ABEF2}"/>
    <cellStyle name="Comma 4 3 3 2 5 3 3" xfId="15600" xr:uid="{A0812ACC-52B6-450C-9C4C-663B6CF6B10D}"/>
    <cellStyle name="Comma 4 3 3 2 5 3 4" xfId="32494" xr:uid="{AE49E486-1395-476F-A0AF-B38E3422CD6F}"/>
    <cellStyle name="Comma 4 3 3 2 5 4" xfId="19830" xr:uid="{3CF115F0-69DF-4029-BADE-F1120765C801}"/>
    <cellStyle name="Comma 4 3 3 2 5 4 2" xfId="36724" xr:uid="{5E0CF6DE-6A35-4AB0-84A7-295F983C5EB5}"/>
    <cellStyle name="Comma 4 3 3 2 5 5" xfId="11383" xr:uid="{AFF5B717-3CD7-4646-809D-56EC943502ED}"/>
    <cellStyle name="Comma 4 3 3 2 5 6" xfId="28277" xr:uid="{F0F77396-35D5-4258-94F3-41F762E760C0}"/>
    <cellStyle name="Comma 4 3 3 2 6" xfId="2403" xr:uid="{00000000-0005-0000-0000-000080090000}"/>
    <cellStyle name="Comma 4 3 3 2 6 2" xfId="6687" xr:uid="{00000000-0005-0000-0000-000081090000}"/>
    <cellStyle name="Comma 4 3 3 2 6 2 2" xfId="24460" xr:uid="{CFF86358-911D-427B-939A-A3EE1E66D5C7}"/>
    <cellStyle name="Comma 4 3 3 2 6 2 2 2" xfId="41354" xr:uid="{1F8914E9-0408-4229-B9C3-E60277A6B292}"/>
    <cellStyle name="Comma 4 3 3 2 6 2 3" xfId="16013" xr:uid="{B98E7F1C-EE6B-49B8-9619-421CFE241838}"/>
    <cellStyle name="Comma 4 3 3 2 6 2 4" xfId="32907" xr:uid="{56E2B925-55F4-4796-ABE6-9F87D2486D0D}"/>
    <cellStyle name="Comma 4 3 3 2 6 3" xfId="20243" xr:uid="{8BBE04DD-9EE8-4C89-AEBD-F125C4183E4F}"/>
    <cellStyle name="Comma 4 3 3 2 6 3 2" xfId="37137" xr:uid="{BFE7A70D-DA26-4500-AA10-E2662DFA433E}"/>
    <cellStyle name="Comma 4 3 3 2 6 4" xfId="11796" xr:uid="{9E9F00A1-D49B-47EE-B17D-042CBBD8F095}"/>
    <cellStyle name="Comma 4 3 3 2 6 5" xfId="28690" xr:uid="{B165E569-6215-4702-92ED-820D7BFE0CD7}"/>
    <cellStyle name="Comma 4 3 3 2 7" xfId="2360" xr:uid="{00000000-0005-0000-0000-000082090000}"/>
    <cellStyle name="Comma 4 3 3 2 8" xfId="2781" xr:uid="{00000000-0005-0000-0000-000083090000}"/>
    <cellStyle name="Comma 4 3 3 2 8 2" xfId="7004" xr:uid="{00000000-0005-0000-0000-000084090000}"/>
    <cellStyle name="Comma 4 3 3 2 8 2 2" xfId="24777" xr:uid="{17C353A2-D6B5-4DA4-96C1-FD3F5EB00F69}"/>
    <cellStyle name="Comma 4 3 3 2 8 2 2 2" xfId="41671" xr:uid="{ED341493-333E-4329-A1E6-C4A98F3EFCC6}"/>
    <cellStyle name="Comma 4 3 3 2 8 2 3" xfId="16330" xr:uid="{726E70D2-DC17-491A-A085-401287132EED}"/>
    <cellStyle name="Comma 4 3 3 2 8 2 4" xfId="33224" xr:uid="{DAD46DF0-D47D-4F02-B851-4A67B9D2CB2E}"/>
    <cellStyle name="Comma 4 3 3 2 8 3" xfId="20560" xr:uid="{7D2AF008-BFA5-4E4E-BE65-66A41D8FA5F4}"/>
    <cellStyle name="Comma 4 3 3 2 8 3 2" xfId="37454" xr:uid="{895C21BA-8D11-44FF-B17E-8588A0BCEB2E}"/>
    <cellStyle name="Comma 4 3 3 2 8 4" xfId="12113" xr:uid="{0A6B9349-5BD5-4D67-9A0D-6CD7B4355FF7}"/>
    <cellStyle name="Comma 4 3 3 2 8 5" xfId="29007" xr:uid="{2D3DC910-4041-4DAD-B4E7-0EA0D29CACED}"/>
    <cellStyle name="Comma 4 3 3 2 9" xfId="4621" xr:uid="{00000000-0005-0000-0000-000085090000}"/>
    <cellStyle name="Comma 4 3 3 2 9 2" xfId="22394" xr:uid="{1F973496-1C50-491D-8258-9E39312CFDF4}"/>
    <cellStyle name="Comma 4 3 3 2 9 2 2" xfId="39288" xr:uid="{061E6894-E14B-4F0F-9BD7-9EE60C66E478}"/>
    <cellStyle name="Comma 4 3 3 2 9 3" xfId="13947" xr:uid="{536978C4-F28C-4E1B-BF4E-80A877283396}"/>
    <cellStyle name="Comma 4 3 3 2 9 4" xfId="30841" xr:uid="{A89C1FF5-A3EF-4260-A5D7-32602B94C9C5}"/>
    <cellStyle name="Comma 4 3 3 3" xfId="686" xr:uid="{00000000-0005-0000-0000-000086090000}"/>
    <cellStyle name="Comma 4 3 3 3 2" xfId="2957" xr:uid="{00000000-0005-0000-0000-000087090000}"/>
    <cellStyle name="Comma 4 3 3 3 2 2" xfId="7179" xr:uid="{00000000-0005-0000-0000-000088090000}"/>
    <cellStyle name="Comma 4 3 3 3 2 2 2" xfId="24952" xr:uid="{51F8D17C-67ED-454A-9199-E632653ED549}"/>
    <cellStyle name="Comma 4 3 3 3 2 2 2 2" xfId="41846" xr:uid="{FBFC2294-E410-4B71-A580-1D49F1694B87}"/>
    <cellStyle name="Comma 4 3 3 3 2 2 3" xfId="16505" xr:uid="{C9B1AF56-537F-42FD-BC93-28C71DB3A455}"/>
    <cellStyle name="Comma 4 3 3 3 2 2 4" xfId="33399" xr:uid="{E8E0AA44-FE1B-47DE-831F-45FE2834085D}"/>
    <cellStyle name="Comma 4 3 3 3 2 3" xfId="20735" xr:uid="{DCB989BE-AE12-45C9-AFE5-E631B00E3CB3}"/>
    <cellStyle name="Comma 4 3 3 3 2 3 2" xfId="37629" xr:uid="{33448F03-1F63-4807-B843-2313AC4191EB}"/>
    <cellStyle name="Comma 4 3 3 3 2 4" xfId="12288" xr:uid="{1608D7EB-8684-41AC-84DB-FB1D5E422BEB}"/>
    <cellStyle name="Comma 4 3 3 3 2 5" xfId="29182" xr:uid="{4C123809-331C-40A1-82A9-8878D52D6761}"/>
    <cellStyle name="Comma 4 3 3 3 3" xfId="5034" xr:uid="{00000000-0005-0000-0000-000089090000}"/>
    <cellStyle name="Comma 4 3 3 3 3 2" xfId="22807" xr:uid="{00CE6DA3-EF24-4FDC-AA53-B83AA6E93D0E}"/>
    <cellStyle name="Comma 4 3 3 3 3 2 2" xfId="39701" xr:uid="{1D7FFB7C-9C18-4264-8652-9C6A84FB7974}"/>
    <cellStyle name="Comma 4 3 3 3 3 3" xfId="14360" xr:uid="{55F10182-DDEF-4A84-931A-6AC69BB174A6}"/>
    <cellStyle name="Comma 4 3 3 3 3 4" xfId="31254" xr:uid="{974ABF4D-62A7-498A-9002-35DC295F36F9}"/>
    <cellStyle name="Comma 4 3 3 3 4" xfId="9306" xr:uid="{6AC2749B-EC1D-4760-AD4B-F36381A669B6}"/>
    <cellStyle name="Comma 4 3 3 3 4 2" xfId="18590" xr:uid="{9D53456B-1B58-42AD-8671-6AD19BE795D8}"/>
    <cellStyle name="Comma 4 3 3 3 4 3" xfId="35484" xr:uid="{93CF328D-F666-4AE3-A553-1F4452EE5F41}"/>
    <cellStyle name="Comma 4 3 3 3 5" xfId="10143" xr:uid="{5C2EE586-7B77-4B8A-A92F-6B95081ACF8A}"/>
    <cellStyle name="Comma 4 3 3 3 6" xfId="27037" xr:uid="{855C3D38-E474-4F6F-8B84-5EA2F8B18C4A}"/>
    <cellStyle name="Comma 4 3 3 4" xfId="1139" xr:uid="{00000000-0005-0000-0000-00008A090000}"/>
    <cellStyle name="Comma 4 3 3 4 2" xfId="3370" xr:uid="{00000000-0005-0000-0000-00008B090000}"/>
    <cellStyle name="Comma 4 3 3 4 2 2" xfId="7592" xr:uid="{00000000-0005-0000-0000-00008C090000}"/>
    <cellStyle name="Comma 4 3 3 4 2 2 2" xfId="25365" xr:uid="{313E21F3-9A24-4446-8079-6C34E7E5BA6C}"/>
    <cellStyle name="Comma 4 3 3 4 2 2 2 2" xfId="42259" xr:uid="{6C711E43-D589-4A15-BAF5-438F96DC12AC}"/>
    <cellStyle name="Comma 4 3 3 4 2 2 3" xfId="16918" xr:uid="{3FA535D0-D255-4D8D-B105-AEC0C8E80BF3}"/>
    <cellStyle name="Comma 4 3 3 4 2 2 4" xfId="33812" xr:uid="{5C41EAD1-E18C-4AB0-8550-295C4281BD09}"/>
    <cellStyle name="Comma 4 3 3 4 2 3" xfId="21148" xr:uid="{4F92F4B5-5CF7-4E8E-8820-EF167951DF2F}"/>
    <cellStyle name="Comma 4 3 3 4 2 3 2" xfId="38042" xr:uid="{BD5AC870-593A-44E7-9C17-C4E3AB52FB37}"/>
    <cellStyle name="Comma 4 3 3 4 2 4" xfId="12701" xr:uid="{DC217BB7-1D75-4A0F-9322-A0AB21B3CA73}"/>
    <cellStyle name="Comma 4 3 3 4 2 5" xfId="29595" xr:uid="{D279A5E5-A607-4C5B-9D97-3037B5EE7E78}"/>
    <cellStyle name="Comma 4 3 3 4 3" xfId="5447" xr:uid="{00000000-0005-0000-0000-00008D090000}"/>
    <cellStyle name="Comma 4 3 3 4 3 2" xfId="23220" xr:uid="{53A30E33-CCD6-42CD-B2D6-9D6A451DF19B}"/>
    <cellStyle name="Comma 4 3 3 4 3 2 2" xfId="40114" xr:uid="{85D7DAEF-B6C9-4052-BAFE-919AA7B53A0F}"/>
    <cellStyle name="Comma 4 3 3 4 3 3" xfId="14773" xr:uid="{81BD0BA4-C70D-43C8-82D3-0E4BD77CF65E}"/>
    <cellStyle name="Comma 4 3 3 4 3 4" xfId="31667" xr:uid="{EF45E3A3-D4F9-4DCC-A1D3-D0C6766CF848}"/>
    <cellStyle name="Comma 4 3 3 4 4" xfId="19003" xr:uid="{5FE22BE2-B465-43C2-BD28-CB7A386E7DD7}"/>
    <cellStyle name="Comma 4 3 3 4 4 2" xfId="35897" xr:uid="{549380FC-441D-430A-B74E-84E22614AA8D}"/>
    <cellStyle name="Comma 4 3 3 4 5" xfId="10556" xr:uid="{A888BD51-73BC-4111-A7D7-0B94C1792E49}"/>
    <cellStyle name="Comma 4 3 3 4 6" xfId="27450" xr:uid="{BF922D75-195F-41FC-8140-784CE1EF2A8A}"/>
    <cellStyle name="Comma 4 3 3 5" xfId="1553" xr:uid="{00000000-0005-0000-0000-00008E090000}"/>
    <cellStyle name="Comma 4 3 3 5 2" xfId="3783" xr:uid="{00000000-0005-0000-0000-00008F090000}"/>
    <cellStyle name="Comma 4 3 3 5 2 2" xfId="8005" xr:uid="{00000000-0005-0000-0000-000090090000}"/>
    <cellStyle name="Comma 4 3 3 5 2 2 2" xfId="25778" xr:uid="{B7F82664-7665-42DD-97AC-47F795362DD4}"/>
    <cellStyle name="Comma 4 3 3 5 2 2 2 2" xfId="42672" xr:uid="{F4C1E1B8-8B00-48D9-ACCC-89D36E81EE1B}"/>
    <cellStyle name="Comma 4 3 3 5 2 2 3" xfId="17331" xr:uid="{91B530E1-2975-476B-998B-2381F7986E75}"/>
    <cellStyle name="Comma 4 3 3 5 2 2 4" xfId="34225" xr:uid="{42D1B776-AEF6-4301-A8A9-7452F9ACC7A4}"/>
    <cellStyle name="Comma 4 3 3 5 2 3" xfId="21561" xr:uid="{BB85CE74-EC69-4F1A-BDB5-18B59A1D987B}"/>
    <cellStyle name="Comma 4 3 3 5 2 3 2" xfId="38455" xr:uid="{67AFF052-435A-432E-84FA-BD4B9140ED36}"/>
    <cellStyle name="Comma 4 3 3 5 2 4" xfId="13114" xr:uid="{7E47BB8A-7F97-44B0-AC95-27C2F69D3184}"/>
    <cellStyle name="Comma 4 3 3 5 2 5" xfId="30008" xr:uid="{2CF80D02-09A7-44EA-9923-204D68F89451}"/>
    <cellStyle name="Comma 4 3 3 5 3" xfId="5860" xr:uid="{00000000-0005-0000-0000-000091090000}"/>
    <cellStyle name="Comma 4 3 3 5 3 2" xfId="23633" xr:uid="{959058A2-CE20-4C45-9AEE-1291299F109D}"/>
    <cellStyle name="Comma 4 3 3 5 3 2 2" xfId="40527" xr:uid="{AB2833A6-C0C7-49B7-B157-A62973AFA0F9}"/>
    <cellStyle name="Comma 4 3 3 5 3 3" xfId="15186" xr:uid="{AA2C2DE9-624D-4217-A701-8B88221606FF}"/>
    <cellStyle name="Comma 4 3 3 5 3 4" xfId="32080" xr:uid="{DAF94352-4543-4563-B650-40B33F3E8C1D}"/>
    <cellStyle name="Comma 4 3 3 5 4" xfId="19416" xr:uid="{72079BC7-FD5A-46D4-B067-BB9DDBF34B83}"/>
    <cellStyle name="Comma 4 3 3 5 4 2" xfId="36310" xr:uid="{0AD56D0C-DF11-4C1C-82EB-C92E510E32A4}"/>
    <cellStyle name="Comma 4 3 3 5 5" xfId="10969" xr:uid="{9C5DE243-2718-466F-9091-425BFB1F67A8}"/>
    <cellStyle name="Comma 4 3 3 5 6" xfId="27863" xr:uid="{0CCF5669-BDF4-40DA-908A-EF391E83FA28}"/>
    <cellStyle name="Comma 4 3 3 6" xfId="1967" xr:uid="{00000000-0005-0000-0000-000092090000}"/>
    <cellStyle name="Comma 4 3 3 6 2" xfId="4196" xr:uid="{00000000-0005-0000-0000-000093090000}"/>
    <cellStyle name="Comma 4 3 3 6 2 2" xfId="8418" xr:uid="{00000000-0005-0000-0000-000094090000}"/>
    <cellStyle name="Comma 4 3 3 6 2 2 2" xfId="26191" xr:uid="{91579581-6615-4DD5-A51A-E70E1C1F3C4E}"/>
    <cellStyle name="Comma 4 3 3 6 2 2 2 2" xfId="43085" xr:uid="{C072613D-5AB3-4F4C-B4F2-03C547479D8D}"/>
    <cellStyle name="Comma 4 3 3 6 2 2 3" xfId="17744" xr:uid="{42779287-A569-4A62-93E0-75800E508186}"/>
    <cellStyle name="Comma 4 3 3 6 2 2 4" xfId="34638" xr:uid="{C0D6E84F-6E6F-408C-B54E-92159ABE93BB}"/>
    <cellStyle name="Comma 4 3 3 6 2 3" xfId="21974" xr:uid="{D59542CD-FE98-44D8-BAE9-4EE97F98C3BC}"/>
    <cellStyle name="Comma 4 3 3 6 2 3 2" xfId="38868" xr:uid="{BE42F7D9-8460-49AC-B17C-CC7C02C63527}"/>
    <cellStyle name="Comma 4 3 3 6 2 4" xfId="13527" xr:uid="{007EA50B-29FF-4E4B-9798-613A9EAE0FCB}"/>
    <cellStyle name="Comma 4 3 3 6 2 5" xfId="30421" xr:uid="{E695E5F5-8B0C-4EE9-A86A-A352266C0727}"/>
    <cellStyle name="Comma 4 3 3 6 3" xfId="6273" xr:uid="{00000000-0005-0000-0000-000095090000}"/>
    <cellStyle name="Comma 4 3 3 6 3 2" xfId="24046" xr:uid="{21658930-3955-42E2-A2CA-7771AB4E15AC}"/>
    <cellStyle name="Comma 4 3 3 6 3 2 2" xfId="40940" xr:uid="{6198466A-CEE8-42C0-ABA9-088812FC35D4}"/>
    <cellStyle name="Comma 4 3 3 6 3 3" xfId="15599" xr:uid="{91918CD3-82B3-4B42-9503-03758E3A164B}"/>
    <cellStyle name="Comma 4 3 3 6 3 4" xfId="32493" xr:uid="{CCE8CAB3-E381-4E72-8AA0-001D3264D3A9}"/>
    <cellStyle name="Comma 4 3 3 6 4" xfId="19829" xr:uid="{23D37307-BF31-466C-A0B5-DCA72EAC6D12}"/>
    <cellStyle name="Comma 4 3 3 6 4 2" xfId="36723" xr:uid="{8434CD9A-2EF6-49E3-9109-F16267FC14C7}"/>
    <cellStyle name="Comma 4 3 3 6 5" xfId="11382" xr:uid="{2E18B50D-8B22-4495-ADA0-389690678AB1}"/>
    <cellStyle name="Comma 4 3 3 6 6" xfId="28276" xr:uid="{655F95BF-D6BC-4030-983F-8294248D6106}"/>
    <cellStyle name="Comma 4 3 3 7" xfId="2402" xr:uid="{00000000-0005-0000-0000-000096090000}"/>
    <cellStyle name="Comma 4 3 3 7 2" xfId="6686" xr:uid="{00000000-0005-0000-0000-000097090000}"/>
    <cellStyle name="Comma 4 3 3 7 2 2" xfId="24459" xr:uid="{6C594C30-94C7-49C8-8F05-EB53B49649CD}"/>
    <cellStyle name="Comma 4 3 3 7 2 2 2" xfId="41353" xr:uid="{5BC3106C-C0EE-497E-9D05-E6A014E767A4}"/>
    <cellStyle name="Comma 4 3 3 7 2 3" xfId="16012" xr:uid="{237ACD16-83C4-434F-B215-6EC3E4DBB78F}"/>
    <cellStyle name="Comma 4 3 3 7 2 4" xfId="32906" xr:uid="{9948F7DD-DC8B-4ECB-A309-E9797E73E770}"/>
    <cellStyle name="Comma 4 3 3 7 3" xfId="20242" xr:uid="{2107F53E-4F8B-4028-9630-B576A1C0D62E}"/>
    <cellStyle name="Comma 4 3 3 7 3 2" xfId="37136" xr:uid="{90C06A5F-74A9-4598-B57A-B089BD085BCC}"/>
    <cellStyle name="Comma 4 3 3 7 4" xfId="11795" xr:uid="{367CAAF6-E820-4D6E-BE2E-1601ABCBFB31}"/>
    <cellStyle name="Comma 4 3 3 7 5" xfId="28689" xr:uid="{250CEE94-5C10-4021-A634-BDD282950A68}"/>
    <cellStyle name="Comma 4 3 3 8" xfId="2361" xr:uid="{00000000-0005-0000-0000-000098090000}"/>
    <cellStyle name="Comma 4 3 3 9" xfId="2780" xr:uid="{00000000-0005-0000-0000-000099090000}"/>
    <cellStyle name="Comma 4 3 3 9 2" xfId="7003" xr:uid="{00000000-0005-0000-0000-00009A090000}"/>
    <cellStyle name="Comma 4 3 3 9 2 2" xfId="24776" xr:uid="{456ACDB7-044E-45DE-A51F-7B2D1F5167EF}"/>
    <cellStyle name="Comma 4 3 3 9 2 2 2" xfId="41670" xr:uid="{75C39282-C3F7-4C86-9821-5FCC8935F5D2}"/>
    <cellStyle name="Comma 4 3 3 9 2 3" xfId="16329" xr:uid="{24B8D2FF-5AE9-4ADE-84E0-ABDF64482A7C}"/>
    <cellStyle name="Comma 4 3 3 9 2 4" xfId="33223" xr:uid="{955C23F6-53BE-4BF3-9CB5-9F84522CD7D3}"/>
    <cellStyle name="Comma 4 3 3 9 3" xfId="20559" xr:uid="{6E4242DE-A3AE-4DFD-A611-3B6ACFEBEE66}"/>
    <cellStyle name="Comma 4 3 3 9 3 2" xfId="37453" xr:uid="{9BA27EE3-49D4-4128-A206-2CEC5BFF2D6B}"/>
    <cellStyle name="Comma 4 3 3 9 4" xfId="12112" xr:uid="{00201AB1-65A2-4724-9F2F-40FD7BE3098A}"/>
    <cellStyle name="Comma 4 3 3 9 5" xfId="29006" xr:uid="{F44A14A5-1DF6-4FDF-8332-EE9852328F9D}"/>
    <cellStyle name="Comma 4 3 4" xfId="151" xr:uid="{00000000-0005-0000-0000-00009B090000}"/>
    <cellStyle name="Comma 4 3 4 10" xfId="8985" xr:uid="{E965CEC1-A932-4F91-9E18-794CBF7DC7FC}"/>
    <cellStyle name="Comma 4 3 4 10 2" xfId="18178" xr:uid="{FE9E9A16-AEA2-44D0-AC6E-20A97951A306}"/>
    <cellStyle name="Comma 4 3 4 10 3" xfId="35072" xr:uid="{9E0282BE-8AE9-495F-8000-1FC4C614C4C6}"/>
    <cellStyle name="Comma 4 3 4 11" xfId="9731" xr:uid="{EAA8D044-9B79-49B8-88CD-60DE0D5BF6C3}"/>
    <cellStyle name="Comma 4 3 4 12" xfId="26625" xr:uid="{9AB143A8-ACB1-46A6-AC02-532AB57BE907}"/>
    <cellStyle name="Comma 4 3 4 2" xfId="688" xr:uid="{00000000-0005-0000-0000-00009C090000}"/>
    <cellStyle name="Comma 4 3 4 2 2" xfId="2959" xr:uid="{00000000-0005-0000-0000-00009D090000}"/>
    <cellStyle name="Comma 4 3 4 2 2 2" xfId="7181" xr:uid="{00000000-0005-0000-0000-00009E090000}"/>
    <cellStyle name="Comma 4 3 4 2 2 2 2" xfId="24954" xr:uid="{C2BBC0EA-D883-4AE6-94FB-E61AC84C1F43}"/>
    <cellStyle name="Comma 4 3 4 2 2 2 2 2" xfId="41848" xr:uid="{FE62A20D-CBE4-4968-BD5F-B48DD0DFA9EB}"/>
    <cellStyle name="Comma 4 3 4 2 2 2 3" xfId="16507" xr:uid="{ADF2BDAB-E504-48A3-AB22-AD805FB56717}"/>
    <cellStyle name="Comma 4 3 4 2 2 2 4" xfId="33401" xr:uid="{ABAE36A5-3CB3-401C-B881-9B6C94A29B7C}"/>
    <cellStyle name="Comma 4 3 4 2 2 3" xfId="20737" xr:uid="{4557DC30-203A-40E7-8729-6BFA4D9829FA}"/>
    <cellStyle name="Comma 4 3 4 2 2 3 2" xfId="37631" xr:uid="{DAF3425E-A44B-4242-870C-C2BE880DF4CA}"/>
    <cellStyle name="Comma 4 3 4 2 2 4" xfId="12290" xr:uid="{6A6A8E19-A267-4F86-AE33-6BE1647E6D52}"/>
    <cellStyle name="Comma 4 3 4 2 2 5" xfId="29184" xr:uid="{7805EF9F-6E03-434E-BD05-0B67DB35AC12}"/>
    <cellStyle name="Comma 4 3 4 2 3" xfId="5036" xr:uid="{00000000-0005-0000-0000-00009F090000}"/>
    <cellStyle name="Comma 4 3 4 2 3 2" xfId="22809" xr:uid="{AE67249F-A9ED-4312-8DAC-2DCBD1166B3A}"/>
    <cellStyle name="Comma 4 3 4 2 3 2 2" xfId="39703" xr:uid="{F58EF7EC-8019-4D89-A2D2-38B1BB745EB7}"/>
    <cellStyle name="Comma 4 3 4 2 3 3" xfId="14362" xr:uid="{DAFD0B55-61D9-4D51-B194-BE4318F2FC32}"/>
    <cellStyle name="Comma 4 3 4 2 3 4" xfId="31256" xr:uid="{CD199070-038F-487F-A3BC-7D2D12231557}"/>
    <cellStyle name="Comma 4 3 4 2 4" xfId="9410" xr:uid="{54DEC146-6204-4AAF-A15F-BAC0A12B5984}"/>
    <cellStyle name="Comma 4 3 4 2 4 2" xfId="18592" xr:uid="{0B6D9B4F-A820-41C9-9FD2-C560415CE360}"/>
    <cellStyle name="Comma 4 3 4 2 4 3" xfId="35486" xr:uid="{93BDC3C0-54DC-4A39-A3DE-BF559B2BF619}"/>
    <cellStyle name="Comma 4 3 4 2 5" xfId="10145" xr:uid="{D41433E8-71A1-430D-B503-7C3050E855B3}"/>
    <cellStyle name="Comma 4 3 4 2 6" xfId="27039" xr:uid="{2594EEA1-D3CA-4151-A55B-D3D646AC6E70}"/>
    <cellStyle name="Comma 4 3 4 3" xfId="1141" xr:uid="{00000000-0005-0000-0000-0000A0090000}"/>
    <cellStyle name="Comma 4 3 4 3 2" xfId="3372" xr:uid="{00000000-0005-0000-0000-0000A1090000}"/>
    <cellStyle name="Comma 4 3 4 3 2 2" xfId="7594" xr:uid="{00000000-0005-0000-0000-0000A2090000}"/>
    <cellStyle name="Comma 4 3 4 3 2 2 2" xfId="25367" xr:uid="{7A798D77-4362-443D-887B-20773CE89CAC}"/>
    <cellStyle name="Comma 4 3 4 3 2 2 2 2" xfId="42261" xr:uid="{F2D3C5DF-2268-45F7-A8A7-FBF16872DC65}"/>
    <cellStyle name="Comma 4 3 4 3 2 2 3" xfId="16920" xr:uid="{08B2033B-E976-4691-81DA-44FF130C282D}"/>
    <cellStyle name="Comma 4 3 4 3 2 2 4" xfId="33814" xr:uid="{625E8AE9-3C41-48C0-98E7-2FC548A5BCDD}"/>
    <cellStyle name="Comma 4 3 4 3 2 3" xfId="21150" xr:uid="{1D30BE53-E5C0-4768-9FB9-C3BC76209288}"/>
    <cellStyle name="Comma 4 3 4 3 2 3 2" xfId="38044" xr:uid="{B8858FA1-88AF-474A-89CE-5D7FA52055FB}"/>
    <cellStyle name="Comma 4 3 4 3 2 4" xfId="12703" xr:uid="{1BDF2317-9A04-4344-8D38-56CF3247F741}"/>
    <cellStyle name="Comma 4 3 4 3 2 5" xfId="29597" xr:uid="{6B6A965D-5D3D-40E5-BF33-B539EC915E8E}"/>
    <cellStyle name="Comma 4 3 4 3 3" xfId="5449" xr:uid="{00000000-0005-0000-0000-0000A3090000}"/>
    <cellStyle name="Comma 4 3 4 3 3 2" xfId="23222" xr:uid="{A911830E-80FF-4D5C-AB6E-F03AECDF22AE}"/>
    <cellStyle name="Comma 4 3 4 3 3 2 2" xfId="40116" xr:uid="{E9C128E1-A05D-46BA-86AE-86AF55F65F00}"/>
    <cellStyle name="Comma 4 3 4 3 3 3" xfId="14775" xr:uid="{BF775BF5-8232-4D86-B3CB-79A8F67A4B6D}"/>
    <cellStyle name="Comma 4 3 4 3 3 4" xfId="31669" xr:uid="{DA39DE28-29CC-41EE-A370-E2FC4B173999}"/>
    <cellStyle name="Comma 4 3 4 3 4" xfId="19005" xr:uid="{D0576887-461C-453A-AAB8-6968E9D9E0D9}"/>
    <cellStyle name="Comma 4 3 4 3 4 2" xfId="35899" xr:uid="{96DCA070-A6E8-43F2-8480-08D191491955}"/>
    <cellStyle name="Comma 4 3 4 3 5" xfId="10558" xr:uid="{D06E0351-528A-40F2-A9A0-1B37DFB0286D}"/>
    <cellStyle name="Comma 4 3 4 3 6" xfId="27452" xr:uid="{3FC16E66-376E-4DB8-ADC5-65CAC0F1C763}"/>
    <cellStyle name="Comma 4 3 4 4" xfId="1555" xr:uid="{00000000-0005-0000-0000-0000A4090000}"/>
    <cellStyle name="Comma 4 3 4 4 2" xfId="3785" xr:uid="{00000000-0005-0000-0000-0000A5090000}"/>
    <cellStyle name="Comma 4 3 4 4 2 2" xfId="8007" xr:uid="{00000000-0005-0000-0000-0000A6090000}"/>
    <cellStyle name="Comma 4 3 4 4 2 2 2" xfId="25780" xr:uid="{7A01E699-2DCD-4191-B0FA-E02970B00D78}"/>
    <cellStyle name="Comma 4 3 4 4 2 2 2 2" xfId="42674" xr:uid="{C28977BB-9560-4C54-B983-6C31C7876152}"/>
    <cellStyle name="Comma 4 3 4 4 2 2 3" xfId="17333" xr:uid="{FFC69A99-95DA-4BD8-8861-EF2ACBEE59F7}"/>
    <cellStyle name="Comma 4 3 4 4 2 2 4" xfId="34227" xr:uid="{1B098E10-2F38-48F9-BCA0-6A7AA5438CD2}"/>
    <cellStyle name="Comma 4 3 4 4 2 3" xfId="21563" xr:uid="{3F1B3384-D479-44BE-B590-A153A0ADC560}"/>
    <cellStyle name="Comma 4 3 4 4 2 3 2" xfId="38457" xr:uid="{D5E37373-B512-4741-BDAF-B000233FDD72}"/>
    <cellStyle name="Comma 4 3 4 4 2 4" xfId="13116" xr:uid="{E17204C6-A84A-4D62-AD92-B4E936D2FF23}"/>
    <cellStyle name="Comma 4 3 4 4 2 5" xfId="30010" xr:uid="{A34006E2-50C6-4810-99B9-95D2C658E6F9}"/>
    <cellStyle name="Comma 4 3 4 4 3" xfId="5862" xr:uid="{00000000-0005-0000-0000-0000A7090000}"/>
    <cellStyle name="Comma 4 3 4 4 3 2" xfId="23635" xr:uid="{F4C0467B-13B3-4B09-928D-1A0F7D084DE1}"/>
    <cellStyle name="Comma 4 3 4 4 3 2 2" xfId="40529" xr:uid="{FB0DA631-AC6D-4F5A-A037-7B625C94F346}"/>
    <cellStyle name="Comma 4 3 4 4 3 3" xfId="15188" xr:uid="{42E1206C-2818-4295-B82A-1108CA097CDC}"/>
    <cellStyle name="Comma 4 3 4 4 3 4" xfId="32082" xr:uid="{33E618E2-D6C8-4BFF-91E7-62E0742F4E07}"/>
    <cellStyle name="Comma 4 3 4 4 4" xfId="19418" xr:uid="{4DFF9389-50A2-417A-AC98-21F2D5393CA0}"/>
    <cellStyle name="Comma 4 3 4 4 4 2" xfId="36312" xr:uid="{36C1C7B5-9018-4FFF-A346-6226211540FC}"/>
    <cellStyle name="Comma 4 3 4 4 5" xfId="10971" xr:uid="{C0BF55CD-7E02-49B7-A6BF-7D833ECB483F}"/>
    <cellStyle name="Comma 4 3 4 4 6" xfId="27865" xr:uid="{8CECA917-3107-42B1-BD21-C5E7879F4AE2}"/>
    <cellStyle name="Comma 4 3 4 5" xfId="1969" xr:uid="{00000000-0005-0000-0000-0000A8090000}"/>
    <cellStyle name="Comma 4 3 4 5 2" xfId="4198" xr:uid="{00000000-0005-0000-0000-0000A9090000}"/>
    <cellStyle name="Comma 4 3 4 5 2 2" xfId="8420" xr:uid="{00000000-0005-0000-0000-0000AA090000}"/>
    <cellStyle name="Comma 4 3 4 5 2 2 2" xfId="26193" xr:uid="{E9130893-AE5C-4929-AB9D-3F2C023C2DEA}"/>
    <cellStyle name="Comma 4 3 4 5 2 2 2 2" xfId="43087" xr:uid="{D52097BD-A4CF-47B8-B129-714C38C5E985}"/>
    <cellStyle name="Comma 4 3 4 5 2 2 3" xfId="17746" xr:uid="{2A23E395-6AB2-4820-AE22-95EF98965278}"/>
    <cellStyle name="Comma 4 3 4 5 2 2 4" xfId="34640" xr:uid="{6EDA3BC6-FC0F-4510-8BD9-DDDC90667854}"/>
    <cellStyle name="Comma 4 3 4 5 2 3" xfId="21976" xr:uid="{5ED05D63-2A5A-4269-BE50-E6DAF0B26E59}"/>
    <cellStyle name="Comma 4 3 4 5 2 3 2" xfId="38870" xr:uid="{64BDA0E0-38F6-46DB-98B9-98F4586B0FA0}"/>
    <cellStyle name="Comma 4 3 4 5 2 4" xfId="13529" xr:uid="{23FA5FE6-1934-499F-8D2B-517B263B1255}"/>
    <cellStyle name="Comma 4 3 4 5 2 5" xfId="30423" xr:uid="{3408638F-B6B1-4791-A2B4-A3FC93EA66FD}"/>
    <cellStyle name="Comma 4 3 4 5 3" xfId="6275" xr:uid="{00000000-0005-0000-0000-0000AB090000}"/>
    <cellStyle name="Comma 4 3 4 5 3 2" xfId="24048" xr:uid="{BC126DB8-13FC-4121-8DAB-9839A4EDDE74}"/>
    <cellStyle name="Comma 4 3 4 5 3 2 2" xfId="40942" xr:uid="{B96504C1-E922-4FB1-82F6-F493A59B4FC8}"/>
    <cellStyle name="Comma 4 3 4 5 3 3" xfId="15601" xr:uid="{DD7B7FB1-BB4D-4407-97EE-54D97DFD5AFC}"/>
    <cellStyle name="Comma 4 3 4 5 3 4" xfId="32495" xr:uid="{70BAF3A1-4F43-4826-B517-12415BC079D3}"/>
    <cellStyle name="Comma 4 3 4 5 4" xfId="19831" xr:uid="{EEEAA6CB-89E9-4470-B3E6-7A2A169DCBBE}"/>
    <cellStyle name="Comma 4 3 4 5 4 2" xfId="36725" xr:uid="{5363EA37-1EA6-4FF7-A6D9-8100464AF3C7}"/>
    <cellStyle name="Comma 4 3 4 5 5" xfId="11384" xr:uid="{3833C94F-0ED6-44E6-A64C-E1D73C8B33CB}"/>
    <cellStyle name="Comma 4 3 4 5 6" xfId="28278" xr:uid="{D6725DDF-1EC9-4DFB-96C4-F37DA02D48EB}"/>
    <cellStyle name="Comma 4 3 4 6" xfId="2404" xr:uid="{00000000-0005-0000-0000-0000AC090000}"/>
    <cellStyle name="Comma 4 3 4 6 2" xfId="6688" xr:uid="{00000000-0005-0000-0000-0000AD090000}"/>
    <cellStyle name="Comma 4 3 4 6 2 2" xfId="24461" xr:uid="{1B82E0A8-9E6B-49E7-BDD0-2A70A547F9C1}"/>
    <cellStyle name="Comma 4 3 4 6 2 2 2" xfId="41355" xr:uid="{482F95E0-66EC-4DB8-9E1F-E6EB88856254}"/>
    <cellStyle name="Comma 4 3 4 6 2 3" xfId="16014" xr:uid="{38A5B9D2-21FD-4B26-A504-4C8F63F4BC04}"/>
    <cellStyle name="Comma 4 3 4 6 2 4" xfId="32908" xr:uid="{B9BE7C99-B25F-4824-ACE9-80B509360AF2}"/>
    <cellStyle name="Comma 4 3 4 6 3" xfId="20244" xr:uid="{18912A25-6860-41B7-995F-7CEDC791BBE8}"/>
    <cellStyle name="Comma 4 3 4 6 3 2" xfId="37138" xr:uid="{0B05F9F9-93BF-48A4-8FD6-9AFF25DCBD35}"/>
    <cellStyle name="Comma 4 3 4 6 4" xfId="11797" xr:uid="{415F9E68-609D-4C54-A07E-B7AD369ECC18}"/>
    <cellStyle name="Comma 4 3 4 6 5" xfId="28691" xr:uid="{1A03AEE8-E29E-43BF-993F-8A5199D7F4B4}"/>
    <cellStyle name="Comma 4 3 4 7" xfId="2700" xr:uid="{00000000-0005-0000-0000-0000AE090000}"/>
    <cellStyle name="Comma 4 3 4 8" xfId="2782" xr:uid="{00000000-0005-0000-0000-0000AF090000}"/>
    <cellStyle name="Comma 4 3 4 8 2" xfId="7005" xr:uid="{00000000-0005-0000-0000-0000B0090000}"/>
    <cellStyle name="Comma 4 3 4 8 2 2" xfId="24778" xr:uid="{E6826F1A-D4AA-4E39-BD27-AF7087F2FC3E}"/>
    <cellStyle name="Comma 4 3 4 8 2 2 2" xfId="41672" xr:uid="{AE4C043E-18DC-495C-A6CC-BF8C99C0F879}"/>
    <cellStyle name="Comma 4 3 4 8 2 3" xfId="16331" xr:uid="{8A04A771-82B1-421A-8FD0-513999C401B0}"/>
    <cellStyle name="Comma 4 3 4 8 2 4" xfId="33225" xr:uid="{6C444F92-0D19-4BD5-B05C-F8D457DF3FD1}"/>
    <cellStyle name="Comma 4 3 4 8 3" xfId="20561" xr:uid="{77A46DDD-8813-4F55-8C20-F6AD7AEB08F6}"/>
    <cellStyle name="Comma 4 3 4 8 3 2" xfId="37455" xr:uid="{6009F0D6-BE22-48AE-8950-1199DE8AC6A7}"/>
    <cellStyle name="Comma 4 3 4 8 4" xfId="12114" xr:uid="{167D6F00-2322-4FE4-8E14-2BD10CD11B1C}"/>
    <cellStyle name="Comma 4 3 4 8 5" xfId="29008" xr:uid="{8086E05E-BE9D-497C-8A7E-019F2D21838D}"/>
    <cellStyle name="Comma 4 3 4 9" xfId="4622" xr:uid="{00000000-0005-0000-0000-0000B1090000}"/>
    <cellStyle name="Comma 4 3 4 9 2" xfId="22395" xr:uid="{7E653A90-20A8-4F48-87AD-5E5D670568DF}"/>
    <cellStyle name="Comma 4 3 4 9 2 2" xfId="39289" xr:uid="{4A778026-7A39-4B22-8FE9-071B7652C41B}"/>
    <cellStyle name="Comma 4 3 4 9 3" xfId="13948" xr:uid="{86460112-ACA2-456B-9370-F44B311EC7B2}"/>
    <cellStyle name="Comma 4 3 4 9 4" xfId="30842" xr:uid="{118D54E5-9383-4227-B067-C13687C6D792}"/>
    <cellStyle name="Comma 4 3 5" xfId="152" xr:uid="{00000000-0005-0000-0000-0000B2090000}"/>
    <cellStyle name="Comma 4 3 5 10" xfId="9202" xr:uid="{BF5456DA-E11C-47BD-8210-21F45D9E5F79}"/>
    <cellStyle name="Comma 4 3 5 10 2" xfId="18179" xr:uid="{0AF3E75A-D047-48DF-99AB-ABDE2F1FA0BA}"/>
    <cellStyle name="Comma 4 3 5 10 3" xfId="35073" xr:uid="{85B6768F-B971-45DF-A89E-744A5B3518F9}"/>
    <cellStyle name="Comma 4 3 5 11" xfId="9732" xr:uid="{5DF7F09B-2586-4EF7-8DD3-BD5A6B7553F4}"/>
    <cellStyle name="Comma 4 3 5 12" xfId="26626" xr:uid="{76F1DC22-CD7E-4A77-907C-2140779FE75A}"/>
    <cellStyle name="Comma 4 3 5 2" xfId="689" xr:uid="{00000000-0005-0000-0000-0000B3090000}"/>
    <cellStyle name="Comma 4 3 5 2 2" xfId="2960" xr:uid="{00000000-0005-0000-0000-0000B4090000}"/>
    <cellStyle name="Comma 4 3 5 2 2 2" xfId="7182" xr:uid="{00000000-0005-0000-0000-0000B5090000}"/>
    <cellStyle name="Comma 4 3 5 2 2 2 2" xfId="24955" xr:uid="{BCF5524F-C356-4461-AF5D-D0F38AD5BA75}"/>
    <cellStyle name="Comma 4 3 5 2 2 2 2 2" xfId="41849" xr:uid="{AC977375-4C84-4549-A80D-1F765057FE0C}"/>
    <cellStyle name="Comma 4 3 5 2 2 2 3" xfId="16508" xr:uid="{BC1A0E06-406A-463B-9DB7-67032386097E}"/>
    <cellStyle name="Comma 4 3 5 2 2 2 4" xfId="33402" xr:uid="{2EC7750F-8898-4FAC-A3B1-6383075AB0D6}"/>
    <cellStyle name="Comma 4 3 5 2 2 3" xfId="20738" xr:uid="{8E5E0831-D434-40EC-8B8D-BE4A78FE2847}"/>
    <cellStyle name="Comma 4 3 5 2 2 3 2" xfId="37632" xr:uid="{5C13F6AD-00FE-4B0D-9318-BA9E7457FC97}"/>
    <cellStyle name="Comma 4 3 5 2 2 4" xfId="12291" xr:uid="{226BE75D-3B5A-41B7-BD00-76B7DB86B19B}"/>
    <cellStyle name="Comma 4 3 5 2 2 5" xfId="29185" xr:uid="{42D03C29-E89B-478A-BE8C-12DF31D3440C}"/>
    <cellStyle name="Comma 4 3 5 2 3" xfId="5037" xr:uid="{00000000-0005-0000-0000-0000B6090000}"/>
    <cellStyle name="Comma 4 3 5 2 3 2" xfId="22810" xr:uid="{F72F750F-D092-45A4-AA20-D19448EACFF4}"/>
    <cellStyle name="Comma 4 3 5 2 3 2 2" xfId="39704" xr:uid="{425D2B04-249D-4F30-80AE-BABEC6EA244E}"/>
    <cellStyle name="Comma 4 3 5 2 3 3" xfId="14363" xr:uid="{FF357960-3F91-44AD-B1A9-2A6AA5F664DD}"/>
    <cellStyle name="Comma 4 3 5 2 3 4" xfId="31257" xr:uid="{699BAF1B-54CB-45CE-AA30-9BA9F6BF5D4A}"/>
    <cellStyle name="Comma 4 3 5 2 4" xfId="9595" xr:uid="{3E6BF710-D2EA-4AFB-83F1-C6BF1C2192FF}"/>
    <cellStyle name="Comma 4 3 5 2 4 2" xfId="18593" xr:uid="{BB724C05-7375-41CE-AFDB-98B43D882268}"/>
    <cellStyle name="Comma 4 3 5 2 4 3" xfId="35487" xr:uid="{50E545DB-532B-4126-84A4-62DC166CCC59}"/>
    <cellStyle name="Comma 4 3 5 2 5" xfId="10146" xr:uid="{CD891832-0094-456B-B33A-1B6889885C35}"/>
    <cellStyle name="Comma 4 3 5 2 6" xfId="27040" xr:uid="{DB235D1A-DBEF-4645-9F3B-51D6F9CCFFB9}"/>
    <cellStyle name="Comma 4 3 5 3" xfId="1142" xr:uid="{00000000-0005-0000-0000-0000B7090000}"/>
    <cellStyle name="Comma 4 3 5 3 2" xfId="3373" xr:uid="{00000000-0005-0000-0000-0000B8090000}"/>
    <cellStyle name="Comma 4 3 5 3 2 2" xfId="7595" xr:uid="{00000000-0005-0000-0000-0000B9090000}"/>
    <cellStyle name="Comma 4 3 5 3 2 2 2" xfId="25368" xr:uid="{D6221390-C700-4B9A-ABCE-2F66C06B4236}"/>
    <cellStyle name="Comma 4 3 5 3 2 2 2 2" xfId="42262" xr:uid="{79AA1252-0D73-472D-9687-A978BCC47738}"/>
    <cellStyle name="Comma 4 3 5 3 2 2 3" xfId="16921" xr:uid="{B15C4EE4-7451-40D7-82D0-F1C2B6D3DCC9}"/>
    <cellStyle name="Comma 4 3 5 3 2 2 4" xfId="33815" xr:uid="{A33967CE-AF02-41AC-A580-A874600D7F4E}"/>
    <cellStyle name="Comma 4 3 5 3 2 3" xfId="21151" xr:uid="{3DEDDF44-FB90-4333-96EB-FD142A812B5F}"/>
    <cellStyle name="Comma 4 3 5 3 2 3 2" xfId="38045" xr:uid="{ED8F790A-8EDF-42B6-A292-D879D9608CC3}"/>
    <cellStyle name="Comma 4 3 5 3 2 4" xfId="12704" xr:uid="{99382868-CCAD-4BCA-BEB2-FEA1844360EB}"/>
    <cellStyle name="Comma 4 3 5 3 2 5" xfId="29598" xr:uid="{769B4F67-003F-4D68-8BB2-27F4467BB8CD}"/>
    <cellStyle name="Comma 4 3 5 3 3" xfId="5450" xr:uid="{00000000-0005-0000-0000-0000BA090000}"/>
    <cellStyle name="Comma 4 3 5 3 3 2" xfId="23223" xr:uid="{1631E0A9-43AF-4D7F-AA10-229CA2454C4B}"/>
    <cellStyle name="Comma 4 3 5 3 3 2 2" xfId="40117" xr:uid="{CD9BDEA9-5D9F-437A-849F-915693220881}"/>
    <cellStyle name="Comma 4 3 5 3 3 3" xfId="14776" xr:uid="{855D0E61-961F-4A2A-9D20-2C6561E009E6}"/>
    <cellStyle name="Comma 4 3 5 3 3 4" xfId="31670" xr:uid="{CC75BD32-E64D-419C-ADF7-00F63159DDBE}"/>
    <cellStyle name="Comma 4 3 5 3 4" xfId="19006" xr:uid="{1F12FD91-A381-45AE-8B6D-3221C3113516}"/>
    <cellStyle name="Comma 4 3 5 3 4 2" xfId="35900" xr:uid="{2FBBAF17-9B09-4668-93EA-5422E6B4F0FC}"/>
    <cellStyle name="Comma 4 3 5 3 5" xfId="10559" xr:uid="{33041D42-B7DA-441A-9239-DE51ADCFD889}"/>
    <cellStyle name="Comma 4 3 5 3 6" xfId="27453" xr:uid="{0F170730-8A1C-4BF7-BC36-2FA177EC2BD4}"/>
    <cellStyle name="Comma 4 3 5 4" xfId="1556" xr:uid="{00000000-0005-0000-0000-0000BB090000}"/>
    <cellStyle name="Comma 4 3 5 4 2" xfId="3786" xr:uid="{00000000-0005-0000-0000-0000BC090000}"/>
    <cellStyle name="Comma 4 3 5 4 2 2" xfId="8008" xr:uid="{00000000-0005-0000-0000-0000BD090000}"/>
    <cellStyle name="Comma 4 3 5 4 2 2 2" xfId="25781" xr:uid="{0660ABFF-3451-40B5-8925-0FABED5A85AB}"/>
    <cellStyle name="Comma 4 3 5 4 2 2 2 2" xfId="42675" xr:uid="{154B3B78-0521-4B3A-B05D-270CAA6AC8DD}"/>
    <cellStyle name="Comma 4 3 5 4 2 2 3" xfId="17334" xr:uid="{D5365CC9-4C52-459B-9C0D-D291A9EED09C}"/>
    <cellStyle name="Comma 4 3 5 4 2 2 4" xfId="34228" xr:uid="{41CCD722-5FF2-4C60-910A-E6A8A3B2CB77}"/>
    <cellStyle name="Comma 4 3 5 4 2 3" xfId="21564" xr:uid="{EDC51619-C797-4006-B6B4-5541BA1C9D0E}"/>
    <cellStyle name="Comma 4 3 5 4 2 3 2" xfId="38458" xr:uid="{4E9A2F2A-1544-41A9-A166-2BAE0EF6D72E}"/>
    <cellStyle name="Comma 4 3 5 4 2 4" xfId="13117" xr:uid="{8C1DE264-AAC4-4FD7-89F9-BCCED03E7DE6}"/>
    <cellStyle name="Comma 4 3 5 4 2 5" xfId="30011" xr:uid="{2B2C1412-EF42-4BE5-BEFB-78331A2DC0DC}"/>
    <cellStyle name="Comma 4 3 5 4 3" xfId="5863" xr:uid="{00000000-0005-0000-0000-0000BE090000}"/>
    <cellStyle name="Comma 4 3 5 4 3 2" xfId="23636" xr:uid="{C9B34257-A5F9-4A1B-B493-A8A05919AAA4}"/>
    <cellStyle name="Comma 4 3 5 4 3 2 2" xfId="40530" xr:uid="{369A0FA0-F09B-40A6-AE17-93D46BF7B16E}"/>
    <cellStyle name="Comma 4 3 5 4 3 3" xfId="15189" xr:uid="{4552AD73-E4B0-4CD2-8CF3-E755613BEC90}"/>
    <cellStyle name="Comma 4 3 5 4 3 4" xfId="32083" xr:uid="{5E5CDB68-7DCA-4687-A92E-668714B3AC53}"/>
    <cellStyle name="Comma 4 3 5 4 4" xfId="19419" xr:uid="{0B4CC2C0-C095-4BC7-8E54-B025455F427B}"/>
    <cellStyle name="Comma 4 3 5 4 4 2" xfId="36313" xr:uid="{F72DAD31-D277-42A5-A8D9-6ED85B9689A5}"/>
    <cellStyle name="Comma 4 3 5 4 5" xfId="10972" xr:uid="{8B56EE33-0C1E-403F-850D-5E4A81578418}"/>
    <cellStyle name="Comma 4 3 5 4 6" xfId="27866" xr:uid="{7285BD83-1642-49F4-8091-E02BCEC77F8C}"/>
    <cellStyle name="Comma 4 3 5 5" xfId="1970" xr:uid="{00000000-0005-0000-0000-0000BF090000}"/>
    <cellStyle name="Comma 4 3 5 5 2" xfId="4199" xr:uid="{00000000-0005-0000-0000-0000C0090000}"/>
    <cellStyle name="Comma 4 3 5 5 2 2" xfId="8421" xr:uid="{00000000-0005-0000-0000-0000C1090000}"/>
    <cellStyle name="Comma 4 3 5 5 2 2 2" xfId="26194" xr:uid="{8050E13E-D99C-4D29-99B4-8B05E81BD21A}"/>
    <cellStyle name="Comma 4 3 5 5 2 2 2 2" xfId="43088" xr:uid="{F3356210-1150-4AA6-9673-25402C2089C6}"/>
    <cellStyle name="Comma 4 3 5 5 2 2 3" xfId="17747" xr:uid="{E3C8DAF1-0301-4665-9CD2-5A153DED63AD}"/>
    <cellStyle name="Comma 4 3 5 5 2 2 4" xfId="34641" xr:uid="{B4AC96BE-8699-437D-B57D-882EA5157D4F}"/>
    <cellStyle name="Comma 4 3 5 5 2 3" xfId="21977" xr:uid="{ADB4EA18-C5D0-482B-B6F0-12CAC42C3704}"/>
    <cellStyle name="Comma 4 3 5 5 2 3 2" xfId="38871" xr:uid="{60C670F0-5C29-4079-B841-98D905734851}"/>
    <cellStyle name="Comma 4 3 5 5 2 4" xfId="13530" xr:uid="{5E42F7F9-5A16-4B62-BB6C-BC82621EC7EB}"/>
    <cellStyle name="Comma 4 3 5 5 2 5" xfId="30424" xr:uid="{F0207F10-AC42-4980-9248-699BF979B07A}"/>
    <cellStyle name="Comma 4 3 5 5 3" xfId="6276" xr:uid="{00000000-0005-0000-0000-0000C2090000}"/>
    <cellStyle name="Comma 4 3 5 5 3 2" xfId="24049" xr:uid="{7F81FDF8-AB6D-472F-A6F2-0D331A8DBC37}"/>
    <cellStyle name="Comma 4 3 5 5 3 2 2" xfId="40943" xr:uid="{8395ACFA-B1FC-4ADE-A1CE-0001D080DEDB}"/>
    <cellStyle name="Comma 4 3 5 5 3 3" xfId="15602" xr:uid="{B6566ABF-B173-4778-8CD8-72758B23D68C}"/>
    <cellStyle name="Comma 4 3 5 5 3 4" xfId="32496" xr:uid="{8ABBD5C5-EC6E-44F8-B056-C3AA4F43AAD2}"/>
    <cellStyle name="Comma 4 3 5 5 4" xfId="19832" xr:uid="{DAAFA192-40D8-4DBD-9B26-0A004F1CD6F3}"/>
    <cellStyle name="Comma 4 3 5 5 4 2" xfId="36726" xr:uid="{A8EE6A13-DADF-405C-B360-1EFDA33213D6}"/>
    <cellStyle name="Comma 4 3 5 5 5" xfId="11385" xr:uid="{6F54360C-BD93-4486-A3F8-5F57C3AB7101}"/>
    <cellStyle name="Comma 4 3 5 5 6" xfId="28279" xr:uid="{E3F1E103-C98C-49BC-A71A-4EEEC6D4E2CF}"/>
    <cellStyle name="Comma 4 3 5 6" xfId="2405" xr:uid="{00000000-0005-0000-0000-0000C3090000}"/>
    <cellStyle name="Comma 4 3 5 6 2" xfId="6689" xr:uid="{00000000-0005-0000-0000-0000C4090000}"/>
    <cellStyle name="Comma 4 3 5 6 2 2" xfId="24462" xr:uid="{59F5EFAE-044D-4527-B5F1-C47396FF1066}"/>
    <cellStyle name="Comma 4 3 5 6 2 2 2" xfId="41356" xr:uid="{52F2E2AC-FBDC-4A61-8FF9-0EC3C3ED536F}"/>
    <cellStyle name="Comma 4 3 5 6 2 3" xfId="16015" xr:uid="{33D09112-3A5D-416A-A64D-726302CC8C70}"/>
    <cellStyle name="Comma 4 3 5 6 2 4" xfId="32909" xr:uid="{8BAAD157-01F4-4579-97DF-DDF43BB05241}"/>
    <cellStyle name="Comma 4 3 5 6 3" xfId="20245" xr:uid="{7409FF7D-BE69-4795-8BE1-948882AB50BC}"/>
    <cellStyle name="Comma 4 3 5 6 3 2" xfId="37139" xr:uid="{0ED965D6-9679-4889-A975-E48DD950B182}"/>
    <cellStyle name="Comma 4 3 5 6 4" xfId="11798" xr:uid="{3C239F55-16C8-4169-9294-570E142B3C4F}"/>
    <cellStyle name="Comma 4 3 5 6 5" xfId="28692" xr:uid="{C8855C40-19CE-449C-A594-D556EFC3DA48}"/>
    <cellStyle name="Comma 4 3 5 7" xfId="2701" xr:uid="{00000000-0005-0000-0000-0000C5090000}"/>
    <cellStyle name="Comma 4 3 5 8" xfId="2783" xr:uid="{00000000-0005-0000-0000-0000C6090000}"/>
    <cellStyle name="Comma 4 3 5 8 2" xfId="7006" xr:uid="{00000000-0005-0000-0000-0000C7090000}"/>
    <cellStyle name="Comma 4 3 5 8 2 2" xfId="24779" xr:uid="{87A17009-0BC8-4459-B187-83C442095828}"/>
    <cellStyle name="Comma 4 3 5 8 2 2 2" xfId="41673" xr:uid="{7E7FBF0C-78F7-4C4C-8869-75C568249F92}"/>
    <cellStyle name="Comma 4 3 5 8 2 3" xfId="16332" xr:uid="{813DEE5B-E414-4E13-85BA-0496CB5DA9BD}"/>
    <cellStyle name="Comma 4 3 5 8 2 4" xfId="33226" xr:uid="{209DD2BC-7145-4AB8-BC1E-77F78092E2E1}"/>
    <cellStyle name="Comma 4 3 5 8 3" xfId="20562" xr:uid="{2B830AD0-4539-44E2-9548-392A816F315D}"/>
    <cellStyle name="Comma 4 3 5 8 3 2" xfId="37456" xr:uid="{062ED888-AF72-44CF-8CD2-63EF7317B988}"/>
    <cellStyle name="Comma 4 3 5 8 4" xfId="12115" xr:uid="{5347F49B-2A0D-44D7-9A77-7A1D66F88230}"/>
    <cellStyle name="Comma 4 3 5 8 5" xfId="29009" xr:uid="{A2C70658-1E58-459A-A274-11972478F31A}"/>
    <cellStyle name="Comma 4 3 5 9" xfId="4623" xr:uid="{00000000-0005-0000-0000-0000C8090000}"/>
    <cellStyle name="Comma 4 3 5 9 2" xfId="22396" xr:uid="{0C7EDA4E-2CA0-49E3-AF16-579AC856F58A}"/>
    <cellStyle name="Comma 4 3 5 9 2 2" xfId="39290" xr:uid="{ED72D589-CB84-4B75-A595-34EEF6AD96A6}"/>
    <cellStyle name="Comma 4 3 5 9 3" xfId="13949" xr:uid="{BC9F0A5C-04F1-4D46-8629-0B344814C408}"/>
    <cellStyle name="Comma 4 3 5 9 4" xfId="30843" xr:uid="{8E3438FE-2C60-406A-831E-B50BE3542764}"/>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0 2 2" xfId="24780" xr:uid="{4EA7C787-5D7F-45AF-8633-DB7C4213BF15}"/>
    <cellStyle name="Comma 4 4 10 2 2 2" xfId="41674" xr:uid="{2BEBBA61-B36C-4EB1-86E5-907A8B1416AB}"/>
    <cellStyle name="Comma 4 4 10 2 3" xfId="16333" xr:uid="{1A8B5DF9-7657-493C-9CF3-10CA106FEAE9}"/>
    <cellStyle name="Comma 4 4 10 2 4" xfId="33227" xr:uid="{BFC2561E-BDA3-4E64-8352-E4E3D91C00FD}"/>
    <cellStyle name="Comma 4 4 10 3" xfId="20563" xr:uid="{F423EE44-6FB5-40C1-922B-1502AC6B4069}"/>
    <cellStyle name="Comma 4 4 10 3 2" xfId="37457" xr:uid="{521E7A6C-ECFC-431D-A2D3-AE756A7FF697}"/>
    <cellStyle name="Comma 4 4 10 4" xfId="12116" xr:uid="{674E3B4B-DB26-4E56-A6B8-7BC8EBF2F77A}"/>
    <cellStyle name="Comma 4 4 10 5" xfId="29010" xr:uid="{D99753B4-7EA3-4A15-95F4-03C5BB8A4E2B}"/>
    <cellStyle name="Comma 4 4 11" xfId="4624" xr:uid="{00000000-0005-0000-0000-0000CC090000}"/>
    <cellStyle name="Comma 4 4 11 2" xfId="22397" xr:uid="{EF228D33-C2E9-470E-8DCA-9FAEA1C3EE50}"/>
    <cellStyle name="Comma 4 4 11 2 2" xfId="39291" xr:uid="{A1D68963-6140-4CCB-9F1C-DE9D091D1E66}"/>
    <cellStyle name="Comma 4 4 11 3" xfId="13950" xr:uid="{9A07505D-9859-43DD-B34A-A34F5B701249}"/>
    <cellStyle name="Comma 4 4 11 4" xfId="30844" xr:uid="{1EB373EE-BA11-47A8-BFB0-30EBDFEEF0BF}"/>
    <cellStyle name="Comma 4 4 12" xfId="8804" xr:uid="{A2BB6322-7771-45CD-845C-77E2FE03AC7A}"/>
    <cellStyle name="Comma 4 4 12 2" xfId="18180" xr:uid="{D056B7E7-8EBD-4728-BBD2-CF2AA1A808CB}"/>
    <cellStyle name="Comma 4 4 12 3" xfId="35074" xr:uid="{55506ECC-D734-4ADE-B003-9E87E412D5BA}"/>
    <cellStyle name="Comma 4 4 13" xfId="9733" xr:uid="{368C36DE-53D0-40F4-B727-90C266F1DE5C}"/>
    <cellStyle name="Comma 4 4 14" xfId="26627" xr:uid="{5A9AF4D0-954D-4190-B67D-DAA32BE58EBA}"/>
    <cellStyle name="Comma 4 4 2" xfId="154" xr:uid="{00000000-0005-0000-0000-0000CD090000}"/>
    <cellStyle name="Comma 4 4 2 10" xfId="4625" xr:uid="{00000000-0005-0000-0000-0000CE090000}"/>
    <cellStyle name="Comma 4 4 2 10 2" xfId="22398" xr:uid="{ADBC42A7-FDB5-4EF1-9212-4CF40C3AEC6E}"/>
    <cellStyle name="Comma 4 4 2 10 2 2" xfId="39292" xr:uid="{F366A4E9-980C-4393-8AC8-1A38D1A2FA66}"/>
    <cellStyle name="Comma 4 4 2 10 3" xfId="13951" xr:uid="{A68DD8C3-C47A-4B53-87C5-4BB14E85322E}"/>
    <cellStyle name="Comma 4 4 2 10 4" xfId="30845" xr:uid="{E377223B-EE39-4926-977E-E9BF3389B64B}"/>
    <cellStyle name="Comma 4 4 2 11" xfId="8907" xr:uid="{F9F87618-3BA1-4211-A686-62CF5BBA5770}"/>
    <cellStyle name="Comma 4 4 2 11 2" xfId="18181" xr:uid="{77FFDC2D-47E0-4B6F-8F51-2CD76FE5B0DB}"/>
    <cellStyle name="Comma 4 4 2 11 3" xfId="35075" xr:uid="{8FF515A0-B090-4482-86AA-A5EAA400E602}"/>
    <cellStyle name="Comma 4 4 2 12" xfId="9734" xr:uid="{D43459C2-D07C-4967-869C-E52466F66CFE}"/>
    <cellStyle name="Comma 4 4 2 13" xfId="26628" xr:uid="{8B8D598E-33EF-48EE-8357-31870D2B91B3}"/>
    <cellStyle name="Comma 4 4 2 2" xfId="155" xr:uid="{00000000-0005-0000-0000-0000CF090000}"/>
    <cellStyle name="Comma 4 4 2 2 10" xfId="9114" xr:uid="{871FAC03-A44E-4C24-806C-3CC0605FD124}"/>
    <cellStyle name="Comma 4 4 2 2 10 2" xfId="18182" xr:uid="{0EB33473-F0E8-439D-8DDE-FF42B33F1F0F}"/>
    <cellStyle name="Comma 4 4 2 2 10 3" xfId="35076" xr:uid="{98AF10C9-E77D-4E72-A0D9-F4B5D421F622}"/>
    <cellStyle name="Comma 4 4 2 2 11" xfId="9735" xr:uid="{C502E8B9-4311-42B2-84D5-F0DA205B1554}"/>
    <cellStyle name="Comma 4 4 2 2 12" xfId="26629" xr:uid="{62880EB4-D1A1-494F-A94D-06CC0A6CC9EE}"/>
    <cellStyle name="Comma 4 4 2 2 2" xfId="692" xr:uid="{00000000-0005-0000-0000-0000D0090000}"/>
    <cellStyle name="Comma 4 4 2 2 2 2" xfId="2963" xr:uid="{00000000-0005-0000-0000-0000D1090000}"/>
    <cellStyle name="Comma 4 4 2 2 2 2 2" xfId="7185" xr:uid="{00000000-0005-0000-0000-0000D2090000}"/>
    <cellStyle name="Comma 4 4 2 2 2 2 2 2" xfId="24958" xr:uid="{9DE0FA9B-194C-493A-A6C6-F6EF26547760}"/>
    <cellStyle name="Comma 4 4 2 2 2 2 2 2 2" xfId="41852" xr:uid="{D5B71A95-4834-4C57-BF71-D18B79253C82}"/>
    <cellStyle name="Comma 4 4 2 2 2 2 2 3" xfId="16511" xr:uid="{ADF1D39C-01CF-49D9-8903-85083BD99AD4}"/>
    <cellStyle name="Comma 4 4 2 2 2 2 2 4" xfId="33405" xr:uid="{1C9F527A-9942-4020-97B6-7835CF13BFDC}"/>
    <cellStyle name="Comma 4 4 2 2 2 2 3" xfId="20741" xr:uid="{D47352C9-16CC-48A7-9E64-028DDF4A8C99}"/>
    <cellStyle name="Comma 4 4 2 2 2 2 3 2" xfId="37635" xr:uid="{C2999289-2F5A-47D1-91F5-BE0215ED8574}"/>
    <cellStyle name="Comma 4 4 2 2 2 2 4" xfId="12294" xr:uid="{5289155F-832E-4338-A7E4-DCCE4AB019E6}"/>
    <cellStyle name="Comma 4 4 2 2 2 2 5" xfId="29188" xr:uid="{A7C72697-C82F-4D5D-AA8D-FB025D09BB66}"/>
    <cellStyle name="Comma 4 4 2 2 2 3" xfId="5040" xr:uid="{00000000-0005-0000-0000-0000D3090000}"/>
    <cellStyle name="Comma 4 4 2 2 2 3 2" xfId="22813" xr:uid="{356717DE-AFFE-4673-B637-0D23EFFE317A}"/>
    <cellStyle name="Comma 4 4 2 2 2 3 2 2" xfId="39707" xr:uid="{77817308-07A9-4F40-A029-14744CFBF2C4}"/>
    <cellStyle name="Comma 4 4 2 2 2 3 3" xfId="14366" xr:uid="{54FC7BEE-EE99-4BA4-BA3F-559FB7B8AEEB}"/>
    <cellStyle name="Comma 4 4 2 2 2 3 4" xfId="31260" xr:uid="{EE76B10F-61A4-4EB6-B15D-6FF7C5338CB4}"/>
    <cellStyle name="Comma 4 4 2 2 2 4" xfId="9539" xr:uid="{6209A471-8158-46C6-9ADA-C828BB6621B2}"/>
    <cellStyle name="Comma 4 4 2 2 2 4 2" xfId="18596" xr:uid="{4430C15B-E0AE-41B5-AED3-65C1A0E50700}"/>
    <cellStyle name="Comma 4 4 2 2 2 4 3" xfId="35490" xr:uid="{79995F0C-B045-44EC-8E60-4763237A80C4}"/>
    <cellStyle name="Comma 4 4 2 2 2 5" xfId="10149" xr:uid="{F6861FBA-3564-46F7-9673-99AB2CF905A3}"/>
    <cellStyle name="Comma 4 4 2 2 2 6" xfId="27043" xr:uid="{1D0BB4DA-4CF3-4A14-88AF-3FF5B852117D}"/>
    <cellStyle name="Comma 4 4 2 2 3" xfId="1145" xr:uid="{00000000-0005-0000-0000-0000D4090000}"/>
    <cellStyle name="Comma 4 4 2 2 3 2" xfId="3376" xr:uid="{00000000-0005-0000-0000-0000D5090000}"/>
    <cellStyle name="Comma 4 4 2 2 3 2 2" xfId="7598" xr:uid="{00000000-0005-0000-0000-0000D6090000}"/>
    <cellStyle name="Comma 4 4 2 2 3 2 2 2" xfId="25371" xr:uid="{20409C10-AC31-424E-9A28-150F46916E70}"/>
    <cellStyle name="Comma 4 4 2 2 3 2 2 2 2" xfId="42265" xr:uid="{DD684791-76E1-4169-BA71-95D0C0E55BC4}"/>
    <cellStyle name="Comma 4 4 2 2 3 2 2 3" xfId="16924" xr:uid="{8DAD9117-6EDD-46B8-9013-F7959C1DE3CC}"/>
    <cellStyle name="Comma 4 4 2 2 3 2 2 4" xfId="33818" xr:uid="{D5F6FBDC-7882-43E2-AD45-CF1EFE2CE44D}"/>
    <cellStyle name="Comma 4 4 2 2 3 2 3" xfId="21154" xr:uid="{CD9761D9-AE9E-4FC0-895A-134867F93D3C}"/>
    <cellStyle name="Comma 4 4 2 2 3 2 3 2" xfId="38048" xr:uid="{A1FD3F8D-5EB3-496E-8D80-752C3D74216D}"/>
    <cellStyle name="Comma 4 4 2 2 3 2 4" xfId="12707" xr:uid="{D47B6FE5-B570-4B70-A66C-B7CCBDF8B5B1}"/>
    <cellStyle name="Comma 4 4 2 2 3 2 5" xfId="29601" xr:uid="{3BFF67AF-A797-4C4E-A3AC-B5CBEB2B8B93}"/>
    <cellStyle name="Comma 4 4 2 2 3 3" xfId="5453" xr:uid="{00000000-0005-0000-0000-0000D7090000}"/>
    <cellStyle name="Comma 4 4 2 2 3 3 2" xfId="23226" xr:uid="{416191BE-9583-4FD9-8EDA-02F5826BE884}"/>
    <cellStyle name="Comma 4 4 2 2 3 3 2 2" xfId="40120" xr:uid="{0B09B4FF-B0BB-4423-8F4E-F1F2112EC07E}"/>
    <cellStyle name="Comma 4 4 2 2 3 3 3" xfId="14779" xr:uid="{BF01764D-3B1D-4280-A2B5-D8E23AEE8E37}"/>
    <cellStyle name="Comma 4 4 2 2 3 3 4" xfId="31673" xr:uid="{FA1FC372-5206-482D-BF0D-A0DE85D7A88B}"/>
    <cellStyle name="Comma 4 4 2 2 3 4" xfId="19009" xr:uid="{33888E2E-796D-43F4-9973-EBBE518F539B}"/>
    <cellStyle name="Comma 4 4 2 2 3 4 2" xfId="35903" xr:uid="{C787DECF-F1C7-4BEE-B4D1-5F90AFFE5AA4}"/>
    <cellStyle name="Comma 4 4 2 2 3 5" xfId="10562" xr:uid="{547C1D6A-6915-417F-9B81-49F90C6EA7BC}"/>
    <cellStyle name="Comma 4 4 2 2 3 6" xfId="27456" xr:uid="{3DABE4E2-D02C-4E57-A8A4-94BFD59A6854}"/>
    <cellStyle name="Comma 4 4 2 2 4" xfId="1559" xr:uid="{00000000-0005-0000-0000-0000D8090000}"/>
    <cellStyle name="Comma 4 4 2 2 4 2" xfId="3789" xr:uid="{00000000-0005-0000-0000-0000D9090000}"/>
    <cellStyle name="Comma 4 4 2 2 4 2 2" xfId="8011" xr:uid="{00000000-0005-0000-0000-0000DA090000}"/>
    <cellStyle name="Comma 4 4 2 2 4 2 2 2" xfId="25784" xr:uid="{E43E94CA-0626-4B21-9FE8-121BFDE6FAE0}"/>
    <cellStyle name="Comma 4 4 2 2 4 2 2 2 2" xfId="42678" xr:uid="{C3F4B5BC-5044-4F80-A199-B8B2E2E78A7F}"/>
    <cellStyle name="Comma 4 4 2 2 4 2 2 3" xfId="17337" xr:uid="{C433BE2E-AB76-465D-BA6E-F663496F2A40}"/>
    <cellStyle name="Comma 4 4 2 2 4 2 2 4" xfId="34231" xr:uid="{28C3CAC9-2F75-4809-B65C-D9FDDDD45B48}"/>
    <cellStyle name="Comma 4 4 2 2 4 2 3" xfId="21567" xr:uid="{41E8D848-A708-43BE-A3F0-61073EFFA815}"/>
    <cellStyle name="Comma 4 4 2 2 4 2 3 2" xfId="38461" xr:uid="{96E503BB-4C45-4A72-9751-236C8805E446}"/>
    <cellStyle name="Comma 4 4 2 2 4 2 4" xfId="13120" xr:uid="{11872741-A7FB-49C4-BF20-D24C766E196F}"/>
    <cellStyle name="Comma 4 4 2 2 4 2 5" xfId="30014" xr:uid="{3FCCCBFE-196D-4EB5-AC0E-89B7DDF87430}"/>
    <cellStyle name="Comma 4 4 2 2 4 3" xfId="5866" xr:uid="{00000000-0005-0000-0000-0000DB090000}"/>
    <cellStyle name="Comma 4 4 2 2 4 3 2" xfId="23639" xr:uid="{5C9EC074-5957-4B00-B764-7A3717DE1A7D}"/>
    <cellStyle name="Comma 4 4 2 2 4 3 2 2" xfId="40533" xr:uid="{E5BC848D-0023-40E2-9FC8-C148F3392EE1}"/>
    <cellStyle name="Comma 4 4 2 2 4 3 3" xfId="15192" xr:uid="{6E9103DF-01B3-4643-9706-D59678E05807}"/>
    <cellStyle name="Comma 4 4 2 2 4 3 4" xfId="32086" xr:uid="{6832DCFC-3417-4D20-9CB5-4AEEDB83FD70}"/>
    <cellStyle name="Comma 4 4 2 2 4 4" xfId="19422" xr:uid="{E8213254-F3F3-4856-8C82-1A6C0D3373F7}"/>
    <cellStyle name="Comma 4 4 2 2 4 4 2" xfId="36316" xr:uid="{6CDBCFF6-3318-4F0E-A965-3912A0A54C61}"/>
    <cellStyle name="Comma 4 4 2 2 4 5" xfId="10975" xr:uid="{32EE617F-C404-43B9-AC8C-81A5C1D9792B}"/>
    <cellStyle name="Comma 4 4 2 2 4 6" xfId="27869" xr:uid="{708CED93-1747-45AA-A297-FBA35E8E02A8}"/>
    <cellStyle name="Comma 4 4 2 2 5" xfId="1973" xr:uid="{00000000-0005-0000-0000-0000DC090000}"/>
    <cellStyle name="Comma 4 4 2 2 5 2" xfId="4202" xr:uid="{00000000-0005-0000-0000-0000DD090000}"/>
    <cellStyle name="Comma 4 4 2 2 5 2 2" xfId="8424" xr:uid="{00000000-0005-0000-0000-0000DE090000}"/>
    <cellStyle name="Comma 4 4 2 2 5 2 2 2" xfId="26197" xr:uid="{2413D065-BD86-42CE-AF90-19772C74FC37}"/>
    <cellStyle name="Comma 4 4 2 2 5 2 2 2 2" xfId="43091" xr:uid="{8DEF3E8F-4F25-4561-88F8-B26290DA2349}"/>
    <cellStyle name="Comma 4 4 2 2 5 2 2 3" xfId="17750" xr:uid="{13747828-E0C5-4F01-AA35-7380913E3693}"/>
    <cellStyle name="Comma 4 4 2 2 5 2 2 4" xfId="34644" xr:uid="{A0B41F95-24E7-4458-B6AE-C898DEEC6354}"/>
    <cellStyle name="Comma 4 4 2 2 5 2 3" xfId="21980" xr:uid="{26460B4F-2975-4C97-9AD3-43A6A9EF60A8}"/>
    <cellStyle name="Comma 4 4 2 2 5 2 3 2" xfId="38874" xr:uid="{65644DD3-20E7-4E30-918E-F3F20A9CFBD8}"/>
    <cellStyle name="Comma 4 4 2 2 5 2 4" xfId="13533" xr:uid="{E759DB99-0446-498B-B1AB-9F6A6BE89AD1}"/>
    <cellStyle name="Comma 4 4 2 2 5 2 5" xfId="30427" xr:uid="{46D9A079-41CA-426F-9C9A-02AF74A0FB61}"/>
    <cellStyle name="Comma 4 4 2 2 5 3" xfId="6279" xr:uid="{00000000-0005-0000-0000-0000DF090000}"/>
    <cellStyle name="Comma 4 4 2 2 5 3 2" xfId="24052" xr:uid="{A9569856-613B-455C-9B8F-DAD1EE302C98}"/>
    <cellStyle name="Comma 4 4 2 2 5 3 2 2" xfId="40946" xr:uid="{6D10BE20-3620-48AC-B9E2-313B211E1D76}"/>
    <cellStyle name="Comma 4 4 2 2 5 3 3" xfId="15605" xr:uid="{EAAD7475-F96E-42CE-BA5A-7D9C9DF30E15}"/>
    <cellStyle name="Comma 4 4 2 2 5 3 4" xfId="32499" xr:uid="{FEBCEB36-AFAA-49F7-A600-FA3345DE6083}"/>
    <cellStyle name="Comma 4 4 2 2 5 4" xfId="19835" xr:uid="{6B9E0064-8D7C-47C5-A91A-59AC48EBDF91}"/>
    <cellStyle name="Comma 4 4 2 2 5 4 2" xfId="36729" xr:uid="{EE94C634-87A2-47F1-AF87-981440FCD407}"/>
    <cellStyle name="Comma 4 4 2 2 5 5" xfId="11388" xr:uid="{86CA6235-CE48-4D2B-A5B9-5390D65B35C4}"/>
    <cellStyle name="Comma 4 4 2 2 5 6" xfId="28282" xr:uid="{B8992298-B067-4C51-AED8-E7B86B639528}"/>
    <cellStyle name="Comma 4 4 2 2 6" xfId="2408" xr:uid="{00000000-0005-0000-0000-0000E0090000}"/>
    <cellStyle name="Comma 4 4 2 2 6 2" xfId="6692" xr:uid="{00000000-0005-0000-0000-0000E1090000}"/>
    <cellStyle name="Comma 4 4 2 2 6 2 2" xfId="24465" xr:uid="{00A0AE95-344D-4E6B-95AD-748C7D8C2C68}"/>
    <cellStyle name="Comma 4 4 2 2 6 2 2 2" xfId="41359" xr:uid="{6DFAEE32-C93B-4A0E-BBCC-5AF7029D1473}"/>
    <cellStyle name="Comma 4 4 2 2 6 2 3" xfId="16018" xr:uid="{0FD679DC-6072-44D0-86AD-6292A1B153D2}"/>
    <cellStyle name="Comma 4 4 2 2 6 2 4" xfId="32912" xr:uid="{761FEAB5-E507-4C46-8DD9-05326D171481}"/>
    <cellStyle name="Comma 4 4 2 2 6 3" xfId="20248" xr:uid="{E5118980-A7D3-428C-879A-10467ED2CF29}"/>
    <cellStyle name="Comma 4 4 2 2 6 3 2" xfId="37142" xr:uid="{F58467EA-7D54-435F-A4FA-AF7CBC069121}"/>
    <cellStyle name="Comma 4 4 2 2 6 4" xfId="11801" xr:uid="{CC5273DA-7170-481B-BA88-44D5023828CB}"/>
    <cellStyle name="Comma 4 4 2 2 6 5" xfId="28695" xr:uid="{7EFDF965-2B9C-4023-AC29-10C9C8BB91A5}"/>
    <cellStyle name="Comma 4 4 2 2 7" xfId="2704" xr:uid="{00000000-0005-0000-0000-0000E2090000}"/>
    <cellStyle name="Comma 4 4 2 2 8" xfId="2786" xr:uid="{00000000-0005-0000-0000-0000E3090000}"/>
    <cellStyle name="Comma 4 4 2 2 8 2" xfId="7009" xr:uid="{00000000-0005-0000-0000-0000E4090000}"/>
    <cellStyle name="Comma 4 4 2 2 8 2 2" xfId="24782" xr:uid="{F024C9EE-B7F6-4D9C-8CD8-86BB797FD208}"/>
    <cellStyle name="Comma 4 4 2 2 8 2 2 2" xfId="41676" xr:uid="{8BFE0698-D5AF-48EA-A2BE-FAA2A3BB3DE9}"/>
    <cellStyle name="Comma 4 4 2 2 8 2 3" xfId="16335" xr:uid="{230C7A4F-B98F-4ECE-B018-96A866DB35AB}"/>
    <cellStyle name="Comma 4 4 2 2 8 2 4" xfId="33229" xr:uid="{E62DD4F0-B6A4-4C72-8182-9CC9DDB68599}"/>
    <cellStyle name="Comma 4 4 2 2 8 3" xfId="20565" xr:uid="{540E173B-B803-4061-A679-731ED4271577}"/>
    <cellStyle name="Comma 4 4 2 2 8 3 2" xfId="37459" xr:uid="{06427D5D-78BC-46B1-BFFF-F0D13CEBE216}"/>
    <cellStyle name="Comma 4 4 2 2 8 4" xfId="12118" xr:uid="{2AC46528-31CF-4AF9-964B-F352F5FBB2E4}"/>
    <cellStyle name="Comma 4 4 2 2 8 5" xfId="29012" xr:uid="{923BB690-646A-487F-9EAC-8A20861733C6}"/>
    <cellStyle name="Comma 4 4 2 2 9" xfId="4626" xr:uid="{00000000-0005-0000-0000-0000E5090000}"/>
    <cellStyle name="Comma 4 4 2 2 9 2" xfId="22399" xr:uid="{9EA72D89-A0BE-4784-9DBE-737C458D97BF}"/>
    <cellStyle name="Comma 4 4 2 2 9 2 2" xfId="39293" xr:uid="{F931C799-1D8B-4B9A-B80A-44A7BDBFAE3D}"/>
    <cellStyle name="Comma 4 4 2 2 9 3" xfId="13952" xr:uid="{72569B74-5E70-44C6-A59E-CA9EB53BF53C}"/>
    <cellStyle name="Comma 4 4 2 2 9 4" xfId="30846" xr:uid="{63BC4E48-749F-440D-B2B3-0AA1A9F62D58}"/>
    <cellStyle name="Comma 4 4 2 3" xfId="691" xr:uid="{00000000-0005-0000-0000-0000E6090000}"/>
    <cellStyle name="Comma 4 4 2 3 2" xfId="2962" xr:uid="{00000000-0005-0000-0000-0000E7090000}"/>
    <cellStyle name="Comma 4 4 2 3 2 2" xfId="7184" xr:uid="{00000000-0005-0000-0000-0000E8090000}"/>
    <cellStyle name="Comma 4 4 2 3 2 2 2" xfId="24957" xr:uid="{F8943E25-1FDC-4DA9-937E-691F89A54D0C}"/>
    <cellStyle name="Comma 4 4 2 3 2 2 2 2" xfId="41851" xr:uid="{AB1D0180-DB01-4CD8-893C-08DBAF3DB6B0}"/>
    <cellStyle name="Comma 4 4 2 3 2 2 3" xfId="16510" xr:uid="{0D95C3C4-8BE8-42DF-B624-ACC4092CF466}"/>
    <cellStyle name="Comma 4 4 2 3 2 2 4" xfId="33404" xr:uid="{1D181CDF-8C2F-44AB-A53C-EBE30E50A959}"/>
    <cellStyle name="Comma 4 4 2 3 2 3" xfId="20740" xr:uid="{2AF97469-1448-48BA-AEF9-3C0E704D3980}"/>
    <cellStyle name="Comma 4 4 2 3 2 3 2" xfId="37634" xr:uid="{31C87C17-22B6-497D-98DF-8AF20F7A7F4C}"/>
    <cellStyle name="Comma 4 4 2 3 2 4" xfId="12293" xr:uid="{CBFEA36B-6C13-4DA8-B312-CA11E8C276CF}"/>
    <cellStyle name="Comma 4 4 2 3 2 5" xfId="29187" xr:uid="{0678D443-D969-4F97-B9B9-991493FCB3F7}"/>
    <cellStyle name="Comma 4 4 2 3 3" xfId="5039" xr:uid="{00000000-0005-0000-0000-0000E9090000}"/>
    <cellStyle name="Comma 4 4 2 3 3 2" xfId="22812" xr:uid="{E4A3BA00-4D9B-4C31-BB51-4B5499EFA58E}"/>
    <cellStyle name="Comma 4 4 2 3 3 2 2" xfId="39706" xr:uid="{47154CCC-2F6C-4EF4-A2B1-DE45E1A12045}"/>
    <cellStyle name="Comma 4 4 2 3 3 3" xfId="14365" xr:uid="{BB6F03C0-980B-4A1F-BA96-3A5B5E2FE0A3}"/>
    <cellStyle name="Comma 4 4 2 3 3 4" xfId="31259" xr:uid="{A4870A25-D878-431F-9D0A-A0E9373068AF}"/>
    <cellStyle name="Comma 4 4 2 3 4" xfId="9332" xr:uid="{00F59ECD-64D7-476B-90FD-CD86F054AE4D}"/>
    <cellStyle name="Comma 4 4 2 3 4 2" xfId="18595" xr:uid="{4D75B8DF-8246-4733-BD0B-AEB2D83A75AA}"/>
    <cellStyle name="Comma 4 4 2 3 4 3" xfId="35489" xr:uid="{606E158C-D3FF-4D81-AD7D-37EE6FA77EA2}"/>
    <cellStyle name="Comma 4 4 2 3 5" xfId="10148" xr:uid="{E1EF8564-B866-4B29-9861-5851A3E7F58B}"/>
    <cellStyle name="Comma 4 4 2 3 6" xfId="27042" xr:uid="{6183CD73-16DA-447C-BA54-E4C43FB647A6}"/>
    <cellStyle name="Comma 4 4 2 4" xfId="1144" xr:uid="{00000000-0005-0000-0000-0000EA090000}"/>
    <cellStyle name="Comma 4 4 2 4 2" xfId="3375" xr:uid="{00000000-0005-0000-0000-0000EB090000}"/>
    <cellStyle name="Comma 4 4 2 4 2 2" xfId="7597" xr:uid="{00000000-0005-0000-0000-0000EC090000}"/>
    <cellStyle name="Comma 4 4 2 4 2 2 2" xfId="25370" xr:uid="{B5A0A066-3901-446D-BE78-9A0FA886DFBC}"/>
    <cellStyle name="Comma 4 4 2 4 2 2 2 2" xfId="42264" xr:uid="{2E485B7B-836E-4CF9-B2CB-0DB16F33280F}"/>
    <cellStyle name="Comma 4 4 2 4 2 2 3" xfId="16923" xr:uid="{738F3984-2BE9-4AF5-914D-97EFB83F7443}"/>
    <cellStyle name="Comma 4 4 2 4 2 2 4" xfId="33817" xr:uid="{A726218B-A563-4BA3-9081-F2E7341FCA0E}"/>
    <cellStyle name="Comma 4 4 2 4 2 3" xfId="21153" xr:uid="{0C295427-5178-4B19-8713-710FD738577E}"/>
    <cellStyle name="Comma 4 4 2 4 2 3 2" xfId="38047" xr:uid="{71413EDD-A008-4574-AD7A-402D0E4B436B}"/>
    <cellStyle name="Comma 4 4 2 4 2 4" xfId="12706" xr:uid="{C017CFEE-FAC1-4D1F-98AE-7672FB765722}"/>
    <cellStyle name="Comma 4 4 2 4 2 5" xfId="29600" xr:uid="{7B3D1234-C66C-4992-8B61-54FAB4FDD9A7}"/>
    <cellStyle name="Comma 4 4 2 4 3" xfId="5452" xr:uid="{00000000-0005-0000-0000-0000ED090000}"/>
    <cellStyle name="Comma 4 4 2 4 3 2" xfId="23225" xr:uid="{B5FEF109-4330-477C-801A-B3F82A885072}"/>
    <cellStyle name="Comma 4 4 2 4 3 2 2" xfId="40119" xr:uid="{881013C8-782B-40AE-B5EC-ACECDA86AB56}"/>
    <cellStyle name="Comma 4 4 2 4 3 3" xfId="14778" xr:uid="{18FD139B-00B1-4AF2-A4F9-40D7B64CFC30}"/>
    <cellStyle name="Comma 4 4 2 4 3 4" xfId="31672" xr:uid="{E86CC9B2-AD56-4BEF-8B34-7A10F4F54944}"/>
    <cellStyle name="Comma 4 4 2 4 4" xfId="19008" xr:uid="{F36A9445-85DA-418E-985D-4D69A7C1BDF8}"/>
    <cellStyle name="Comma 4 4 2 4 4 2" xfId="35902" xr:uid="{9B7ABD3E-6CEE-498C-A185-CD3C61EE70E6}"/>
    <cellStyle name="Comma 4 4 2 4 5" xfId="10561" xr:uid="{B49FB803-CBE0-457F-8A95-2139209BEF6B}"/>
    <cellStyle name="Comma 4 4 2 4 6" xfId="27455" xr:uid="{DB77FEE5-C729-4A20-9865-549DBDEA6D4B}"/>
    <cellStyle name="Comma 4 4 2 5" xfId="1558" xr:uid="{00000000-0005-0000-0000-0000EE090000}"/>
    <cellStyle name="Comma 4 4 2 5 2" xfId="3788" xr:uid="{00000000-0005-0000-0000-0000EF090000}"/>
    <cellStyle name="Comma 4 4 2 5 2 2" xfId="8010" xr:uid="{00000000-0005-0000-0000-0000F0090000}"/>
    <cellStyle name="Comma 4 4 2 5 2 2 2" xfId="25783" xr:uid="{BFE79816-60DE-4AA5-8A27-E7DA36A52998}"/>
    <cellStyle name="Comma 4 4 2 5 2 2 2 2" xfId="42677" xr:uid="{8544B2E2-47E6-4EB0-97B8-D138ED329410}"/>
    <cellStyle name="Comma 4 4 2 5 2 2 3" xfId="17336" xr:uid="{5298B35C-B5EE-44FA-AE19-F7984101C116}"/>
    <cellStyle name="Comma 4 4 2 5 2 2 4" xfId="34230" xr:uid="{C70BEF3C-25E7-4AD4-B6D7-FD7526FDE07B}"/>
    <cellStyle name="Comma 4 4 2 5 2 3" xfId="21566" xr:uid="{62A2E3D9-033B-4B68-B1CD-DEC86C9EBD70}"/>
    <cellStyle name="Comma 4 4 2 5 2 3 2" xfId="38460" xr:uid="{E2852AF8-639B-4DB1-B52A-F6BFA65259E9}"/>
    <cellStyle name="Comma 4 4 2 5 2 4" xfId="13119" xr:uid="{4315D301-586B-4812-A737-35CD1CB516C8}"/>
    <cellStyle name="Comma 4 4 2 5 2 5" xfId="30013" xr:uid="{47BCB40A-558A-4C14-BBB6-BFD3F35BC23A}"/>
    <cellStyle name="Comma 4 4 2 5 3" xfId="5865" xr:uid="{00000000-0005-0000-0000-0000F1090000}"/>
    <cellStyle name="Comma 4 4 2 5 3 2" xfId="23638" xr:uid="{65EA69A0-1145-47F1-8BB6-66BD2469FF0C}"/>
    <cellStyle name="Comma 4 4 2 5 3 2 2" xfId="40532" xr:uid="{33354AC4-446C-4660-B6E2-FF084D30A8C3}"/>
    <cellStyle name="Comma 4 4 2 5 3 3" xfId="15191" xr:uid="{35BB4F8D-CDC0-4FF1-9959-F35B122A8E21}"/>
    <cellStyle name="Comma 4 4 2 5 3 4" xfId="32085" xr:uid="{8E288F08-02CC-480B-A765-56AE16C0D387}"/>
    <cellStyle name="Comma 4 4 2 5 4" xfId="19421" xr:uid="{0B0E68E8-836F-4A80-8D9B-CB0712F3AE58}"/>
    <cellStyle name="Comma 4 4 2 5 4 2" xfId="36315" xr:uid="{680E4E1A-AC3F-4209-B3DE-11D64F06D906}"/>
    <cellStyle name="Comma 4 4 2 5 5" xfId="10974" xr:uid="{2B399FC9-9758-49E9-BEE0-93BB778352C4}"/>
    <cellStyle name="Comma 4 4 2 5 6" xfId="27868" xr:uid="{62DBC0D4-9061-4A60-993C-C982AFD3BAD5}"/>
    <cellStyle name="Comma 4 4 2 6" xfId="1972" xr:uid="{00000000-0005-0000-0000-0000F2090000}"/>
    <cellStyle name="Comma 4 4 2 6 2" xfId="4201" xr:uid="{00000000-0005-0000-0000-0000F3090000}"/>
    <cellStyle name="Comma 4 4 2 6 2 2" xfId="8423" xr:uid="{00000000-0005-0000-0000-0000F4090000}"/>
    <cellStyle name="Comma 4 4 2 6 2 2 2" xfId="26196" xr:uid="{B268C8D3-D873-470F-A9BA-66B8B6BAF095}"/>
    <cellStyle name="Comma 4 4 2 6 2 2 2 2" xfId="43090" xr:uid="{3FFCCA91-2C49-4F13-81F4-09D641CCEDA7}"/>
    <cellStyle name="Comma 4 4 2 6 2 2 3" xfId="17749" xr:uid="{9F517B36-7314-4233-9F2A-C4D62E9C9361}"/>
    <cellStyle name="Comma 4 4 2 6 2 2 4" xfId="34643" xr:uid="{B3116424-2AD4-4EA6-9A93-70875FF8C3A8}"/>
    <cellStyle name="Comma 4 4 2 6 2 3" xfId="21979" xr:uid="{DAFA5C71-6859-408C-A1CF-D9D8C05B47D3}"/>
    <cellStyle name="Comma 4 4 2 6 2 3 2" xfId="38873" xr:uid="{D30BB73A-916D-428F-8D64-77B095840FD3}"/>
    <cellStyle name="Comma 4 4 2 6 2 4" xfId="13532" xr:uid="{DDC29397-B8C8-4CD2-B44F-DBF34FD94441}"/>
    <cellStyle name="Comma 4 4 2 6 2 5" xfId="30426" xr:uid="{EDCBBAA7-DD1C-49A7-A013-71CD3C3E30CC}"/>
    <cellStyle name="Comma 4 4 2 6 3" xfId="6278" xr:uid="{00000000-0005-0000-0000-0000F5090000}"/>
    <cellStyle name="Comma 4 4 2 6 3 2" xfId="24051" xr:uid="{B3A89C82-9D01-48FF-A659-086D1B9F3C2E}"/>
    <cellStyle name="Comma 4 4 2 6 3 2 2" xfId="40945" xr:uid="{8226C4BD-B773-44FF-A363-A852D90F74AC}"/>
    <cellStyle name="Comma 4 4 2 6 3 3" xfId="15604" xr:uid="{E61ACCFE-85C7-40A6-AE55-403E31DD2ACE}"/>
    <cellStyle name="Comma 4 4 2 6 3 4" xfId="32498" xr:uid="{96B4A08A-D726-4300-98EE-638CAB188B21}"/>
    <cellStyle name="Comma 4 4 2 6 4" xfId="19834" xr:uid="{11ADFB8C-ACA7-48C0-8D4B-62770C11A692}"/>
    <cellStyle name="Comma 4 4 2 6 4 2" xfId="36728" xr:uid="{FA971AC0-E2B8-4713-A793-AAB7D8DB79F2}"/>
    <cellStyle name="Comma 4 4 2 6 5" xfId="11387" xr:uid="{2B288268-3E97-4F4E-9C73-4ABACFAE9AD4}"/>
    <cellStyle name="Comma 4 4 2 6 6" xfId="28281" xr:uid="{20261F7B-1785-40E8-82AC-F1A67A20878F}"/>
    <cellStyle name="Comma 4 4 2 7" xfId="2407" xr:uid="{00000000-0005-0000-0000-0000F6090000}"/>
    <cellStyle name="Comma 4 4 2 7 2" xfId="6691" xr:uid="{00000000-0005-0000-0000-0000F7090000}"/>
    <cellStyle name="Comma 4 4 2 7 2 2" xfId="24464" xr:uid="{FCB6FC9A-D596-4655-94EC-DFD09CE8A64C}"/>
    <cellStyle name="Comma 4 4 2 7 2 2 2" xfId="41358" xr:uid="{1FCD980F-F404-4F0C-A849-7745F62593F4}"/>
    <cellStyle name="Comma 4 4 2 7 2 3" xfId="16017" xr:uid="{E7B4A9BA-EE18-4871-BD24-13245BDABD01}"/>
    <cellStyle name="Comma 4 4 2 7 2 4" xfId="32911" xr:uid="{C2A7815E-28D5-42A7-86CE-8C5B74DFD22E}"/>
    <cellStyle name="Comma 4 4 2 7 3" xfId="20247" xr:uid="{C3842C9E-A432-41C3-A6ED-5B26DBDFF008}"/>
    <cellStyle name="Comma 4 4 2 7 3 2" xfId="37141" xr:uid="{193A835C-AE85-4923-9368-CE963AB35EB5}"/>
    <cellStyle name="Comma 4 4 2 7 4" xfId="11800" xr:uid="{533958FC-D93C-4267-834B-3E9C483C0E11}"/>
    <cellStyle name="Comma 4 4 2 7 5" xfId="28694" xr:uid="{21DA2EB6-531D-4381-BFD9-D6177FA54898}"/>
    <cellStyle name="Comma 4 4 2 8" xfId="2703" xr:uid="{00000000-0005-0000-0000-0000F8090000}"/>
    <cellStyle name="Comma 4 4 2 9" xfId="2785" xr:uid="{00000000-0005-0000-0000-0000F9090000}"/>
    <cellStyle name="Comma 4 4 2 9 2" xfId="7008" xr:uid="{00000000-0005-0000-0000-0000FA090000}"/>
    <cellStyle name="Comma 4 4 2 9 2 2" xfId="24781" xr:uid="{6C4A5ECB-F4A6-43EE-8AAD-74DD208FBC61}"/>
    <cellStyle name="Comma 4 4 2 9 2 2 2" xfId="41675" xr:uid="{C4E087A0-F0FA-4F40-98AD-22F8CA035202}"/>
    <cellStyle name="Comma 4 4 2 9 2 3" xfId="16334" xr:uid="{82BE806E-9391-42FD-A273-9990B805E113}"/>
    <cellStyle name="Comma 4 4 2 9 2 4" xfId="33228" xr:uid="{22CB4729-5D5F-4F6F-8C6A-36907E0BFC34}"/>
    <cellStyle name="Comma 4 4 2 9 3" xfId="20564" xr:uid="{A72A1EF1-2EB5-4E56-B5C6-5C6C09C266FB}"/>
    <cellStyle name="Comma 4 4 2 9 3 2" xfId="37458" xr:uid="{21CF3797-69F8-4FCB-BDD5-35D71CA0D4F0}"/>
    <cellStyle name="Comma 4 4 2 9 4" xfId="12117" xr:uid="{4D7FB5F5-6214-4053-84F3-F2B3D9DBEE5C}"/>
    <cellStyle name="Comma 4 4 2 9 5" xfId="29011" xr:uid="{238EBCAC-116F-4FC7-A570-06F0D1000029}"/>
    <cellStyle name="Comma 4 4 3" xfId="156" xr:uid="{00000000-0005-0000-0000-0000FB090000}"/>
    <cellStyle name="Comma 4 4 3 10" xfId="9011" xr:uid="{31ED03AD-AB12-49AF-9AD4-B783F0BF7322}"/>
    <cellStyle name="Comma 4 4 3 10 2" xfId="18183" xr:uid="{14FFB3FF-F2E2-4FDA-ABB3-E2231E6BD42B}"/>
    <cellStyle name="Comma 4 4 3 10 3" xfId="35077" xr:uid="{56B8D697-E97B-4F7B-828F-4B793A77AD59}"/>
    <cellStyle name="Comma 4 4 3 11" xfId="9736" xr:uid="{3C4F658B-8BEB-4BA8-A62B-4E82AAD1B203}"/>
    <cellStyle name="Comma 4 4 3 12" xfId="26630" xr:uid="{BD138B8A-0E33-4DBD-9DD0-78499CD4D417}"/>
    <cellStyle name="Comma 4 4 3 2" xfId="693" xr:uid="{00000000-0005-0000-0000-0000FC090000}"/>
    <cellStyle name="Comma 4 4 3 2 2" xfId="2964" xr:uid="{00000000-0005-0000-0000-0000FD090000}"/>
    <cellStyle name="Comma 4 4 3 2 2 2" xfId="7186" xr:uid="{00000000-0005-0000-0000-0000FE090000}"/>
    <cellStyle name="Comma 4 4 3 2 2 2 2" xfId="24959" xr:uid="{3A5F860F-6549-4D43-942D-7F2EFB034753}"/>
    <cellStyle name="Comma 4 4 3 2 2 2 2 2" xfId="41853" xr:uid="{D4A52691-AE1C-49B7-A52F-1B541A6A3B20}"/>
    <cellStyle name="Comma 4 4 3 2 2 2 3" xfId="16512" xr:uid="{BD25CA2E-1541-4493-9046-1892F55A6EB2}"/>
    <cellStyle name="Comma 4 4 3 2 2 2 4" xfId="33406" xr:uid="{82350674-51DB-476E-8F12-C9EE60AD7137}"/>
    <cellStyle name="Comma 4 4 3 2 2 3" xfId="20742" xr:uid="{38CB5065-A4B0-4C56-AC65-CDEFCC25088E}"/>
    <cellStyle name="Comma 4 4 3 2 2 3 2" xfId="37636" xr:uid="{5D06B6EB-49CF-4423-B4CE-DA54D480C865}"/>
    <cellStyle name="Comma 4 4 3 2 2 4" xfId="12295" xr:uid="{B70DC763-803C-4132-800E-E102AA6BF947}"/>
    <cellStyle name="Comma 4 4 3 2 2 5" xfId="29189" xr:uid="{58E2F665-BC78-4905-B758-8E9F7AE69839}"/>
    <cellStyle name="Comma 4 4 3 2 3" xfId="5041" xr:uid="{00000000-0005-0000-0000-0000FF090000}"/>
    <cellStyle name="Comma 4 4 3 2 3 2" xfId="22814" xr:uid="{922AD75E-178D-45F4-9EF3-C08572B4C3E4}"/>
    <cellStyle name="Comma 4 4 3 2 3 2 2" xfId="39708" xr:uid="{94E278C6-0DC7-425B-85E5-36ABB1EF0BA3}"/>
    <cellStyle name="Comma 4 4 3 2 3 3" xfId="14367" xr:uid="{FFE2DD80-1D5A-480E-84AC-1B853A203506}"/>
    <cellStyle name="Comma 4 4 3 2 3 4" xfId="31261" xr:uid="{6830FE2E-A84B-40E7-94F0-2D6DD662E015}"/>
    <cellStyle name="Comma 4 4 3 2 4" xfId="9436" xr:uid="{5B7DDC25-9095-4E8E-BD31-668F46BBD33F}"/>
    <cellStyle name="Comma 4 4 3 2 4 2" xfId="18597" xr:uid="{1A37CD21-A515-455D-B6D2-C802F373F89C}"/>
    <cellStyle name="Comma 4 4 3 2 4 3" xfId="35491" xr:uid="{AE7F6AB6-300E-4948-8A67-D7C7821E7337}"/>
    <cellStyle name="Comma 4 4 3 2 5" xfId="10150" xr:uid="{66B50EFF-19AB-4068-AF1E-E5B8FDB082F4}"/>
    <cellStyle name="Comma 4 4 3 2 6" xfId="27044" xr:uid="{E9CB27BE-2982-41C3-80F2-A31A2A4D2E88}"/>
    <cellStyle name="Comma 4 4 3 3" xfId="1146" xr:uid="{00000000-0005-0000-0000-0000000A0000}"/>
    <cellStyle name="Comma 4 4 3 3 2" xfId="3377" xr:uid="{00000000-0005-0000-0000-0000010A0000}"/>
    <cellStyle name="Comma 4 4 3 3 2 2" xfId="7599" xr:uid="{00000000-0005-0000-0000-0000020A0000}"/>
    <cellStyle name="Comma 4 4 3 3 2 2 2" xfId="25372" xr:uid="{7A8BB747-90BB-4582-BF52-4EBF180C029F}"/>
    <cellStyle name="Comma 4 4 3 3 2 2 2 2" xfId="42266" xr:uid="{E437DAFF-832D-4A6A-8A00-F8963E624BA0}"/>
    <cellStyle name="Comma 4 4 3 3 2 2 3" xfId="16925" xr:uid="{CD34FAE8-4171-47FA-807D-10CA9015A8B0}"/>
    <cellStyle name="Comma 4 4 3 3 2 2 4" xfId="33819" xr:uid="{C9C1CAF1-774C-49A8-A918-3856EA1A4CB4}"/>
    <cellStyle name="Comma 4 4 3 3 2 3" xfId="21155" xr:uid="{B1289849-8AE3-4F76-AA60-EF1CC2E455FB}"/>
    <cellStyle name="Comma 4 4 3 3 2 3 2" xfId="38049" xr:uid="{5FA421AB-D651-419C-B500-C6D2978E2F10}"/>
    <cellStyle name="Comma 4 4 3 3 2 4" xfId="12708" xr:uid="{946BD13B-71BB-4885-B53B-FB00FFB3BFE0}"/>
    <cellStyle name="Comma 4 4 3 3 2 5" xfId="29602" xr:uid="{A947EEDA-9250-430A-AE92-97802E61A37E}"/>
    <cellStyle name="Comma 4 4 3 3 3" xfId="5454" xr:uid="{00000000-0005-0000-0000-0000030A0000}"/>
    <cellStyle name="Comma 4 4 3 3 3 2" xfId="23227" xr:uid="{6E6F3FE8-BCBE-4434-82D0-646B1CD6F12D}"/>
    <cellStyle name="Comma 4 4 3 3 3 2 2" xfId="40121" xr:uid="{B897916C-E7D8-46CB-BFFD-22FB45874DFA}"/>
    <cellStyle name="Comma 4 4 3 3 3 3" xfId="14780" xr:uid="{E65B909E-C2FF-4E21-A926-BFDB27DA48D5}"/>
    <cellStyle name="Comma 4 4 3 3 3 4" xfId="31674" xr:uid="{A604B95F-1BBA-4E91-AAEF-D3F91805F53E}"/>
    <cellStyle name="Comma 4 4 3 3 4" xfId="19010" xr:uid="{5A058E2C-B433-4D19-8DEC-7AAFC84BC6AA}"/>
    <cellStyle name="Comma 4 4 3 3 4 2" xfId="35904" xr:uid="{F6797E7A-A4DE-4AD4-99D2-3D5BA17408D1}"/>
    <cellStyle name="Comma 4 4 3 3 5" xfId="10563" xr:uid="{39BB8854-B947-4EC8-8401-449EEAF3D911}"/>
    <cellStyle name="Comma 4 4 3 3 6" xfId="27457" xr:uid="{7684F001-7F31-458D-B6C1-181888FC3FAE}"/>
    <cellStyle name="Comma 4 4 3 4" xfId="1560" xr:uid="{00000000-0005-0000-0000-0000040A0000}"/>
    <cellStyle name="Comma 4 4 3 4 2" xfId="3790" xr:uid="{00000000-0005-0000-0000-0000050A0000}"/>
    <cellStyle name="Comma 4 4 3 4 2 2" xfId="8012" xr:uid="{00000000-0005-0000-0000-0000060A0000}"/>
    <cellStyle name="Comma 4 4 3 4 2 2 2" xfId="25785" xr:uid="{8F497055-4EC3-4748-8FBF-5D6ABA2F16BF}"/>
    <cellStyle name="Comma 4 4 3 4 2 2 2 2" xfId="42679" xr:uid="{F34F322A-2B25-4005-A505-3BD5D063D8FB}"/>
    <cellStyle name="Comma 4 4 3 4 2 2 3" xfId="17338" xr:uid="{ED841A80-CAFD-4B93-BFF9-3DC06E2B151C}"/>
    <cellStyle name="Comma 4 4 3 4 2 2 4" xfId="34232" xr:uid="{337AD407-14CC-4034-A3BF-E40ADE88F46B}"/>
    <cellStyle name="Comma 4 4 3 4 2 3" xfId="21568" xr:uid="{3B02ADC3-8D91-495E-8C94-D977300BEA2F}"/>
    <cellStyle name="Comma 4 4 3 4 2 3 2" xfId="38462" xr:uid="{7566CBE9-61EE-4E16-8338-8CD9EBC50C80}"/>
    <cellStyle name="Comma 4 4 3 4 2 4" xfId="13121" xr:uid="{47243B9B-4BEA-47E5-AE80-97475DE206E5}"/>
    <cellStyle name="Comma 4 4 3 4 2 5" xfId="30015" xr:uid="{2591333B-5324-412B-8D23-BF3E042E51B8}"/>
    <cellStyle name="Comma 4 4 3 4 3" xfId="5867" xr:uid="{00000000-0005-0000-0000-0000070A0000}"/>
    <cellStyle name="Comma 4 4 3 4 3 2" xfId="23640" xr:uid="{E1315725-93C5-4828-841C-EF5420F93834}"/>
    <cellStyle name="Comma 4 4 3 4 3 2 2" xfId="40534" xr:uid="{25B68843-729B-43E2-AB4C-CBA4169378D4}"/>
    <cellStyle name="Comma 4 4 3 4 3 3" xfId="15193" xr:uid="{49A88881-F909-4D8B-9F80-4885F3CFE923}"/>
    <cellStyle name="Comma 4 4 3 4 3 4" xfId="32087" xr:uid="{0E536B9A-6F13-442B-9953-61EAC49B7D55}"/>
    <cellStyle name="Comma 4 4 3 4 4" xfId="19423" xr:uid="{B988CC0D-A119-4421-B6BD-13D93299B14E}"/>
    <cellStyle name="Comma 4 4 3 4 4 2" xfId="36317" xr:uid="{921070E6-672E-4582-8EE7-9828F7ED09A9}"/>
    <cellStyle name="Comma 4 4 3 4 5" xfId="10976" xr:uid="{19CEF5FF-349D-4603-A054-62A6C32684A8}"/>
    <cellStyle name="Comma 4 4 3 4 6" xfId="27870" xr:uid="{67F0361B-BA9A-47F8-AB37-A3ED721EFF27}"/>
    <cellStyle name="Comma 4 4 3 5" xfId="1974" xr:uid="{00000000-0005-0000-0000-0000080A0000}"/>
    <cellStyle name="Comma 4 4 3 5 2" xfId="4203" xr:uid="{00000000-0005-0000-0000-0000090A0000}"/>
    <cellStyle name="Comma 4 4 3 5 2 2" xfId="8425" xr:uid="{00000000-0005-0000-0000-00000A0A0000}"/>
    <cellStyle name="Comma 4 4 3 5 2 2 2" xfId="26198" xr:uid="{89425941-9E74-483B-A992-A33412A7474F}"/>
    <cellStyle name="Comma 4 4 3 5 2 2 2 2" xfId="43092" xr:uid="{248AE237-7249-465E-9615-722950C05245}"/>
    <cellStyle name="Comma 4 4 3 5 2 2 3" xfId="17751" xr:uid="{32476B4B-B38D-46AF-820D-0D846F3EFED8}"/>
    <cellStyle name="Comma 4 4 3 5 2 2 4" xfId="34645" xr:uid="{EF66C16C-7A5B-4AFE-98F5-6F24B78A1AFD}"/>
    <cellStyle name="Comma 4 4 3 5 2 3" xfId="21981" xr:uid="{0425699F-7159-481F-B6E5-4B870F8AEE2B}"/>
    <cellStyle name="Comma 4 4 3 5 2 3 2" xfId="38875" xr:uid="{34928090-6779-4CF9-961D-4BE1946F8977}"/>
    <cellStyle name="Comma 4 4 3 5 2 4" xfId="13534" xr:uid="{94EBB02E-4FF9-46D1-9E1D-E402917C3C01}"/>
    <cellStyle name="Comma 4 4 3 5 2 5" xfId="30428" xr:uid="{21C9A045-C76E-49B1-8F11-94BCE8589280}"/>
    <cellStyle name="Comma 4 4 3 5 3" xfId="6280" xr:uid="{00000000-0005-0000-0000-00000B0A0000}"/>
    <cellStyle name="Comma 4 4 3 5 3 2" xfId="24053" xr:uid="{9B62C7ED-983B-4A41-995A-73BC472960EC}"/>
    <cellStyle name="Comma 4 4 3 5 3 2 2" xfId="40947" xr:uid="{A28C24D1-7E17-45C4-A427-6271B148AD18}"/>
    <cellStyle name="Comma 4 4 3 5 3 3" xfId="15606" xr:uid="{157BD266-C276-4438-A7F5-7A62663008FA}"/>
    <cellStyle name="Comma 4 4 3 5 3 4" xfId="32500" xr:uid="{17439B86-7E0F-447A-B9C2-ED214145CA20}"/>
    <cellStyle name="Comma 4 4 3 5 4" xfId="19836" xr:uid="{D8717393-01DC-4FB8-8764-9CD74093566E}"/>
    <cellStyle name="Comma 4 4 3 5 4 2" xfId="36730" xr:uid="{A835DAA1-9416-4E62-A496-F9C70C8E5209}"/>
    <cellStyle name="Comma 4 4 3 5 5" xfId="11389" xr:uid="{2BF7C67E-5A5F-4F1B-8577-B3D7EB6C80A9}"/>
    <cellStyle name="Comma 4 4 3 5 6" xfId="28283" xr:uid="{AB754FB5-3D85-4452-8003-147C62FB11AE}"/>
    <cellStyle name="Comma 4 4 3 6" xfId="2409" xr:uid="{00000000-0005-0000-0000-00000C0A0000}"/>
    <cellStyle name="Comma 4 4 3 6 2" xfId="6693" xr:uid="{00000000-0005-0000-0000-00000D0A0000}"/>
    <cellStyle name="Comma 4 4 3 6 2 2" xfId="24466" xr:uid="{AD2F8FD4-E3B1-4324-B6DC-EEAF578FEFC3}"/>
    <cellStyle name="Comma 4 4 3 6 2 2 2" xfId="41360" xr:uid="{A0853C2E-A6AB-4ED4-BEF4-13E58BCB3409}"/>
    <cellStyle name="Comma 4 4 3 6 2 3" xfId="16019" xr:uid="{10B91CDF-B2AA-472E-B93A-EDD0D6BC72A1}"/>
    <cellStyle name="Comma 4 4 3 6 2 4" xfId="32913" xr:uid="{A97F0949-C003-4CA0-96E2-BBF812215AD0}"/>
    <cellStyle name="Comma 4 4 3 6 3" xfId="20249" xr:uid="{93ED5608-774C-43A0-BE11-CACA86CA5E93}"/>
    <cellStyle name="Comma 4 4 3 6 3 2" xfId="37143" xr:uid="{84BBB0C3-6C84-4EAB-BF92-57F01F3D9187}"/>
    <cellStyle name="Comma 4 4 3 6 4" xfId="11802" xr:uid="{3EBCE993-9011-46D9-AA79-39848A635D72}"/>
    <cellStyle name="Comma 4 4 3 6 5" xfId="28696" xr:uid="{0281EE8C-77CE-459C-9343-59E4B625F9DD}"/>
    <cellStyle name="Comma 4 4 3 7" xfId="2705" xr:uid="{00000000-0005-0000-0000-00000E0A0000}"/>
    <cellStyle name="Comma 4 4 3 8" xfId="2787" xr:uid="{00000000-0005-0000-0000-00000F0A0000}"/>
    <cellStyle name="Comma 4 4 3 8 2" xfId="7010" xr:uid="{00000000-0005-0000-0000-0000100A0000}"/>
    <cellStyle name="Comma 4 4 3 8 2 2" xfId="24783" xr:uid="{85CB556D-A6C5-4AE5-83C7-8476F224BE61}"/>
    <cellStyle name="Comma 4 4 3 8 2 2 2" xfId="41677" xr:uid="{76097F83-ED29-456E-A6A9-B8BDBB72A826}"/>
    <cellStyle name="Comma 4 4 3 8 2 3" xfId="16336" xr:uid="{2CE505EB-ECAF-41B5-835C-B6F54831D2AB}"/>
    <cellStyle name="Comma 4 4 3 8 2 4" xfId="33230" xr:uid="{E335FAA0-B011-4CA0-A400-51059C730FE5}"/>
    <cellStyle name="Comma 4 4 3 8 3" xfId="20566" xr:uid="{CC545C20-77EF-4A09-8CC5-13A1A30C5F39}"/>
    <cellStyle name="Comma 4 4 3 8 3 2" xfId="37460" xr:uid="{B2D5CCBF-3DF4-431E-8E2E-62FBEC2EE9BB}"/>
    <cellStyle name="Comma 4 4 3 8 4" xfId="12119" xr:uid="{A918CE23-0F81-4322-AC77-537CAF6F701C}"/>
    <cellStyle name="Comma 4 4 3 8 5" xfId="29013" xr:uid="{9AEBD246-D3A4-4E3A-97E4-22C1C710C0BE}"/>
    <cellStyle name="Comma 4 4 3 9" xfId="4627" xr:uid="{00000000-0005-0000-0000-0000110A0000}"/>
    <cellStyle name="Comma 4 4 3 9 2" xfId="22400" xr:uid="{6F1A2368-8ED5-4DE0-8E83-F99B4F7D0102}"/>
    <cellStyle name="Comma 4 4 3 9 2 2" xfId="39294" xr:uid="{03E20925-962A-4404-8E40-6C0B79769F37}"/>
    <cellStyle name="Comma 4 4 3 9 3" xfId="13953" xr:uid="{5A2D0826-C5F9-4BF3-9C34-A20DC26334BA}"/>
    <cellStyle name="Comma 4 4 3 9 4" xfId="30847" xr:uid="{07225C6B-4D2D-4A96-9F43-9178D0A54570}"/>
    <cellStyle name="Comma 4 4 4" xfId="690" xr:uid="{00000000-0005-0000-0000-0000120A0000}"/>
    <cellStyle name="Comma 4 4 4 2" xfId="2961" xr:uid="{00000000-0005-0000-0000-0000130A0000}"/>
    <cellStyle name="Comma 4 4 4 2 2" xfId="7183" xr:uid="{00000000-0005-0000-0000-0000140A0000}"/>
    <cellStyle name="Comma 4 4 4 2 2 2" xfId="24956" xr:uid="{6F3E1566-33EA-438F-AFD3-012CEE970A30}"/>
    <cellStyle name="Comma 4 4 4 2 2 2 2" xfId="41850" xr:uid="{A91BD9D5-18B0-4BAC-90E5-6F2959BABE15}"/>
    <cellStyle name="Comma 4 4 4 2 2 3" xfId="16509" xr:uid="{17982741-F9F8-4695-AB10-AFE8EB231D16}"/>
    <cellStyle name="Comma 4 4 4 2 2 4" xfId="33403" xr:uid="{CD178B01-C75D-48BC-83A4-5383D46629D4}"/>
    <cellStyle name="Comma 4 4 4 2 3" xfId="20739" xr:uid="{B5EE0596-9E33-4B1F-A7F3-C9E9D3FD5FA2}"/>
    <cellStyle name="Comma 4 4 4 2 3 2" xfId="37633" xr:uid="{A860EDC7-5D65-4ACB-A03D-E56767B7BA36}"/>
    <cellStyle name="Comma 4 4 4 2 4" xfId="12292" xr:uid="{95CBA426-E1D6-4199-A3DB-B32ADA66873F}"/>
    <cellStyle name="Comma 4 4 4 2 5" xfId="29186" xr:uid="{AD2CAAEA-A89C-473F-9972-B2BCB3FC982B}"/>
    <cellStyle name="Comma 4 4 4 3" xfId="5038" xr:uid="{00000000-0005-0000-0000-0000150A0000}"/>
    <cellStyle name="Comma 4 4 4 3 2" xfId="22811" xr:uid="{6328D709-2CB7-4236-BB4D-EE98A2DFF65E}"/>
    <cellStyle name="Comma 4 4 4 3 2 2" xfId="39705" xr:uid="{A35E723B-76FB-4F5E-909B-F59941EC03B2}"/>
    <cellStyle name="Comma 4 4 4 3 3" xfId="14364" xr:uid="{2877033E-70B5-449E-97CA-4E09980B09C3}"/>
    <cellStyle name="Comma 4 4 4 3 4" xfId="31258" xr:uid="{74F83283-A7A0-4E0F-B009-2CADF5D43171}"/>
    <cellStyle name="Comma 4 4 4 4" xfId="9229" xr:uid="{5D655A80-2199-4116-9BF2-7327D5827395}"/>
    <cellStyle name="Comma 4 4 4 4 2" xfId="18594" xr:uid="{6F95D9C2-6386-4C32-B498-09906E313B03}"/>
    <cellStyle name="Comma 4 4 4 4 3" xfId="35488" xr:uid="{11CE1E57-5A27-4F63-8D9F-3207DB77EBE8}"/>
    <cellStyle name="Comma 4 4 4 5" xfId="10147" xr:uid="{6C01FD74-A122-4726-9548-732FFBDC328F}"/>
    <cellStyle name="Comma 4 4 4 6" xfId="27041" xr:uid="{831B8D24-AF30-4CE3-9121-67E33AB47F1D}"/>
    <cellStyle name="Comma 4 4 5" xfId="1143" xr:uid="{00000000-0005-0000-0000-0000160A0000}"/>
    <cellStyle name="Comma 4 4 5 2" xfId="3374" xr:uid="{00000000-0005-0000-0000-0000170A0000}"/>
    <cellStyle name="Comma 4 4 5 2 2" xfId="7596" xr:uid="{00000000-0005-0000-0000-0000180A0000}"/>
    <cellStyle name="Comma 4 4 5 2 2 2" xfId="25369" xr:uid="{88061340-CB00-4760-9DAA-8EEBFB1A654E}"/>
    <cellStyle name="Comma 4 4 5 2 2 2 2" xfId="42263" xr:uid="{72371FDA-8DF5-4A7E-A70B-F5C5CD01C2BC}"/>
    <cellStyle name="Comma 4 4 5 2 2 3" xfId="16922" xr:uid="{6B92D5F5-6B3F-4378-BDC9-F81B9A6CE907}"/>
    <cellStyle name="Comma 4 4 5 2 2 4" xfId="33816" xr:uid="{7D1F6E30-007E-4287-8FBD-C312A4E8C0AF}"/>
    <cellStyle name="Comma 4 4 5 2 3" xfId="21152" xr:uid="{16219E30-7962-42C8-86BB-2C88B3D9FCA5}"/>
    <cellStyle name="Comma 4 4 5 2 3 2" xfId="38046" xr:uid="{CED52049-F850-449F-B404-1A12914E68FB}"/>
    <cellStyle name="Comma 4 4 5 2 4" xfId="12705" xr:uid="{F4B8FDD3-2B72-444A-8AF5-5B765B67D5B6}"/>
    <cellStyle name="Comma 4 4 5 2 5" xfId="29599" xr:uid="{E30B9F06-07F0-4F1E-9A3F-FE859B1751E7}"/>
    <cellStyle name="Comma 4 4 5 3" xfId="5451" xr:uid="{00000000-0005-0000-0000-0000190A0000}"/>
    <cellStyle name="Comma 4 4 5 3 2" xfId="23224" xr:uid="{012332CC-928C-4943-A965-EB0594BDDF79}"/>
    <cellStyle name="Comma 4 4 5 3 2 2" xfId="40118" xr:uid="{518F6F5F-CE3D-4975-8640-E1719488FECC}"/>
    <cellStyle name="Comma 4 4 5 3 3" xfId="14777" xr:uid="{573381B5-DA1A-475D-83B0-FCA0A74A4EE1}"/>
    <cellStyle name="Comma 4 4 5 3 4" xfId="31671" xr:uid="{61726E41-E301-4CEE-A70E-5C60996A15E6}"/>
    <cellStyle name="Comma 4 4 5 4" xfId="19007" xr:uid="{2E26FA33-7AE7-41BD-9E46-62B99D1ABB86}"/>
    <cellStyle name="Comma 4 4 5 4 2" xfId="35901" xr:uid="{EDBDD89F-7FF4-429C-9CF0-2866C3938A54}"/>
    <cellStyle name="Comma 4 4 5 5" xfId="10560" xr:uid="{F5D1C916-502E-4835-BCF1-3D6904A9B491}"/>
    <cellStyle name="Comma 4 4 5 6" xfId="27454" xr:uid="{25D83911-5410-4043-BE3E-EC77D459F881}"/>
    <cellStyle name="Comma 4 4 6" xfId="1557" xr:uid="{00000000-0005-0000-0000-00001A0A0000}"/>
    <cellStyle name="Comma 4 4 6 2" xfId="3787" xr:uid="{00000000-0005-0000-0000-00001B0A0000}"/>
    <cellStyle name="Comma 4 4 6 2 2" xfId="8009" xr:uid="{00000000-0005-0000-0000-00001C0A0000}"/>
    <cellStyle name="Comma 4 4 6 2 2 2" xfId="25782" xr:uid="{F7F3190B-5511-4AFC-9FD9-45BFFC0E6FB5}"/>
    <cellStyle name="Comma 4 4 6 2 2 2 2" xfId="42676" xr:uid="{DEBB5CCF-74CB-46AF-8E82-0AE0F74AAAF1}"/>
    <cellStyle name="Comma 4 4 6 2 2 3" xfId="17335" xr:uid="{88CCC8FB-6DE5-4BAC-9E9E-328D5F4953B8}"/>
    <cellStyle name="Comma 4 4 6 2 2 4" xfId="34229" xr:uid="{D2CD8284-34A1-438E-B1A3-5C0AC4C3F31B}"/>
    <cellStyle name="Comma 4 4 6 2 3" xfId="21565" xr:uid="{77DCF62E-A421-4CE2-ABCE-A14669A5C511}"/>
    <cellStyle name="Comma 4 4 6 2 3 2" xfId="38459" xr:uid="{89C30F82-049A-4723-850E-57899CC9F99E}"/>
    <cellStyle name="Comma 4 4 6 2 4" xfId="13118" xr:uid="{DCEAED17-B7B1-451F-9E9A-88FE120E9947}"/>
    <cellStyle name="Comma 4 4 6 2 5" xfId="30012" xr:uid="{0A3AB4DD-28C2-4B90-98FC-388FD7435972}"/>
    <cellStyle name="Comma 4 4 6 3" xfId="5864" xr:uid="{00000000-0005-0000-0000-00001D0A0000}"/>
    <cellStyle name="Comma 4 4 6 3 2" xfId="23637" xr:uid="{9435A4AA-21EB-46C9-BF86-19FE429211F8}"/>
    <cellStyle name="Comma 4 4 6 3 2 2" xfId="40531" xr:uid="{76909163-03D4-45D9-99AA-05D317C7E98E}"/>
    <cellStyle name="Comma 4 4 6 3 3" xfId="15190" xr:uid="{88DEDCC0-6850-492E-9397-BD05DEC5FA1C}"/>
    <cellStyle name="Comma 4 4 6 3 4" xfId="32084" xr:uid="{AF30ECEE-8B5C-475A-9563-44445FFE7952}"/>
    <cellStyle name="Comma 4 4 6 4" xfId="19420" xr:uid="{64C30814-A807-4B39-98EE-0850A8FA0CE9}"/>
    <cellStyle name="Comma 4 4 6 4 2" xfId="36314" xr:uid="{7BC0ACBC-A206-4597-A04E-39968F49FCB0}"/>
    <cellStyle name="Comma 4 4 6 5" xfId="10973" xr:uid="{85474662-7559-426F-B2AC-0F9829455EF2}"/>
    <cellStyle name="Comma 4 4 6 6" xfId="27867" xr:uid="{AF855D38-DA73-4C08-AE92-37248D72753B}"/>
    <cellStyle name="Comma 4 4 7" xfId="1971" xr:uid="{00000000-0005-0000-0000-00001E0A0000}"/>
    <cellStyle name="Comma 4 4 7 2" xfId="4200" xr:uid="{00000000-0005-0000-0000-00001F0A0000}"/>
    <cellStyle name="Comma 4 4 7 2 2" xfId="8422" xr:uid="{00000000-0005-0000-0000-0000200A0000}"/>
    <cellStyle name="Comma 4 4 7 2 2 2" xfId="26195" xr:uid="{89FD58E1-E59B-4F18-AE3D-489179C2B37C}"/>
    <cellStyle name="Comma 4 4 7 2 2 2 2" xfId="43089" xr:uid="{553858D1-370A-44B0-BFC0-6D9A593D8A15}"/>
    <cellStyle name="Comma 4 4 7 2 2 3" xfId="17748" xr:uid="{87C0CC93-BEFA-409A-B6CA-7F2AC205520B}"/>
    <cellStyle name="Comma 4 4 7 2 2 4" xfId="34642" xr:uid="{DFA9A988-C5F1-4A77-9C08-B684F4AF3ACC}"/>
    <cellStyle name="Comma 4 4 7 2 3" xfId="21978" xr:uid="{D0AFD533-2FDE-4233-9713-C288B52E6552}"/>
    <cellStyle name="Comma 4 4 7 2 3 2" xfId="38872" xr:uid="{225F24F4-0545-4101-9AFD-F8DB4BAD0FB1}"/>
    <cellStyle name="Comma 4 4 7 2 4" xfId="13531" xr:uid="{B61DDAEC-C035-40FC-8D13-09ECA0E74E87}"/>
    <cellStyle name="Comma 4 4 7 2 5" xfId="30425" xr:uid="{B6181B14-2812-4E2C-9C68-48390A2C581F}"/>
    <cellStyle name="Comma 4 4 7 3" xfId="6277" xr:uid="{00000000-0005-0000-0000-0000210A0000}"/>
    <cellStyle name="Comma 4 4 7 3 2" xfId="24050" xr:uid="{6DCA5402-24C7-42A6-BF32-71BE1C788ED2}"/>
    <cellStyle name="Comma 4 4 7 3 2 2" xfId="40944" xr:uid="{F62E8DAE-268F-4AE2-A8E0-6BB13CF11D0D}"/>
    <cellStyle name="Comma 4 4 7 3 3" xfId="15603" xr:uid="{2C0F0F51-CB72-488E-A7A9-9DE888305B0C}"/>
    <cellStyle name="Comma 4 4 7 3 4" xfId="32497" xr:uid="{1B9A00D4-FFD4-4F0A-930C-CE164D4A9194}"/>
    <cellStyle name="Comma 4 4 7 4" xfId="19833" xr:uid="{C0B82F1B-5FC0-4CB4-BDCC-0C763D6A9882}"/>
    <cellStyle name="Comma 4 4 7 4 2" xfId="36727" xr:uid="{55336205-8E04-4EDA-BA4E-48DBC53EB461}"/>
    <cellStyle name="Comma 4 4 7 5" xfId="11386" xr:uid="{F3DA7C20-A596-40E8-86E3-118E4196A9FB}"/>
    <cellStyle name="Comma 4 4 7 6" xfId="28280" xr:uid="{75225A4D-548B-4BBA-92D5-C4B05D4DD745}"/>
    <cellStyle name="Comma 4 4 8" xfId="2406" xr:uid="{00000000-0005-0000-0000-0000220A0000}"/>
    <cellStyle name="Comma 4 4 8 2" xfId="6690" xr:uid="{00000000-0005-0000-0000-0000230A0000}"/>
    <cellStyle name="Comma 4 4 8 2 2" xfId="24463" xr:uid="{D5417A63-AB72-465B-BF93-2B209F12E828}"/>
    <cellStyle name="Comma 4 4 8 2 2 2" xfId="41357" xr:uid="{AF9DDA58-CE20-4999-A5AA-84A1547F0C3A}"/>
    <cellStyle name="Comma 4 4 8 2 3" xfId="16016" xr:uid="{5FDB80DE-7207-4EE3-85F0-460CE3D6FEC5}"/>
    <cellStyle name="Comma 4 4 8 2 4" xfId="32910" xr:uid="{F5C36134-43CD-48BC-863F-2F4F35F4CBDC}"/>
    <cellStyle name="Comma 4 4 8 3" xfId="20246" xr:uid="{0A762A20-2BEB-4D37-8989-44D1C39A2541}"/>
    <cellStyle name="Comma 4 4 8 3 2" xfId="37140" xr:uid="{583E11EB-9F57-4961-852E-6BDB5D578C1B}"/>
    <cellStyle name="Comma 4 4 8 4" xfId="11799" xr:uid="{D03E0AF8-A372-4C97-93EF-1E71949BABCB}"/>
    <cellStyle name="Comma 4 4 8 5" xfId="28693" xr:uid="{DD98E8B4-4C29-447F-A6C3-532290FC3B34}"/>
    <cellStyle name="Comma 4 4 9" xfId="2702" xr:uid="{00000000-0005-0000-0000-0000240A0000}"/>
    <cellStyle name="Comma 4 5" xfId="157" xr:uid="{00000000-0005-0000-0000-0000250A0000}"/>
    <cellStyle name="Comma 4 5 10" xfId="4628" xr:uid="{00000000-0005-0000-0000-0000260A0000}"/>
    <cellStyle name="Comma 4 5 10 2" xfId="22401" xr:uid="{1B57CD5D-0CE8-487B-A975-4050E8ABBE30}"/>
    <cellStyle name="Comma 4 5 10 2 2" xfId="39295" xr:uid="{2751131C-7E4E-46D2-A198-156DF99EB5FF}"/>
    <cellStyle name="Comma 4 5 10 3" xfId="13954" xr:uid="{86EFB812-3FB5-49CA-8179-90A8D63E268D}"/>
    <cellStyle name="Comma 4 5 10 4" xfId="30848" xr:uid="{36CE6E5C-90EA-49B7-A353-F7131D5199AE}"/>
    <cellStyle name="Comma 4 5 11" xfId="8849" xr:uid="{344CCE08-63E3-41E8-B38A-00347480820F}"/>
    <cellStyle name="Comma 4 5 11 2" xfId="18184" xr:uid="{EDDD7A03-DEA0-4850-A73C-BC1F181096F0}"/>
    <cellStyle name="Comma 4 5 11 3" xfId="35078" xr:uid="{4B8307F6-7EB9-44B6-AA37-AD9C2172D707}"/>
    <cellStyle name="Comma 4 5 12" xfId="9737" xr:uid="{3F9C974F-F21C-41FC-984A-972CF2EA1698}"/>
    <cellStyle name="Comma 4 5 13" xfId="26631" xr:uid="{21322A96-87F1-416D-8BDC-8C00E1AC4199}"/>
    <cellStyle name="Comma 4 5 2" xfId="158" xr:uid="{00000000-0005-0000-0000-0000270A0000}"/>
    <cellStyle name="Comma 4 5 2 10" xfId="9056" xr:uid="{C7C2153B-7EAA-4A13-9C28-1151ACD100A8}"/>
    <cellStyle name="Comma 4 5 2 10 2" xfId="18185" xr:uid="{25ADBBA2-991D-42CD-84DB-B4AEFF4623F6}"/>
    <cellStyle name="Comma 4 5 2 10 3" xfId="35079" xr:uid="{F8FBCF5E-A437-4299-8B36-14B40E1E8958}"/>
    <cellStyle name="Comma 4 5 2 11" xfId="9738" xr:uid="{2B395F1A-F67A-4871-B1F9-F2AF871B1637}"/>
    <cellStyle name="Comma 4 5 2 12" xfId="26632" xr:uid="{C9D3A00B-727F-4671-8667-A5C7AAE7E6A1}"/>
    <cellStyle name="Comma 4 5 2 2" xfId="695" xr:uid="{00000000-0005-0000-0000-0000280A0000}"/>
    <cellStyle name="Comma 4 5 2 2 2" xfId="2966" xr:uid="{00000000-0005-0000-0000-0000290A0000}"/>
    <cellStyle name="Comma 4 5 2 2 2 2" xfId="7188" xr:uid="{00000000-0005-0000-0000-00002A0A0000}"/>
    <cellStyle name="Comma 4 5 2 2 2 2 2" xfId="24961" xr:uid="{C9D74EF2-EB89-4C57-801D-33DBADD3A8E7}"/>
    <cellStyle name="Comma 4 5 2 2 2 2 2 2" xfId="41855" xr:uid="{9D51F3B3-8C99-41CC-BF51-2D1ABEAF144C}"/>
    <cellStyle name="Comma 4 5 2 2 2 2 3" xfId="16514" xr:uid="{CEFD8703-ECCA-4940-BF6B-CC94F0E96376}"/>
    <cellStyle name="Comma 4 5 2 2 2 2 4" xfId="33408" xr:uid="{A01D965D-7430-435E-9011-7A79AE81E51D}"/>
    <cellStyle name="Comma 4 5 2 2 2 3" xfId="20744" xr:uid="{A791F612-7117-462F-8C3A-FFD37C146F9E}"/>
    <cellStyle name="Comma 4 5 2 2 2 3 2" xfId="37638" xr:uid="{DD342226-1BD9-4138-922A-639580E10F65}"/>
    <cellStyle name="Comma 4 5 2 2 2 4" xfId="12297" xr:uid="{DB1F2A95-D610-4B7A-8718-2A50DB183650}"/>
    <cellStyle name="Comma 4 5 2 2 2 5" xfId="29191" xr:uid="{8B10610D-C812-49B2-B995-700F90E4A995}"/>
    <cellStyle name="Comma 4 5 2 2 3" xfId="5043" xr:uid="{00000000-0005-0000-0000-00002B0A0000}"/>
    <cellStyle name="Comma 4 5 2 2 3 2" xfId="22816" xr:uid="{F1910B60-2B16-497B-9A2F-3C6D55647B77}"/>
    <cellStyle name="Comma 4 5 2 2 3 2 2" xfId="39710" xr:uid="{A9BFBAF9-6786-4498-AF13-1C3B019B7DD9}"/>
    <cellStyle name="Comma 4 5 2 2 3 3" xfId="14369" xr:uid="{9710B0D9-996A-4E1E-9238-5AFB49473E0B}"/>
    <cellStyle name="Comma 4 5 2 2 3 4" xfId="31263" xr:uid="{6459F1CD-91FC-4909-BED0-B014885A56DB}"/>
    <cellStyle name="Comma 4 5 2 2 4" xfId="9481" xr:uid="{47C88F6D-21B1-4457-908C-FFAB8FF83BD1}"/>
    <cellStyle name="Comma 4 5 2 2 4 2" xfId="18599" xr:uid="{F21F56AE-3461-4D3C-AAF9-34863E202DFF}"/>
    <cellStyle name="Comma 4 5 2 2 4 3" xfId="35493" xr:uid="{D4B5FD91-1357-4EE0-87CB-CB035656F033}"/>
    <cellStyle name="Comma 4 5 2 2 5" xfId="10152" xr:uid="{9610B9D7-C94D-4131-852D-53F42A86EDA3}"/>
    <cellStyle name="Comma 4 5 2 2 6" xfId="27046" xr:uid="{C1033988-E450-4BD5-AF5F-E1BC09FABF33}"/>
    <cellStyle name="Comma 4 5 2 3" xfId="1148" xr:uid="{00000000-0005-0000-0000-00002C0A0000}"/>
    <cellStyle name="Comma 4 5 2 3 2" xfId="3379" xr:uid="{00000000-0005-0000-0000-00002D0A0000}"/>
    <cellStyle name="Comma 4 5 2 3 2 2" xfId="7601" xr:uid="{00000000-0005-0000-0000-00002E0A0000}"/>
    <cellStyle name="Comma 4 5 2 3 2 2 2" xfId="25374" xr:uid="{40BA4B71-49C7-453C-8E01-DB4A8B68B390}"/>
    <cellStyle name="Comma 4 5 2 3 2 2 2 2" xfId="42268" xr:uid="{6D1082CF-4F41-481A-9AAE-3FFBF819D864}"/>
    <cellStyle name="Comma 4 5 2 3 2 2 3" xfId="16927" xr:uid="{3EC2DFD0-5B0F-441F-909A-8007948523A4}"/>
    <cellStyle name="Comma 4 5 2 3 2 2 4" xfId="33821" xr:uid="{67D36F4D-AE45-42CB-8C8D-933FA9F78A32}"/>
    <cellStyle name="Comma 4 5 2 3 2 3" xfId="21157" xr:uid="{C14ABA61-0A42-4636-A653-550702934533}"/>
    <cellStyle name="Comma 4 5 2 3 2 3 2" xfId="38051" xr:uid="{FD177E5B-8FD5-4D05-BADD-BBCB35533B8E}"/>
    <cellStyle name="Comma 4 5 2 3 2 4" xfId="12710" xr:uid="{10D1A5AB-40A6-420C-B2D9-4EB423FB6146}"/>
    <cellStyle name="Comma 4 5 2 3 2 5" xfId="29604" xr:uid="{E22A5FFB-4215-4E4B-B9C9-5C34556B0C2B}"/>
    <cellStyle name="Comma 4 5 2 3 3" xfId="5456" xr:uid="{00000000-0005-0000-0000-00002F0A0000}"/>
    <cellStyle name="Comma 4 5 2 3 3 2" xfId="23229" xr:uid="{95357423-B4A1-4CB7-A35B-680D95F58789}"/>
    <cellStyle name="Comma 4 5 2 3 3 2 2" xfId="40123" xr:uid="{A4E91546-83B2-40BB-8189-E0270FA03B1D}"/>
    <cellStyle name="Comma 4 5 2 3 3 3" xfId="14782" xr:uid="{3FE3C0FB-51A3-48CE-B646-545A655ADDA1}"/>
    <cellStyle name="Comma 4 5 2 3 3 4" xfId="31676" xr:uid="{BEADC9B0-4027-4A77-BE0D-F1392A66873F}"/>
    <cellStyle name="Comma 4 5 2 3 4" xfId="19012" xr:uid="{E2436226-6991-4318-AD82-A878DC9444AA}"/>
    <cellStyle name="Comma 4 5 2 3 4 2" xfId="35906" xr:uid="{3F03263C-49F2-41AF-936D-265F32F097F1}"/>
    <cellStyle name="Comma 4 5 2 3 5" xfId="10565" xr:uid="{B0B196BA-26F0-4A60-B407-E8CAD88F373C}"/>
    <cellStyle name="Comma 4 5 2 3 6" xfId="27459" xr:uid="{9AA9F9A9-D7CE-459E-BA5C-2A9D4F31D822}"/>
    <cellStyle name="Comma 4 5 2 4" xfId="1562" xr:uid="{00000000-0005-0000-0000-0000300A0000}"/>
    <cellStyle name="Comma 4 5 2 4 2" xfId="3792" xr:uid="{00000000-0005-0000-0000-0000310A0000}"/>
    <cellStyle name="Comma 4 5 2 4 2 2" xfId="8014" xr:uid="{00000000-0005-0000-0000-0000320A0000}"/>
    <cellStyle name="Comma 4 5 2 4 2 2 2" xfId="25787" xr:uid="{997AC934-B5A3-49CD-853C-88A9F51FF0B8}"/>
    <cellStyle name="Comma 4 5 2 4 2 2 2 2" xfId="42681" xr:uid="{8D3E39C4-1554-4FAD-A089-FD214F349DA0}"/>
    <cellStyle name="Comma 4 5 2 4 2 2 3" xfId="17340" xr:uid="{41A0A28A-CB9A-4B75-81A1-D3B43812E692}"/>
    <cellStyle name="Comma 4 5 2 4 2 2 4" xfId="34234" xr:uid="{4CD654FD-F3B3-4A8D-8D3D-CEA7C5000893}"/>
    <cellStyle name="Comma 4 5 2 4 2 3" xfId="21570" xr:uid="{1E8D8703-24BB-450F-93CD-3F47B250DD79}"/>
    <cellStyle name="Comma 4 5 2 4 2 3 2" xfId="38464" xr:uid="{A1BED87D-C060-4FEB-8B12-1005A2E7A2A9}"/>
    <cellStyle name="Comma 4 5 2 4 2 4" xfId="13123" xr:uid="{422E5318-E58C-44E8-8EE2-20D11DD2723D}"/>
    <cellStyle name="Comma 4 5 2 4 2 5" xfId="30017" xr:uid="{E619FC5A-B067-4839-A853-03C85408F0B5}"/>
    <cellStyle name="Comma 4 5 2 4 3" xfId="5869" xr:uid="{00000000-0005-0000-0000-0000330A0000}"/>
    <cellStyle name="Comma 4 5 2 4 3 2" xfId="23642" xr:uid="{A92AB846-F92B-4579-87D0-1C305D2AD8C9}"/>
    <cellStyle name="Comma 4 5 2 4 3 2 2" xfId="40536" xr:uid="{EA9F6961-7D88-48C2-A3B3-1C57E68EAFC0}"/>
    <cellStyle name="Comma 4 5 2 4 3 3" xfId="15195" xr:uid="{0AD0748D-A059-452F-AC9A-10B603B0B8F7}"/>
    <cellStyle name="Comma 4 5 2 4 3 4" xfId="32089" xr:uid="{D95ADA56-A7F8-4E08-A9CE-CBD7BD3CEE85}"/>
    <cellStyle name="Comma 4 5 2 4 4" xfId="19425" xr:uid="{1A6B159C-467E-4025-AF4B-C52E34DB7A5C}"/>
    <cellStyle name="Comma 4 5 2 4 4 2" xfId="36319" xr:uid="{40B6E2DA-3C6E-4369-8F38-13EBCC126759}"/>
    <cellStyle name="Comma 4 5 2 4 5" xfId="10978" xr:uid="{FA3D6B1C-0901-483C-999E-0B88E4ED6A85}"/>
    <cellStyle name="Comma 4 5 2 4 6" xfId="27872" xr:uid="{F08CB867-9DF6-4385-914C-2428320073FF}"/>
    <cellStyle name="Comma 4 5 2 5" xfId="1976" xr:uid="{00000000-0005-0000-0000-0000340A0000}"/>
    <cellStyle name="Comma 4 5 2 5 2" xfId="4205" xr:uid="{00000000-0005-0000-0000-0000350A0000}"/>
    <cellStyle name="Comma 4 5 2 5 2 2" xfId="8427" xr:uid="{00000000-0005-0000-0000-0000360A0000}"/>
    <cellStyle name="Comma 4 5 2 5 2 2 2" xfId="26200" xr:uid="{59A02D81-7974-4054-9BD2-DB872D71440B}"/>
    <cellStyle name="Comma 4 5 2 5 2 2 2 2" xfId="43094" xr:uid="{5B016D05-1496-4F0C-BDAD-8C2A88BD53AB}"/>
    <cellStyle name="Comma 4 5 2 5 2 2 3" xfId="17753" xr:uid="{6B31CF96-A28A-4A9F-B297-7D0B28BF59A7}"/>
    <cellStyle name="Comma 4 5 2 5 2 2 4" xfId="34647" xr:uid="{DC1A9068-8C86-4F7F-9BA5-4C6C86C7667B}"/>
    <cellStyle name="Comma 4 5 2 5 2 3" xfId="21983" xr:uid="{A93C4BE3-0F80-46BB-8956-E55E82886693}"/>
    <cellStyle name="Comma 4 5 2 5 2 3 2" xfId="38877" xr:uid="{63FB931F-C80F-4E4E-BEE4-59225CD7561B}"/>
    <cellStyle name="Comma 4 5 2 5 2 4" xfId="13536" xr:uid="{1A31D1AF-6242-44A5-8150-E479D297C9DC}"/>
    <cellStyle name="Comma 4 5 2 5 2 5" xfId="30430" xr:uid="{DC90C471-5FE6-41D3-8DB4-557D5BB50664}"/>
    <cellStyle name="Comma 4 5 2 5 3" xfId="6282" xr:uid="{00000000-0005-0000-0000-0000370A0000}"/>
    <cellStyle name="Comma 4 5 2 5 3 2" xfId="24055" xr:uid="{F956403D-02C0-4361-ABC3-AD2C606954D5}"/>
    <cellStyle name="Comma 4 5 2 5 3 2 2" xfId="40949" xr:uid="{A4F7138E-26A9-403D-8763-586A9A28F15D}"/>
    <cellStyle name="Comma 4 5 2 5 3 3" xfId="15608" xr:uid="{033A2E79-931C-414E-AD26-7EE4E171777D}"/>
    <cellStyle name="Comma 4 5 2 5 3 4" xfId="32502" xr:uid="{2A6A7FEF-905D-4436-9DE1-8B41BEDF2EA3}"/>
    <cellStyle name="Comma 4 5 2 5 4" xfId="19838" xr:uid="{6588BDFF-CDE8-4902-ABE4-3DB3C9086F1E}"/>
    <cellStyle name="Comma 4 5 2 5 4 2" xfId="36732" xr:uid="{1B5E9C4C-3D22-4229-8E04-6B0F70742757}"/>
    <cellStyle name="Comma 4 5 2 5 5" xfId="11391" xr:uid="{7E8595D1-23CB-48EF-B7FA-BAEBD621E617}"/>
    <cellStyle name="Comma 4 5 2 5 6" xfId="28285" xr:uid="{F5029E36-EBC5-475C-A79B-7169A982BBDD}"/>
    <cellStyle name="Comma 4 5 2 6" xfId="2411" xr:uid="{00000000-0005-0000-0000-0000380A0000}"/>
    <cellStyle name="Comma 4 5 2 6 2" xfId="6695" xr:uid="{00000000-0005-0000-0000-0000390A0000}"/>
    <cellStyle name="Comma 4 5 2 6 2 2" xfId="24468" xr:uid="{01A8E694-A6A6-426F-AC3A-74FC006D3989}"/>
    <cellStyle name="Comma 4 5 2 6 2 2 2" xfId="41362" xr:uid="{F9070515-BBEF-4D67-B92B-DB87F6C483FC}"/>
    <cellStyle name="Comma 4 5 2 6 2 3" xfId="16021" xr:uid="{72A6618E-459A-41D0-99A7-93EC3D01C593}"/>
    <cellStyle name="Comma 4 5 2 6 2 4" xfId="32915" xr:uid="{742C1FBC-E723-40CD-A074-D854889951EB}"/>
    <cellStyle name="Comma 4 5 2 6 3" xfId="20251" xr:uid="{7F498B30-BF10-496D-90AA-F61A208B8732}"/>
    <cellStyle name="Comma 4 5 2 6 3 2" xfId="37145" xr:uid="{BE4F4EA6-C8AB-497D-AA23-ED9D8CC7CE4C}"/>
    <cellStyle name="Comma 4 5 2 6 4" xfId="11804" xr:uid="{A3233ADF-5F47-41C0-983A-A88AB3CBA4F2}"/>
    <cellStyle name="Comma 4 5 2 6 5" xfId="28698" xr:uid="{AFB2F812-F8FB-4A3C-BC31-0A6C61B477A6}"/>
    <cellStyle name="Comma 4 5 2 7" xfId="2707" xr:uid="{00000000-0005-0000-0000-00003A0A0000}"/>
    <cellStyle name="Comma 4 5 2 8" xfId="2789" xr:uid="{00000000-0005-0000-0000-00003B0A0000}"/>
    <cellStyle name="Comma 4 5 2 8 2" xfId="7012" xr:uid="{00000000-0005-0000-0000-00003C0A0000}"/>
    <cellStyle name="Comma 4 5 2 8 2 2" xfId="24785" xr:uid="{3ED4D9F4-52DD-4EE2-9C3C-83B2F4A96952}"/>
    <cellStyle name="Comma 4 5 2 8 2 2 2" xfId="41679" xr:uid="{B72A01DB-BF6D-4EDE-BF5A-DB5D4A87774B}"/>
    <cellStyle name="Comma 4 5 2 8 2 3" xfId="16338" xr:uid="{DA17D7E5-AEEF-497B-8186-945999C5D507}"/>
    <cellStyle name="Comma 4 5 2 8 2 4" xfId="33232" xr:uid="{0E2C5667-3454-4924-8BC1-347D9025A1AE}"/>
    <cellStyle name="Comma 4 5 2 8 3" xfId="20568" xr:uid="{9ED7A194-7B11-4207-9D7E-E31E911DE4C8}"/>
    <cellStyle name="Comma 4 5 2 8 3 2" xfId="37462" xr:uid="{77E8BEFF-B73A-4419-A69E-AA42752D5569}"/>
    <cellStyle name="Comma 4 5 2 8 4" xfId="12121" xr:uid="{F99C02B9-2A06-4C99-8C3E-8852B6B1FCB1}"/>
    <cellStyle name="Comma 4 5 2 8 5" xfId="29015" xr:uid="{043DC03B-09F7-4A10-8929-1ADCCF1054A9}"/>
    <cellStyle name="Comma 4 5 2 9" xfId="4629" xr:uid="{00000000-0005-0000-0000-00003D0A0000}"/>
    <cellStyle name="Comma 4 5 2 9 2" xfId="22402" xr:uid="{85CA7C0F-9FC1-4D9C-ACAA-787A4F5BA6D5}"/>
    <cellStyle name="Comma 4 5 2 9 2 2" xfId="39296" xr:uid="{755B7146-AA9A-4D8C-8175-F6F2E822EDC8}"/>
    <cellStyle name="Comma 4 5 2 9 3" xfId="13955" xr:uid="{3CDD3DB3-4DC9-442E-84C0-199FBE533053}"/>
    <cellStyle name="Comma 4 5 2 9 4" xfId="30849" xr:uid="{9E732F6F-3D62-48DD-BC53-0C5E851BE8D8}"/>
    <cellStyle name="Comma 4 5 3" xfId="694" xr:uid="{00000000-0005-0000-0000-00003E0A0000}"/>
    <cellStyle name="Comma 4 5 3 2" xfId="2965" xr:uid="{00000000-0005-0000-0000-00003F0A0000}"/>
    <cellStyle name="Comma 4 5 3 2 2" xfId="7187" xr:uid="{00000000-0005-0000-0000-0000400A0000}"/>
    <cellStyle name="Comma 4 5 3 2 2 2" xfId="24960" xr:uid="{3A454EA9-7F20-471E-A674-A47488257731}"/>
    <cellStyle name="Comma 4 5 3 2 2 2 2" xfId="41854" xr:uid="{9A734337-4061-42DF-861B-A342C9F37F6F}"/>
    <cellStyle name="Comma 4 5 3 2 2 3" xfId="16513" xr:uid="{4D042C9F-2DA9-43C2-B01A-896F16B3AEF1}"/>
    <cellStyle name="Comma 4 5 3 2 2 4" xfId="33407" xr:uid="{DF7E2222-3B74-4341-AD3E-88090024AA82}"/>
    <cellStyle name="Comma 4 5 3 2 3" xfId="20743" xr:uid="{499777AA-9CAC-485E-BB0F-D91E4A3BE33A}"/>
    <cellStyle name="Comma 4 5 3 2 3 2" xfId="37637" xr:uid="{7E220132-3070-48D7-9089-C0B72CB7C971}"/>
    <cellStyle name="Comma 4 5 3 2 4" xfId="12296" xr:uid="{1950F87E-491F-4C43-A339-1753DF81E5D1}"/>
    <cellStyle name="Comma 4 5 3 2 5" xfId="29190" xr:uid="{72CE5EDA-3702-416F-8814-DCC754A5D43B}"/>
    <cellStyle name="Comma 4 5 3 3" xfId="5042" xr:uid="{00000000-0005-0000-0000-0000410A0000}"/>
    <cellStyle name="Comma 4 5 3 3 2" xfId="22815" xr:uid="{BBB47331-1446-47C6-A071-8887D1033CA7}"/>
    <cellStyle name="Comma 4 5 3 3 2 2" xfId="39709" xr:uid="{B4EF513E-F875-477A-9931-91399F4F9512}"/>
    <cellStyle name="Comma 4 5 3 3 3" xfId="14368" xr:uid="{020166A1-948C-4C51-8006-1B4410FC555D}"/>
    <cellStyle name="Comma 4 5 3 3 4" xfId="31262" xr:uid="{C7FA3587-9305-4D46-996C-3A743F85579D}"/>
    <cellStyle name="Comma 4 5 3 4" xfId="9274" xr:uid="{04AC3EF2-4A78-4DC5-BAB4-87936023C7E5}"/>
    <cellStyle name="Comma 4 5 3 4 2" xfId="18598" xr:uid="{3522E402-6AD3-4F7F-A9CD-5823F6B00744}"/>
    <cellStyle name="Comma 4 5 3 4 3" xfId="35492" xr:uid="{9520519E-F2B1-4FEA-96CC-C3A14BB961B8}"/>
    <cellStyle name="Comma 4 5 3 5" xfId="10151" xr:uid="{BF0937A8-46E9-4D36-9520-82D3B7928756}"/>
    <cellStyle name="Comma 4 5 3 6" xfId="27045" xr:uid="{5739BC12-C648-42B7-ACCF-84E695BA6487}"/>
    <cellStyle name="Comma 4 5 4" xfId="1147" xr:uid="{00000000-0005-0000-0000-0000420A0000}"/>
    <cellStyle name="Comma 4 5 4 2" xfId="3378" xr:uid="{00000000-0005-0000-0000-0000430A0000}"/>
    <cellStyle name="Comma 4 5 4 2 2" xfId="7600" xr:uid="{00000000-0005-0000-0000-0000440A0000}"/>
    <cellStyle name="Comma 4 5 4 2 2 2" xfId="25373" xr:uid="{019C2C9F-C317-459F-A973-6C974FD4E09A}"/>
    <cellStyle name="Comma 4 5 4 2 2 2 2" xfId="42267" xr:uid="{F179203C-2DCC-4E21-8091-1580D0042D46}"/>
    <cellStyle name="Comma 4 5 4 2 2 3" xfId="16926" xr:uid="{16F23018-2980-4FB5-B0CD-7A2FB39B94A8}"/>
    <cellStyle name="Comma 4 5 4 2 2 4" xfId="33820" xr:uid="{62D63FEE-14F5-40FD-9A4D-8270BBF1BAD2}"/>
    <cellStyle name="Comma 4 5 4 2 3" xfId="21156" xr:uid="{FA1CF030-DFDC-4206-B67C-AC38553F048E}"/>
    <cellStyle name="Comma 4 5 4 2 3 2" xfId="38050" xr:uid="{10503208-C16A-41FD-AFA2-651E23D2A4D2}"/>
    <cellStyle name="Comma 4 5 4 2 4" xfId="12709" xr:uid="{DF9D5943-3113-4AA3-8612-63A945FAA343}"/>
    <cellStyle name="Comma 4 5 4 2 5" xfId="29603" xr:uid="{D0FAE0EE-AFCD-4583-B952-E0A018D8F06C}"/>
    <cellStyle name="Comma 4 5 4 3" xfId="5455" xr:uid="{00000000-0005-0000-0000-0000450A0000}"/>
    <cellStyle name="Comma 4 5 4 3 2" xfId="23228" xr:uid="{31B796DB-E0BA-4BD4-8AEC-EA6C1A4121AE}"/>
    <cellStyle name="Comma 4 5 4 3 2 2" xfId="40122" xr:uid="{3CA88A3E-F688-441F-A75F-4CBC357A40EB}"/>
    <cellStyle name="Comma 4 5 4 3 3" xfId="14781" xr:uid="{6DA8F6FF-B653-474D-B715-2763C3ED1DF3}"/>
    <cellStyle name="Comma 4 5 4 3 4" xfId="31675" xr:uid="{D4116110-875A-48E0-8B1A-20EA17B31A4A}"/>
    <cellStyle name="Comma 4 5 4 4" xfId="19011" xr:uid="{449E2E93-E6BD-45B9-AA75-2DE137042A05}"/>
    <cellStyle name="Comma 4 5 4 4 2" xfId="35905" xr:uid="{46000A8A-6F0E-41EF-A83B-2564E418A8A1}"/>
    <cellStyle name="Comma 4 5 4 5" xfId="10564" xr:uid="{7BD00502-44F5-4B94-9728-447E7392DB78}"/>
    <cellStyle name="Comma 4 5 4 6" xfId="27458" xr:uid="{5A21FBBA-0F83-4C2F-AEF5-E667012CAF6B}"/>
    <cellStyle name="Comma 4 5 5" xfId="1561" xr:uid="{00000000-0005-0000-0000-0000460A0000}"/>
    <cellStyle name="Comma 4 5 5 2" xfId="3791" xr:uid="{00000000-0005-0000-0000-0000470A0000}"/>
    <cellStyle name="Comma 4 5 5 2 2" xfId="8013" xr:uid="{00000000-0005-0000-0000-0000480A0000}"/>
    <cellStyle name="Comma 4 5 5 2 2 2" xfId="25786" xr:uid="{223E1140-B821-4D08-800E-C24582721FEE}"/>
    <cellStyle name="Comma 4 5 5 2 2 2 2" xfId="42680" xr:uid="{7118003C-610D-49D5-BA0E-DC49DB098791}"/>
    <cellStyle name="Comma 4 5 5 2 2 3" xfId="17339" xr:uid="{074B7A92-A7FC-45A9-8043-244AD36D02BC}"/>
    <cellStyle name="Comma 4 5 5 2 2 4" xfId="34233" xr:uid="{5015DED6-DDC8-4409-A5B2-F36F3FCC7427}"/>
    <cellStyle name="Comma 4 5 5 2 3" xfId="21569" xr:uid="{8C88A9E5-EECC-4575-A6FA-D77982054AFB}"/>
    <cellStyle name="Comma 4 5 5 2 3 2" xfId="38463" xr:uid="{C2C33A34-C770-47BA-AC55-C4DB3E59A4B6}"/>
    <cellStyle name="Comma 4 5 5 2 4" xfId="13122" xr:uid="{9991E38F-C65C-47AF-B62A-BFFEB326E88E}"/>
    <cellStyle name="Comma 4 5 5 2 5" xfId="30016" xr:uid="{09EEEF4A-5CFB-4F38-BF07-1A28821E0CAA}"/>
    <cellStyle name="Comma 4 5 5 3" xfId="5868" xr:uid="{00000000-0005-0000-0000-0000490A0000}"/>
    <cellStyle name="Comma 4 5 5 3 2" xfId="23641" xr:uid="{877383F1-45FC-474A-BF42-538F84A8976A}"/>
    <cellStyle name="Comma 4 5 5 3 2 2" xfId="40535" xr:uid="{D51FE02A-896D-45C0-95D5-7A9708919EF8}"/>
    <cellStyle name="Comma 4 5 5 3 3" xfId="15194" xr:uid="{7C2EFF5D-82BC-4506-A447-C923341641B6}"/>
    <cellStyle name="Comma 4 5 5 3 4" xfId="32088" xr:uid="{16289D59-B0E8-4E03-8BEA-2E5DA6DE82B3}"/>
    <cellStyle name="Comma 4 5 5 4" xfId="19424" xr:uid="{3342B29E-8CC1-4F93-BCEF-99646F27970E}"/>
    <cellStyle name="Comma 4 5 5 4 2" xfId="36318" xr:uid="{27531765-4327-4B2B-8F68-CE0CF4358D24}"/>
    <cellStyle name="Comma 4 5 5 5" xfId="10977" xr:uid="{A5A96372-2142-4BA6-AC7A-091C79336ED9}"/>
    <cellStyle name="Comma 4 5 5 6" xfId="27871" xr:uid="{0F7B7B5D-65BB-4FF0-B1C2-239A793D70A0}"/>
    <cellStyle name="Comma 4 5 6" xfId="1975" xr:uid="{00000000-0005-0000-0000-00004A0A0000}"/>
    <cellStyle name="Comma 4 5 6 2" xfId="4204" xr:uid="{00000000-0005-0000-0000-00004B0A0000}"/>
    <cellStyle name="Comma 4 5 6 2 2" xfId="8426" xr:uid="{00000000-0005-0000-0000-00004C0A0000}"/>
    <cellStyle name="Comma 4 5 6 2 2 2" xfId="26199" xr:uid="{8C0F3750-5D49-4E8C-AAFB-7EE781DC337B}"/>
    <cellStyle name="Comma 4 5 6 2 2 2 2" xfId="43093" xr:uid="{F083A6CC-B1EA-4EBF-BDAD-92177B95F7F0}"/>
    <cellStyle name="Comma 4 5 6 2 2 3" xfId="17752" xr:uid="{AF76B1D8-4234-4347-895B-929B17DF5908}"/>
    <cellStyle name="Comma 4 5 6 2 2 4" xfId="34646" xr:uid="{57EDB685-848D-4E01-AB92-20166B43E4AB}"/>
    <cellStyle name="Comma 4 5 6 2 3" xfId="21982" xr:uid="{CA69291E-5EDA-43D4-B1A9-37CA2305C57D}"/>
    <cellStyle name="Comma 4 5 6 2 3 2" xfId="38876" xr:uid="{8063DE2C-D027-44F3-8AAE-3D6FFCB43E89}"/>
    <cellStyle name="Comma 4 5 6 2 4" xfId="13535" xr:uid="{C723FEBA-6183-4017-9212-491E9036B8C0}"/>
    <cellStyle name="Comma 4 5 6 2 5" xfId="30429" xr:uid="{9019B2FE-7BBA-4B12-A9E7-AEB79EBFE813}"/>
    <cellStyle name="Comma 4 5 6 3" xfId="6281" xr:uid="{00000000-0005-0000-0000-00004D0A0000}"/>
    <cellStyle name="Comma 4 5 6 3 2" xfId="24054" xr:uid="{DCFCB719-67E1-44ED-9849-B1413A01975F}"/>
    <cellStyle name="Comma 4 5 6 3 2 2" xfId="40948" xr:uid="{598B878C-C780-476E-8727-012281B75311}"/>
    <cellStyle name="Comma 4 5 6 3 3" xfId="15607" xr:uid="{B7E95989-3855-4806-8636-EA82C47541BA}"/>
    <cellStyle name="Comma 4 5 6 3 4" xfId="32501" xr:uid="{9264ED63-2106-44C9-B81A-C1FD944AF2AC}"/>
    <cellStyle name="Comma 4 5 6 4" xfId="19837" xr:uid="{6387770B-1C5F-4F0A-BDF2-A8D059F6C43A}"/>
    <cellStyle name="Comma 4 5 6 4 2" xfId="36731" xr:uid="{B9A677D1-7328-4A23-B026-6147C9C82C49}"/>
    <cellStyle name="Comma 4 5 6 5" xfId="11390" xr:uid="{13B64194-DD8B-4606-8909-89869D0F0206}"/>
    <cellStyle name="Comma 4 5 6 6" xfId="28284" xr:uid="{5EC7C36C-7E29-4D9C-9A38-F282202FB50B}"/>
    <cellStyle name="Comma 4 5 7" xfId="2410" xr:uid="{00000000-0005-0000-0000-00004E0A0000}"/>
    <cellStyle name="Comma 4 5 7 2" xfId="6694" xr:uid="{00000000-0005-0000-0000-00004F0A0000}"/>
    <cellStyle name="Comma 4 5 7 2 2" xfId="24467" xr:uid="{44F28803-BB1E-445D-B08B-6D2F5E0A712A}"/>
    <cellStyle name="Comma 4 5 7 2 2 2" xfId="41361" xr:uid="{0B0FA438-9DA3-42C0-A396-F26989CC62B2}"/>
    <cellStyle name="Comma 4 5 7 2 3" xfId="16020" xr:uid="{FB7A610F-5BB2-42DD-BD4F-720E9D970E56}"/>
    <cellStyle name="Comma 4 5 7 2 4" xfId="32914" xr:uid="{B57E9A1C-77F6-4B70-B74E-DFDF1CC36FE5}"/>
    <cellStyle name="Comma 4 5 7 3" xfId="20250" xr:uid="{3410BF06-912B-411B-AB72-82CBDB211345}"/>
    <cellStyle name="Comma 4 5 7 3 2" xfId="37144" xr:uid="{A0AEAE27-2D8E-41FE-BB71-9EAE536654F4}"/>
    <cellStyle name="Comma 4 5 7 4" xfId="11803" xr:uid="{C79E4D2A-E717-4556-B833-18FFAB3840DD}"/>
    <cellStyle name="Comma 4 5 7 5" xfId="28697" xr:uid="{FCE65019-1122-4C72-836B-17F0D65CD24B}"/>
    <cellStyle name="Comma 4 5 8" xfId="2706" xr:uid="{00000000-0005-0000-0000-0000500A0000}"/>
    <cellStyle name="Comma 4 5 9" xfId="2788" xr:uid="{00000000-0005-0000-0000-0000510A0000}"/>
    <cellStyle name="Comma 4 5 9 2" xfId="7011" xr:uid="{00000000-0005-0000-0000-0000520A0000}"/>
    <cellStyle name="Comma 4 5 9 2 2" xfId="24784" xr:uid="{B2EA86F6-B97F-4A5C-8A05-9007291F30A2}"/>
    <cellStyle name="Comma 4 5 9 2 2 2" xfId="41678" xr:uid="{073E017D-B253-409F-9F1B-05F0387ABB9B}"/>
    <cellStyle name="Comma 4 5 9 2 3" xfId="16337" xr:uid="{461CA1FE-380A-4DBA-B82E-6D30C327B4BF}"/>
    <cellStyle name="Comma 4 5 9 2 4" xfId="33231" xr:uid="{0B02BDE4-77B4-4574-ABE6-7A5F365844DC}"/>
    <cellStyle name="Comma 4 5 9 3" xfId="20567" xr:uid="{7B6B9158-F7F1-4E14-92DC-5FF60B8663FA}"/>
    <cellStyle name="Comma 4 5 9 3 2" xfId="37461" xr:uid="{D5F12F4B-62A0-4227-88BC-F5685B19C6EC}"/>
    <cellStyle name="Comma 4 5 9 4" xfId="12120" xr:uid="{76BF208B-FF17-4E5D-A287-45164A8B7A76}"/>
    <cellStyle name="Comma 4 5 9 5" xfId="29014" xr:uid="{19FA0536-7B32-4E26-BB12-BF6C2561391E}"/>
    <cellStyle name="Comma 4 6" xfId="159" xr:uid="{00000000-0005-0000-0000-0000530A0000}"/>
    <cellStyle name="Comma 4 6 10" xfId="8965" xr:uid="{FDA33E7D-96B8-46F2-87D8-5CB6C30A4CC6}"/>
    <cellStyle name="Comma 4 6 10 2" xfId="18186" xr:uid="{AB41D864-42FE-408B-82A6-51A3C851A899}"/>
    <cellStyle name="Comma 4 6 10 3" xfId="35080" xr:uid="{FD8681EB-ABE2-4DCE-B606-7F9623362C1A}"/>
    <cellStyle name="Comma 4 6 11" xfId="9739" xr:uid="{3A6C4DC7-E964-448A-B037-19FFDDDF5865}"/>
    <cellStyle name="Comma 4 6 12" xfId="26633" xr:uid="{DC7F0A2A-B8C1-4538-BB44-122603A023E7}"/>
    <cellStyle name="Comma 4 6 2" xfId="696" xr:uid="{00000000-0005-0000-0000-0000540A0000}"/>
    <cellStyle name="Comma 4 6 2 2" xfId="2967" xr:uid="{00000000-0005-0000-0000-0000550A0000}"/>
    <cellStyle name="Comma 4 6 2 2 2" xfId="7189" xr:uid="{00000000-0005-0000-0000-0000560A0000}"/>
    <cellStyle name="Comma 4 6 2 2 2 2" xfId="24962" xr:uid="{6BD10151-3663-41B7-B774-F32FD17A2502}"/>
    <cellStyle name="Comma 4 6 2 2 2 2 2" xfId="41856" xr:uid="{95DBCDDC-0108-46D4-A81C-44012871489A}"/>
    <cellStyle name="Comma 4 6 2 2 2 3" xfId="16515" xr:uid="{34565FB2-C507-4C4D-A000-292A30227BC3}"/>
    <cellStyle name="Comma 4 6 2 2 2 4" xfId="33409" xr:uid="{1DAF9E4B-E0DE-4E3B-9646-F638A6E1DFE6}"/>
    <cellStyle name="Comma 4 6 2 2 3" xfId="20745" xr:uid="{5A4C8BA0-8043-466F-99C8-FDDC4AF38B68}"/>
    <cellStyle name="Comma 4 6 2 2 3 2" xfId="37639" xr:uid="{5B6DBAA1-B9CD-4C37-9DF5-A916919AE940}"/>
    <cellStyle name="Comma 4 6 2 2 4" xfId="12298" xr:uid="{43A3F4A0-24C2-4A07-9F81-693D7E3DE0CB}"/>
    <cellStyle name="Comma 4 6 2 2 5" xfId="29192" xr:uid="{5506EA92-80ED-41CE-8C5A-85F31D722182}"/>
    <cellStyle name="Comma 4 6 2 3" xfId="5044" xr:uid="{00000000-0005-0000-0000-0000570A0000}"/>
    <cellStyle name="Comma 4 6 2 3 2" xfId="22817" xr:uid="{7FE9E2A9-C9E3-4804-97DD-E095561E04D8}"/>
    <cellStyle name="Comma 4 6 2 3 2 2" xfId="39711" xr:uid="{FA140007-5037-4780-B8E8-22E34A44868A}"/>
    <cellStyle name="Comma 4 6 2 3 3" xfId="14370" xr:uid="{BC514DF6-4A86-4C13-A959-262F9969357A}"/>
    <cellStyle name="Comma 4 6 2 3 4" xfId="31264" xr:uid="{6D6D0B60-68D8-4F7D-8654-96861B60ECAB}"/>
    <cellStyle name="Comma 4 6 2 4" xfId="9390" xr:uid="{F8012948-A58F-476A-B4CF-A63C8F36D5B6}"/>
    <cellStyle name="Comma 4 6 2 4 2" xfId="18600" xr:uid="{8EE0B85A-D859-4273-B968-29BCA91C2063}"/>
    <cellStyle name="Comma 4 6 2 4 3" xfId="35494" xr:uid="{EECDCE85-D33A-44BA-AB3D-5C2934291E4A}"/>
    <cellStyle name="Comma 4 6 2 5" xfId="10153" xr:uid="{16239619-3AFC-4320-B4E5-76D7F87FF3A6}"/>
    <cellStyle name="Comma 4 6 2 6" xfId="27047" xr:uid="{93490C8D-FE0E-4F55-8A44-F684C01BFB5E}"/>
    <cellStyle name="Comma 4 6 3" xfId="1149" xr:uid="{00000000-0005-0000-0000-0000580A0000}"/>
    <cellStyle name="Comma 4 6 3 2" xfId="3380" xr:uid="{00000000-0005-0000-0000-0000590A0000}"/>
    <cellStyle name="Comma 4 6 3 2 2" xfId="7602" xr:uid="{00000000-0005-0000-0000-00005A0A0000}"/>
    <cellStyle name="Comma 4 6 3 2 2 2" xfId="25375" xr:uid="{E0664617-E3B8-4F5D-B3E7-0B60577AA6AD}"/>
    <cellStyle name="Comma 4 6 3 2 2 2 2" xfId="42269" xr:uid="{046AE3E2-EFCF-44C4-AB49-9C00B840FA80}"/>
    <cellStyle name="Comma 4 6 3 2 2 3" xfId="16928" xr:uid="{602C080A-F0E3-4FFB-9EFB-752D1F45C818}"/>
    <cellStyle name="Comma 4 6 3 2 2 4" xfId="33822" xr:uid="{DE934B8B-094F-43E5-ADA2-18D424E2DBE2}"/>
    <cellStyle name="Comma 4 6 3 2 3" xfId="21158" xr:uid="{3EF72762-BA5E-48A2-B3FE-A65200BDA425}"/>
    <cellStyle name="Comma 4 6 3 2 3 2" xfId="38052" xr:uid="{245F8017-F03F-4008-B529-DC647ADAB597}"/>
    <cellStyle name="Comma 4 6 3 2 4" xfId="12711" xr:uid="{A8A922FC-1B0D-4CAF-8380-3A8F8A5FED0C}"/>
    <cellStyle name="Comma 4 6 3 2 5" xfId="29605" xr:uid="{5B50BA7A-478D-4B1E-9135-3261656DA742}"/>
    <cellStyle name="Comma 4 6 3 3" xfId="5457" xr:uid="{00000000-0005-0000-0000-00005B0A0000}"/>
    <cellStyle name="Comma 4 6 3 3 2" xfId="23230" xr:uid="{E048C29C-EAF3-49AE-BC19-0A7331AD5101}"/>
    <cellStyle name="Comma 4 6 3 3 2 2" xfId="40124" xr:uid="{95E40A40-FC87-49C6-9F86-13A80ABF9BA3}"/>
    <cellStyle name="Comma 4 6 3 3 3" xfId="14783" xr:uid="{44DE9ED5-063E-43D9-A87D-0124A1B9E28D}"/>
    <cellStyle name="Comma 4 6 3 3 4" xfId="31677" xr:uid="{17E81620-E40D-4005-B562-B9190A06BB50}"/>
    <cellStyle name="Comma 4 6 3 4" xfId="19013" xr:uid="{1C6B1650-8125-42EE-BE96-D09952A3DEB7}"/>
    <cellStyle name="Comma 4 6 3 4 2" xfId="35907" xr:uid="{18518DDF-0D4C-417D-BB59-BB2DBA394527}"/>
    <cellStyle name="Comma 4 6 3 5" xfId="10566" xr:uid="{B1BA2B7C-DB03-413F-A966-90BD909D271C}"/>
    <cellStyle name="Comma 4 6 3 6" xfId="27460" xr:uid="{3A7A02AC-6791-416E-98D6-6897091458D7}"/>
    <cellStyle name="Comma 4 6 4" xfId="1563" xr:uid="{00000000-0005-0000-0000-00005C0A0000}"/>
    <cellStyle name="Comma 4 6 4 2" xfId="3793" xr:uid="{00000000-0005-0000-0000-00005D0A0000}"/>
    <cellStyle name="Comma 4 6 4 2 2" xfId="8015" xr:uid="{00000000-0005-0000-0000-00005E0A0000}"/>
    <cellStyle name="Comma 4 6 4 2 2 2" xfId="25788" xr:uid="{B0D1D6CB-BEB1-4198-8885-3A597A58DE08}"/>
    <cellStyle name="Comma 4 6 4 2 2 2 2" xfId="42682" xr:uid="{6FF613A9-CD9A-4DCF-973E-17F70A68BD30}"/>
    <cellStyle name="Comma 4 6 4 2 2 3" xfId="17341" xr:uid="{E9BB3391-D3A8-42BB-A80D-E6456B22D990}"/>
    <cellStyle name="Comma 4 6 4 2 2 4" xfId="34235" xr:uid="{A952FE3D-DD90-4EB9-A8CB-DD8D2D86A1E8}"/>
    <cellStyle name="Comma 4 6 4 2 3" xfId="21571" xr:uid="{301D63CA-0A25-44B0-9124-DDDAE8401151}"/>
    <cellStyle name="Comma 4 6 4 2 3 2" xfId="38465" xr:uid="{C9C1BFE8-0096-4E13-B616-6079737DD3D3}"/>
    <cellStyle name="Comma 4 6 4 2 4" xfId="13124" xr:uid="{DF2740F3-6643-4877-B4F3-E74FE5D6B0D9}"/>
    <cellStyle name="Comma 4 6 4 2 5" xfId="30018" xr:uid="{7D1C78EF-7496-4728-B64B-6E77F3539609}"/>
    <cellStyle name="Comma 4 6 4 3" xfId="5870" xr:uid="{00000000-0005-0000-0000-00005F0A0000}"/>
    <cellStyle name="Comma 4 6 4 3 2" xfId="23643" xr:uid="{FE9485B2-5CF7-4E3D-8056-B95D2390ECC6}"/>
    <cellStyle name="Comma 4 6 4 3 2 2" xfId="40537" xr:uid="{508D5A76-21B4-44FF-BAAE-9B4AD0BBED27}"/>
    <cellStyle name="Comma 4 6 4 3 3" xfId="15196" xr:uid="{C4B6739C-8FF0-4C9C-9600-CB0A9CCD37D9}"/>
    <cellStyle name="Comma 4 6 4 3 4" xfId="32090" xr:uid="{BFF17BA2-C1A1-4DB2-9554-1149DC1D6CE2}"/>
    <cellStyle name="Comma 4 6 4 4" xfId="19426" xr:uid="{65E9C025-402C-4B50-BEE1-1A3E276061D8}"/>
    <cellStyle name="Comma 4 6 4 4 2" xfId="36320" xr:uid="{A2601932-8477-41A5-A01A-F8B1E8479815}"/>
    <cellStyle name="Comma 4 6 4 5" xfId="10979" xr:uid="{9B0E0797-6673-4E62-9682-DF0B14581E56}"/>
    <cellStyle name="Comma 4 6 4 6" xfId="27873" xr:uid="{71ABB396-A6EC-4407-B84F-99D56AB74EB6}"/>
    <cellStyle name="Comma 4 6 5" xfId="1977" xr:uid="{00000000-0005-0000-0000-0000600A0000}"/>
    <cellStyle name="Comma 4 6 5 2" xfId="4206" xr:uid="{00000000-0005-0000-0000-0000610A0000}"/>
    <cellStyle name="Comma 4 6 5 2 2" xfId="8428" xr:uid="{00000000-0005-0000-0000-0000620A0000}"/>
    <cellStyle name="Comma 4 6 5 2 2 2" xfId="26201" xr:uid="{657B1E31-4F43-44D8-A1C6-1081F78DB61C}"/>
    <cellStyle name="Comma 4 6 5 2 2 2 2" xfId="43095" xr:uid="{A3DFB796-C14C-476C-91CB-2A53A120DDFF}"/>
    <cellStyle name="Comma 4 6 5 2 2 3" xfId="17754" xr:uid="{183FC35B-26BB-4675-A639-C5BAD7494B19}"/>
    <cellStyle name="Comma 4 6 5 2 2 4" xfId="34648" xr:uid="{B8C2BC40-7157-4138-949C-E3AD8FFC0651}"/>
    <cellStyle name="Comma 4 6 5 2 3" xfId="21984" xr:uid="{055D1F32-5F28-4BF7-BB78-6C039C21390F}"/>
    <cellStyle name="Comma 4 6 5 2 3 2" xfId="38878" xr:uid="{2AD7201B-478E-418B-8423-866159550F70}"/>
    <cellStyle name="Comma 4 6 5 2 4" xfId="13537" xr:uid="{5F4CAF59-4C77-4F18-AF85-744F2DC9E1E5}"/>
    <cellStyle name="Comma 4 6 5 2 5" xfId="30431" xr:uid="{BA32C8AD-6579-49E8-8562-D8710BBC2A49}"/>
    <cellStyle name="Comma 4 6 5 3" xfId="6283" xr:uid="{00000000-0005-0000-0000-0000630A0000}"/>
    <cellStyle name="Comma 4 6 5 3 2" xfId="24056" xr:uid="{9883D10C-3D91-4F2B-B9A1-C5FD013CF5C4}"/>
    <cellStyle name="Comma 4 6 5 3 2 2" xfId="40950" xr:uid="{363D9FBA-FDB8-4A5A-86EA-3C8754FFD3A5}"/>
    <cellStyle name="Comma 4 6 5 3 3" xfId="15609" xr:uid="{68E15831-F4DB-4275-912F-0B04B855D78E}"/>
    <cellStyle name="Comma 4 6 5 3 4" xfId="32503" xr:uid="{244E564A-1A13-405D-97B4-CE29C1F0DCB0}"/>
    <cellStyle name="Comma 4 6 5 4" xfId="19839" xr:uid="{66E51061-F870-4EE1-89B4-B5907CE2AF92}"/>
    <cellStyle name="Comma 4 6 5 4 2" xfId="36733" xr:uid="{16188F3A-9680-4285-B620-AF8B1C2BBAB9}"/>
    <cellStyle name="Comma 4 6 5 5" xfId="11392" xr:uid="{BB26ED82-16EA-4E5B-B5CA-34EC6B10C01A}"/>
    <cellStyle name="Comma 4 6 5 6" xfId="28286" xr:uid="{A6524AC0-7483-4B30-88A3-017F22030B51}"/>
    <cellStyle name="Comma 4 6 6" xfId="2412" xr:uid="{00000000-0005-0000-0000-0000640A0000}"/>
    <cellStyle name="Comma 4 6 6 2" xfId="6696" xr:uid="{00000000-0005-0000-0000-0000650A0000}"/>
    <cellStyle name="Comma 4 6 6 2 2" xfId="24469" xr:uid="{D50D6EE5-9ECF-489A-9D6D-A0AC3F7C0C02}"/>
    <cellStyle name="Comma 4 6 6 2 2 2" xfId="41363" xr:uid="{59E90A19-7529-43C6-B2B2-ACB1A62599DF}"/>
    <cellStyle name="Comma 4 6 6 2 3" xfId="16022" xr:uid="{27457F9C-1E99-4E38-BC10-86827913E944}"/>
    <cellStyle name="Comma 4 6 6 2 4" xfId="32916" xr:uid="{A451EFB4-7CA9-45B0-BB2C-E4FB957076BD}"/>
    <cellStyle name="Comma 4 6 6 3" xfId="20252" xr:uid="{7D3E3B19-377E-40B6-811A-B19B8EB12432}"/>
    <cellStyle name="Comma 4 6 6 3 2" xfId="37146" xr:uid="{4ACC5ED1-AF0B-4E7B-B862-8F92A77380D1}"/>
    <cellStyle name="Comma 4 6 6 4" xfId="11805" xr:uid="{75C37DBC-080A-4739-9580-1E637F48E2EA}"/>
    <cellStyle name="Comma 4 6 6 5" xfId="28699" xr:uid="{3A4EA786-A943-4C03-BB4A-D772FEB1CA98}"/>
    <cellStyle name="Comma 4 6 7" xfId="2708" xr:uid="{00000000-0005-0000-0000-0000660A0000}"/>
    <cellStyle name="Comma 4 6 8" xfId="2790" xr:uid="{00000000-0005-0000-0000-0000670A0000}"/>
    <cellStyle name="Comma 4 6 8 2" xfId="7013" xr:uid="{00000000-0005-0000-0000-0000680A0000}"/>
    <cellStyle name="Comma 4 6 8 2 2" xfId="24786" xr:uid="{EBE0CB50-6B8E-4FC3-9CF3-585ADB0FF8B1}"/>
    <cellStyle name="Comma 4 6 8 2 2 2" xfId="41680" xr:uid="{CEA947F7-9288-4E3C-9835-ED65BA291578}"/>
    <cellStyle name="Comma 4 6 8 2 3" xfId="16339" xr:uid="{58475E35-51CC-4952-BF63-73888ECCAD59}"/>
    <cellStyle name="Comma 4 6 8 2 4" xfId="33233" xr:uid="{09D9737B-F765-42FE-8883-311457B37CAA}"/>
    <cellStyle name="Comma 4 6 8 3" xfId="20569" xr:uid="{44A44711-3B6B-4C18-A793-3944448F4FF8}"/>
    <cellStyle name="Comma 4 6 8 3 2" xfId="37463" xr:uid="{DDC6CE01-E077-4B1C-AA31-0E172476CC9D}"/>
    <cellStyle name="Comma 4 6 8 4" xfId="12122" xr:uid="{9E0EA11D-1CFE-4990-8FDC-6726BAB79E7B}"/>
    <cellStyle name="Comma 4 6 8 5" xfId="29016" xr:uid="{EAA9197A-C3AE-4994-AF0A-BBD1E7A80886}"/>
    <cellStyle name="Comma 4 6 9" xfId="4630" xr:uid="{00000000-0005-0000-0000-0000690A0000}"/>
    <cellStyle name="Comma 4 6 9 2" xfId="22403" xr:uid="{77F752FF-3D49-41FC-961D-D6DE1A7D2EB6}"/>
    <cellStyle name="Comma 4 6 9 2 2" xfId="39297" xr:uid="{8B43CDEA-6E8B-45F8-9C6E-2B4E07431DA6}"/>
    <cellStyle name="Comma 4 6 9 3" xfId="13956" xr:uid="{C612A518-42FC-4D6D-A74D-03203A2499E9}"/>
    <cellStyle name="Comma 4 6 9 4" xfId="30850" xr:uid="{1953A5E7-36B4-4DE8-9458-00DA81D3AA05}"/>
    <cellStyle name="Comma 4 7" xfId="160" xr:uid="{00000000-0005-0000-0000-00006A0A0000}"/>
    <cellStyle name="Comma 4 7 10" xfId="9168" xr:uid="{C5EF0C72-87BD-43A9-8A23-92F9D9423F50}"/>
    <cellStyle name="Comma 4 7 10 2" xfId="18187" xr:uid="{D24DFD71-13EE-424A-B7E6-40C206DEDC0C}"/>
    <cellStyle name="Comma 4 7 10 3" xfId="35081" xr:uid="{AC560C30-AAE9-4367-B79C-B2295F3D6F2C}"/>
    <cellStyle name="Comma 4 7 11" xfId="9740" xr:uid="{F399E841-8635-45BF-8CC2-6C91D431DBA0}"/>
    <cellStyle name="Comma 4 7 12" xfId="26634" xr:uid="{C60C6E10-A977-451B-8823-1581518E4B43}"/>
    <cellStyle name="Comma 4 7 2" xfId="697" xr:uid="{00000000-0005-0000-0000-00006B0A0000}"/>
    <cellStyle name="Comma 4 7 2 2" xfId="2968" xr:uid="{00000000-0005-0000-0000-00006C0A0000}"/>
    <cellStyle name="Comma 4 7 2 2 2" xfId="7190" xr:uid="{00000000-0005-0000-0000-00006D0A0000}"/>
    <cellStyle name="Comma 4 7 2 2 2 2" xfId="24963" xr:uid="{413EDCB4-2C48-4BBD-8467-6878174F4E2D}"/>
    <cellStyle name="Comma 4 7 2 2 2 2 2" xfId="41857" xr:uid="{F786A202-77B1-4506-A5CF-F57AB78D1CAE}"/>
    <cellStyle name="Comma 4 7 2 2 2 3" xfId="16516" xr:uid="{CF21B2DA-6889-4A26-AFCB-490F28E1FBCF}"/>
    <cellStyle name="Comma 4 7 2 2 2 4" xfId="33410" xr:uid="{F122533A-098C-4106-A430-5EFE068C6FE0}"/>
    <cellStyle name="Comma 4 7 2 2 3" xfId="20746" xr:uid="{F40E381F-ACF9-4850-9CD7-694D425C88BF}"/>
    <cellStyle name="Comma 4 7 2 2 3 2" xfId="37640" xr:uid="{9F6F0B4F-1494-483A-A6BC-4EDCDAA6FF93}"/>
    <cellStyle name="Comma 4 7 2 2 4" xfId="12299" xr:uid="{36EF0774-9B79-4306-A879-8DC10558AC8D}"/>
    <cellStyle name="Comma 4 7 2 2 5" xfId="29193" xr:uid="{ADB57EDB-5CD1-4323-8E21-19284ED9747A}"/>
    <cellStyle name="Comma 4 7 2 3" xfId="5045" xr:uid="{00000000-0005-0000-0000-00006E0A0000}"/>
    <cellStyle name="Comma 4 7 2 3 2" xfId="22818" xr:uid="{EB3089CB-9645-4575-991B-CB2F112575FE}"/>
    <cellStyle name="Comma 4 7 2 3 2 2" xfId="39712" xr:uid="{EBCA5C97-FDE8-4A55-9D30-4B5D2ACDC54F}"/>
    <cellStyle name="Comma 4 7 2 3 3" xfId="14371" xr:uid="{2C61889A-6B46-4370-BB94-4C7B27D10FC3}"/>
    <cellStyle name="Comma 4 7 2 3 4" xfId="31265" xr:uid="{73CD1A60-65BE-4E19-9D9E-C6A6E5AEAF01}"/>
    <cellStyle name="Comma 4 7 2 4" xfId="9596" xr:uid="{F4A1C070-02C1-4F2A-89F2-15465D9BEBB2}"/>
    <cellStyle name="Comma 4 7 2 4 2" xfId="18601" xr:uid="{2335D8A3-67BC-44A0-8E33-FA63E0E03925}"/>
    <cellStyle name="Comma 4 7 2 4 3" xfId="35495" xr:uid="{03CD7BD6-8DB2-49B6-B9C0-486A7081AE2B}"/>
    <cellStyle name="Comma 4 7 2 5" xfId="10154" xr:uid="{76DD8B3A-BEA5-4FCF-A171-D0C2C855EE29}"/>
    <cellStyle name="Comma 4 7 2 6" xfId="27048" xr:uid="{99E15ACC-C7B1-4865-B221-70019AF23E50}"/>
    <cellStyle name="Comma 4 7 3" xfId="1150" xr:uid="{00000000-0005-0000-0000-00006F0A0000}"/>
    <cellStyle name="Comma 4 7 3 2" xfId="3381" xr:uid="{00000000-0005-0000-0000-0000700A0000}"/>
    <cellStyle name="Comma 4 7 3 2 2" xfId="7603" xr:uid="{00000000-0005-0000-0000-0000710A0000}"/>
    <cellStyle name="Comma 4 7 3 2 2 2" xfId="25376" xr:uid="{D81B3DD8-2F2D-4246-ACAC-B5B3FA9BAF0C}"/>
    <cellStyle name="Comma 4 7 3 2 2 2 2" xfId="42270" xr:uid="{1670183F-79F3-4651-AB71-EB778219E1BE}"/>
    <cellStyle name="Comma 4 7 3 2 2 3" xfId="16929" xr:uid="{38C98BD4-879B-4632-97F4-0E599729A198}"/>
    <cellStyle name="Comma 4 7 3 2 2 4" xfId="33823" xr:uid="{EA10F89E-2733-408C-AC98-32D8FADDCE5D}"/>
    <cellStyle name="Comma 4 7 3 2 3" xfId="21159" xr:uid="{949F7C1E-1C70-4A47-837B-38111BAB6FFB}"/>
    <cellStyle name="Comma 4 7 3 2 3 2" xfId="38053" xr:uid="{D795ECE0-FC20-4C64-ABFD-AF6B6D5034F9}"/>
    <cellStyle name="Comma 4 7 3 2 4" xfId="12712" xr:uid="{41420CD1-369A-452A-9C6D-58734A12F088}"/>
    <cellStyle name="Comma 4 7 3 2 5" xfId="29606" xr:uid="{31B2C742-7E99-4EFC-A158-6D1F743E5EF6}"/>
    <cellStyle name="Comma 4 7 3 3" xfId="5458" xr:uid="{00000000-0005-0000-0000-0000720A0000}"/>
    <cellStyle name="Comma 4 7 3 3 2" xfId="23231" xr:uid="{9A6182EC-D006-43C9-AF05-B9E9C1B155F7}"/>
    <cellStyle name="Comma 4 7 3 3 2 2" xfId="40125" xr:uid="{DF39EFFF-86F5-4441-A49B-19F0201E3339}"/>
    <cellStyle name="Comma 4 7 3 3 3" xfId="14784" xr:uid="{4FAA51DC-5059-4C48-8AF5-1BA2FEB783B6}"/>
    <cellStyle name="Comma 4 7 3 3 4" xfId="31678" xr:uid="{F33AA135-44A9-414E-950D-B1D01850BF38}"/>
    <cellStyle name="Comma 4 7 3 4" xfId="19014" xr:uid="{967487C9-71F1-4128-B50E-4F1007A79AAE}"/>
    <cellStyle name="Comma 4 7 3 4 2" xfId="35908" xr:uid="{C1406D81-68A6-4D3F-8E80-A0038DE23849}"/>
    <cellStyle name="Comma 4 7 3 5" xfId="10567" xr:uid="{36A23551-093D-4498-9184-999754F821FA}"/>
    <cellStyle name="Comma 4 7 3 6" xfId="27461" xr:uid="{2B52D8FF-7F15-4117-A120-2C1B8597E5C7}"/>
    <cellStyle name="Comma 4 7 4" xfId="1564" xr:uid="{00000000-0005-0000-0000-0000730A0000}"/>
    <cellStyle name="Comma 4 7 4 2" xfId="3794" xr:uid="{00000000-0005-0000-0000-0000740A0000}"/>
    <cellStyle name="Comma 4 7 4 2 2" xfId="8016" xr:uid="{00000000-0005-0000-0000-0000750A0000}"/>
    <cellStyle name="Comma 4 7 4 2 2 2" xfId="25789" xr:uid="{C3DDF44D-D555-431F-A7B7-41D2E360F8FB}"/>
    <cellStyle name="Comma 4 7 4 2 2 2 2" xfId="42683" xr:uid="{50A24DE7-8325-40BC-A21B-EB5E490FF879}"/>
    <cellStyle name="Comma 4 7 4 2 2 3" xfId="17342" xr:uid="{97FD1BEC-BA74-4E5A-B555-90FA3DBB61B8}"/>
    <cellStyle name="Comma 4 7 4 2 2 4" xfId="34236" xr:uid="{B5DBB910-6E26-4D1F-AD60-89F8C0387BDB}"/>
    <cellStyle name="Comma 4 7 4 2 3" xfId="21572" xr:uid="{E3A1C05C-B972-4C91-9780-EBCE2784E807}"/>
    <cellStyle name="Comma 4 7 4 2 3 2" xfId="38466" xr:uid="{B407E609-0FB4-4CE9-8817-48515532D5A4}"/>
    <cellStyle name="Comma 4 7 4 2 4" xfId="13125" xr:uid="{0F4DCE41-E00B-4F8D-8CD0-4321CD75692D}"/>
    <cellStyle name="Comma 4 7 4 2 5" xfId="30019" xr:uid="{CFF59E8C-3CE8-4B51-803E-CA222627B5B4}"/>
    <cellStyle name="Comma 4 7 4 3" xfId="5871" xr:uid="{00000000-0005-0000-0000-0000760A0000}"/>
    <cellStyle name="Comma 4 7 4 3 2" xfId="23644" xr:uid="{2274A8EF-99A5-43D8-8BDD-F0D7EDE1B533}"/>
    <cellStyle name="Comma 4 7 4 3 2 2" xfId="40538" xr:uid="{64E6299B-8FFF-4D6B-A9DC-8433A7D92504}"/>
    <cellStyle name="Comma 4 7 4 3 3" xfId="15197" xr:uid="{2F75EB89-8957-48C7-AAB4-8CFBE3610CC5}"/>
    <cellStyle name="Comma 4 7 4 3 4" xfId="32091" xr:uid="{12E342BE-2CD0-48B3-BEA3-A54835CC6164}"/>
    <cellStyle name="Comma 4 7 4 4" xfId="19427" xr:uid="{BFB280DF-8FB0-4681-AF74-5D4A5D62D3F6}"/>
    <cellStyle name="Comma 4 7 4 4 2" xfId="36321" xr:uid="{285A9B4F-09EE-42BC-9514-E1C2D2218602}"/>
    <cellStyle name="Comma 4 7 4 5" xfId="10980" xr:uid="{AC9220A3-8E3F-4EA0-8A2B-8EA5F43B987E}"/>
    <cellStyle name="Comma 4 7 4 6" xfId="27874" xr:uid="{D35A891C-BF9C-45FA-9CAA-7B3952538C4F}"/>
    <cellStyle name="Comma 4 7 5" xfId="1978" xr:uid="{00000000-0005-0000-0000-0000770A0000}"/>
    <cellStyle name="Comma 4 7 5 2" xfId="4207" xr:uid="{00000000-0005-0000-0000-0000780A0000}"/>
    <cellStyle name="Comma 4 7 5 2 2" xfId="8429" xr:uid="{00000000-0005-0000-0000-0000790A0000}"/>
    <cellStyle name="Comma 4 7 5 2 2 2" xfId="26202" xr:uid="{8FC7510A-B1BD-4DFB-A241-0CF9E1871ECF}"/>
    <cellStyle name="Comma 4 7 5 2 2 2 2" xfId="43096" xr:uid="{0D742FC5-EF5F-478B-9930-21F05F5F14FC}"/>
    <cellStyle name="Comma 4 7 5 2 2 3" xfId="17755" xr:uid="{DB583EFC-CC1D-4FE6-9894-F8941D54E62C}"/>
    <cellStyle name="Comma 4 7 5 2 2 4" xfId="34649" xr:uid="{90475E26-8E86-4756-AF54-2C583DF9EEF7}"/>
    <cellStyle name="Comma 4 7 5 2 3" xfId="21985" xr:uid="{A7785D3E-96DD-4458-8275-29A4BE315378}"/>
    <cellStyle name="Comma 4 7 5 2 3 2" xfId="38879" xr:uid="{7639D533-EE81-4DC7-A1D7-C28385E071B6}"/>
    <cellStyle name="Comma 4 7 5 2 4" xfId="13538" xr:uid="{B28989D3-680A-4157-9CE7-8B860387079C}"/>
    <cellStyle name="Comma 4 7 5 2 5" xfId="30432" xr:uid="{D202BD57-F5CE-4161-AEA8-62CA2B3087F0}"/>
    <cellStyle name="Comma 4 7 5 3" xfId="6284" xr:uid="{00000000-0005-0000-0000-00007A0A0000}"/>
    <cellStyle name="Comma 4 7 5 3 2" xfId="24057" xr:uid="{70C1A52D-8385-4EF0-85DE-B8B8596C1EAA}"/>
    <cellStyle name="Comma 4 7 5 3 2 2" xfId="40951" xr:uid="{F9D1436F-8612-4E7D-A78F-097D354DDF40}"/>
    <cellStyle name="Comma 4 7 5 3 3" xfId="15610" xr:uid="{AB847AAF-5834-4251-AED4-B76279C38CCA}"/>
    <cellStyle name="Comma 4 7 5 3 4" xfId="32504" xr:uid="{BCB05556-9A50-41C0-94AB-C63F6F7311FE}"/>
    <cellStyle name="Comma 4 7 5 4" xfId="19840" xr:uid="{4B304ABD-6C43-4547-B4A7-A2D13F9FCAC0}"/>
    <cellStyle name="Comma 4 7 5 4 2" xfId="36734" xr:uid="{F337D884-3EF0-4657-8FDD-B3081DFCA2EA}"/>
    <cellStyle name="Comma 4 7 5 5" xfId="11393" xr:uid="{BC147BD7-5FC3-4371-A040-358A133A4E29}"/>
    <cellStyle name="Comma 4 7 5 6" xfId="28287" xr:uid="{B8A0A132-01FF-45F3-93E0-BF5288FB59AE}"/>
    <cellStyle name="Comma 4 7 6" xfId="2413" xr:uid="{00000000-0005-0000-0000-00007B0A0000}"/>
    <cellStyle name="Comma 4 7 6 2" xfId="6697" xr:uid="{00000000-0005-0000-0000-00007C0A0000}"/>
    <cellStyle name="Comma 4 7 6 2 2" xfId="24470" xr:uid="{4BF05776-49F0-4159-AA0A-C472AFE87DB4}"/>
    <cellStyle name="Comma 4 7 6 2 2 2" xfId="41364" xr:uid="{2EFAE5C9-E94A-4191-90A3-3278FFE0256E}"/>
    <cellStyle name="Comma 4 7 6 2 3" xfId="16023" xr:uid="{A4EDE81A-2CE4-48CF-9BE1-84C27B379BC8}"/>
    <cellStyle name="Comma 4 7 6 2 4" xfId="32917" xr:uid="{A66C35BD-2410-4E4A-AD9B-86250DCEEF79}"/>
    <cellStyle name="Comma 4 7 6 3" xfId="20253" xr:uid="{88D3E07F-0DFF-47CA-928E-5546359EB7D6}"/>
    <cellStyle name="Comma 4 7 6 3 2" xfId="37147" xr:uid="{5A564CE4-2087-4971-AFCB-7B344619C9D2}"/>
    <cellStyle name="Comma 4 7 6 4" xfId="11806" xr:uid="{3780296B-9AFA-49C5-ABFF-50E5213007F0}"/>
    <cellStyle name="Comma 4 7 6 5" xfId="28700" xr:uid="{24FC7676-A5B8-457B-8B41-329B5ACEBB5A}"/>
    <cellStyle name="Comma 4 7 7" xfId="2709" xr:uid="{00000000-0005-0000-0000-00007D0A0000}"/>
    <cellStyle name="Comma 4 7 8" xfId="2791" xr:uid="{00000000-0005-0000-0000-00007E0A0000}"/>
    <cellStyle name="Comma 4 7 8 2" xfId="7014" xr:uid="{00000000-0005-0000-0000-00007F0A0000}"/>
    <cellStyle name="Comma 4 7 8 2 2" xfId="24787" xr:uid="{23E7973B-C159-48AD-843D-E43C5F4AA5E6}"/>
    <cellStyle name="Comma 4 7 8 2 2 2" xfId="41681" xr:uid="{0F24A47E-6459-43C2-AF8A-424879EF0B24}"/>
    <cellStyle name="Comma 4 7 8 2 3" xfId="16340" xr:uid="{133DE897-FCC0-4AB1-A0F5-DF8B46B26B89}"/>
    <cellStyle name="Comma 4 7 8 2 4" xfId="33234" xr:uid="{A6394A05-C9B3-4AE8-BD77-7FA419774B86}"/>
    <cellStyle name="Comma 4 7 8 3" xfId="20570" xr:uid="{F5A74432-B19C-4036-96FC-63E4EE6F2451}"/>
    <cellStyle name="Comma 4 7 8 3 2" xfId="37464" xr:uid="{1565FA9F-9BB2-49FF-A2BF-D716F4FE5071}"/>
    <cellStyle name="Comma 4 7 8 4" xfId="12123" xr:uid="{6DB557DB-2005-463F-8B5E-47E3F0CD29D0}"/>
    <cellStyle name="Comma 4 7 8 5" xfId="29017" xr:uid="{7BC26D57-3686-40DE-A045-A48D48585B22}"/>
    <cellStyle name="Comma 4 7 9" xfId="4631" xr:uid="{00000000-0005-0000-0000-0000800A0000}"/>
    <cellStyle name="Comma 4 7 9 2" xfId="22404" xr:uid="{17801AA3-99CE-4324-A69E-5C1BBE42DF0A}"/>
    <cellStyle name="Comma 4 7 9 2 2" xfId="39298" xr:uid="{A2DC5C10-BC26-41B0-A7EC-EEBF22BF8594}"/>
    <cellStyle name="Comma 4 7 9 3" xfId="13957" xr:uid="{9ECB694F-4122-4241-B10C-A372E8368BFA}"/>
    <cellStyle name="Comma 4 7 9 4" xfId="30851" xr:uid="{08AB24D8-47EE-4249-98C7-CD4E4B1BF677}"/>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2 2" xfId="22272" xr:uid="{740B7B47-1FCB-4039-838A-B944F004575E}"/>
    <cellStyle name="Comma 7 2 3" xfId="39166" xr:uid="{AE893341-438F-4490-8F5D-E7822D6033A5}"/>
    <cellStyle name="Comma 7 3" xfId="9589" xr:uid="{E5FB568C-33F4-49EE-BE6E-4022B43BCBB9}"/>
    <cellStyle name="Comma 7 4" xfId="13825" xr:uid="{F3A9DE01-EFF6-4CBB-983A-BE354ED22715}"/>
    <cellStyle name="Comma 7 5" xfId="30719" xr:uid="{810C540C-17EC-4996-BABB-2EFF2F7C2250}"/>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2 2" xfId="26489" xr:uid="{98250E0C-4256-458F-9E36-A5B2B42349BC}"/>
    <cellStyle name="Currency 14 2 2 2" xfId="43383" xr:uid="{0549590F-FAE8-4705-99FF-D4E469B1E9E1}"/>
    <cellStyle name="Currency 14 2 3" xfId="18042" xr:uid="{D6724E37-FB05-42DA-9BB7-C744887578C9}"/>
    <cellStyle name="Currency 14 2 4" xfId="34936" xr:uid="{ED3B787C-DF79-456D-B458-AD9DFB59D127}"/>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14 3 2 2 2 2 2 2" xfId="26505" xr:uid="{22194790-FE4B-4877-9012-A23A2F89E6FA}"/>
    <cellStyle name="Currency 14 3 2 2 2 2 2 3" xfId="43399" xr:uid="{A2989DDC-6177-47B9-9E9E-58EE07D6BA85}"/>
    <cellStyle name="Currency 14 3 2 2 2 2 3" xfId="18058" xr:uid="{9AAA1671-68CD-4411-BDF0-BD59D02D3400}"/>
    <cellStyle name="Currency 14 3 2 2 2 2 4" xfId="34952" xr:uid="{EFC6F62D-1BA4-440F-A8A6-324ED1CB3E26}"/>
    <cellStyle name="Currency 14 3 2 2 2 3" xfId="26502" xr:uid="{6B3DE862-B55C-41C8-BD4E-D78B4E4E8887}"/>
    <cellStyle name="Currency 14 3 2 2 2 3 2" xfId="43396" xr:uid="{AAC5460B-2EC7-4457-BA48-A64A214B5E01}"/>
    <cellStyle name="Currency 14 3 2 2 2 4" xfId="18055" xr:uid="{1529054A-3A38-4CF8-8C84-A3B8FEC093A3}"/>
    <cellStyle name="Currency 14 3 2 2 2 5" xfId="34949" xr:uid="{F2E5D3FA-6C32-4888-9BA1-FF863DCEB647}"/>
    <cellStyle name="Currency 14 3 2 2 3" xfId="26498" xr:uid="{77D7E3ED-5284-42A0-970F-01D1FD539744}"/>
    <cellStyle name="Currency 14 3 2 2 3 2" xfId="43392" xr:uid="{C922F85F-BE8F-4837-88F7-D2F38AEB9D47}"/>
    <cellStyle name="Currency 14 3 2 2 4" xfId="18051" xr:uid="{189056E1-3F83-4A20-81B7-784EBCEF72B5}"/>
    <cellStyle name="Currency 14 3 2 2 5" xfId="34945" xr:uid="{BF5B9E5D-90FE-40D1-8FDE-9257C7D84D0F}"/>
    <cellStyle name="Currency 14 3 2 3" xfId="26495" xr:uid="{D6C24A79-A4A4-434C-8196-530F1F8A185C}"/>
    <cellStyle name="Currency 14 3 2 3 2" xfId="43389" xr:uid="{4C6B7261-A470-4764-A382-26D774045E66}"/>
    <cellStyle name="Currency 14 3 2 4" xfId="18048" xr:uid="{6A86C854-9FC1-4848-9745-A45CB077B9CD}"/>
    <cellStyle name="Currency 14 3 2 5" xfId="34942" xr:uid="{F54137AD-9F32-4F0A-B2F0-0E2AED3C9F91}"/>
    <cellStyle name="Currency 14 3 3" xfId="26492" xr:uid="{0A9BAAF7-8E52-4028-829B-92581A074E16}"/>
    <cellStyle name="Currency 14 3 3 2" xfId="43386" xr:uid="{CACD6EF3-E1A4-4379-81A4-6E55DD4296BF}"/>
    <cellStyle name="Currency 14 3 4" xfId="18045" xr:uid="{8BD38198-3585-410D-AFFA-060DD68C9CA0}"/>
    <cellStyle name="Currency 14 3 5" xfId="34939" xr:uid="{C12CA13C-5FD2-4E58-B596-B3F2C4FF1AD0}"/>
    <cellStyle name="Currency 14 4" xfId="22275" xr:uid="{92842957-F922-494C-B9A2-276D72C5FF27}"/>
    <cellStyle name="Currency 14 4 2" xfId="39169" xr:uid="{F7EB5145-22BE-4022-BAAB-CB2BC24553BC}"/>
    <cellStyle name="Currency 14 5" xfId="13828" xr:uid="{18CE3F4F-13C8-4ACD-860F-21918663C483}"/>
    <cellStyle name="Currency 14 6" xfId="30722" xr:uid="{26DDF049-F7E7-4EE4-B588-3A8E440019B7}"/>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0 2 2" xfId="24788" xr:uid="{813B28C6-E8AD-4664-A302-9FC96E8F93FE}"/>
    <cellStyle name="Currency 3 2 2 10 2 2 2" xfId="41682" xr:uid="{1AF5676C-AA38-48A7-A6A6-71D0CC257F3C}"/>
    <cellStyle name="Currency 3 2 2 10 2 3" xfId="16341" xr:uid="{70BC4632-B2FD-4660-9A47-BCD1F09BB5B2}"/>
    <cellStyle name="Currency 3 2 2 10 2 4" xfId="33235" xr:uid="{D1F2A069-D607-4584-92D4-1254CC52A5C9}"/>
    <cellStyle name="Currency 3 2 2 10 3" xfId="20571" xr:uid="{DEDB2040-0513-423C-9EA2-48914D3EA840}"/>
    <cellStyle name="Currency 3 2 2 10 3 2" xfId="37465" xr:uid="{C3CEC7B7-8554-4194-AE7C-E9B985789D2E}"/>
    <cellStyle name="Currency 3 2 2 10 4" xfId="12124" xr:uid="{956FAA19-FEA5-4851-9382-54B1E52A8FAB}"/>
    <cellStyle name="Currency 3 2 2 10 5" xfId="29018" xr:uid="{BAACDDF9-5046-4680-982E-8F7240525A32}"/>
    <cellStyle name="Currency 3 2 2 11" xfId="4632" xr:uid="{00000000-0005-0000-0000-0000A50A0000}"/>
    <cellStyle name="Currency 3 2 2 11 2" xfId="22405" xr:uid="{8D70BCC9-540E-4A77-AF39-AABB5F43F9D3}"/>
    <cellStyle name="Currency 3 2 2 11 2 2" xfId="39299" xr:uid="{A0427631-F837-4534-9D27-EB1CBC899B00}"/>
    <cellStyle name="Currency 3 2 2 11 3" xfId="13958" xr:uid="{21629DD2-E20F-4F35-82DA-74B57144FA8E}"/>
    <cellStyle name="Currency 3 2 2 11 4" xfId="30852" xr:uid="{F70C20AF-C4B5-47A8-89BA-C2C24C4AAE72}"/>
    <cellStyle name="Currency 3 2 2 12" xfId="8808" xr:uid="{5CD24693-181E-456A-9199-DC057509AC96}"/>
    <cellStyle name="Currency 3 2 2 12 2" xfId="18188" xr:uid="{F8023094-7896-4F2F-8682-30E636A81F92}"/>
    <cellStyle name="Currency 3 2 2 12 3" xfId="35082" xr:uid="{8736AC17-342B-4F1A-873D-1475B19F33C1}"/>
    <cellStyle name="Currency 3 2 2 13" xfId="9741" xr:uid="{9A943258-715C-4F6E-BDA6-235A246D0AB2}"/>
    <cellStyle name="Currency 3 2 2 14" xfId="26635" xr:uid="{A9EE8EFF-65B0-417A-992E-DA3B2F8528AE}"/>
    <cellStyle name="Currency 3 2 2 2" xfId="179" xr:uid="{00000000-0005-0000-0000-0000A60A0000}"/>
    <cellStyle name="Currency 3 2 2 2 10" xfId="4633" xr:uid="{00000000-0005-0000-0000-0000A70A0000}"/>
    <cellStyle name="Currency 3 2 2 2 10 2" xfId="22406" xr:uid="{FB5AC606-7FF7-4D6E-A6C6-3F090C6962B1}"/>
    <cellStyle name="Currency 3 2 2 2 10 2 2" xfId="39300" xr:uid="{B5D4A526-44FB-4E56-AD38-71CF21940C39}"/>
    <cellStyle name="Currency 3 2 2 2 10 3" xfId="13959" xr:uid="{1DDB0EE7-BF64-486B-A7EC-2A715B034A99}"/>
    <cellStyle name="Currency 3 2 2 2 10 4" xfId="30853" xr:uid="{6823942A-7A50-4D2E-8D77-F476BCC8E837}"/>
    <cellStyle name="Currency 3 2 2 2 11" xfId="8911" xr:uid="{177A45F7-B130-49DA-829A-AA3BF41B848C}"/>
    <cellStyle name="Currency 3 2 2 2 11 2" xfId="18189" xr:uid="{A46BD68C-01AD-462F-959F-E01447F8B1E2}"/>
    <cellStyle name="Currency 3 2 2 2 11 3" xfId="35083" xr:uid="{063D6824-B8A0-42A5-9709-62BE27F33710}"/>
    <cellStyle name="Currency 3 2 2 2 12" xfId="9742" xr:uid="{13E090D6-1FE5-4C08-A7B5-9E0232F48F50}"/>
    <cellStyle name="Currency 3 2 2 2 13" xfId="26636" xr:uid="{05AB982B-88C0-48CF-B887-862BDCD5007A}"/>
    <cellStyle name="Currency 3 2 2 2 2" xfId="180" xr:uid="{00000000-0005-0000-0000-0000A80A0000}"/>
    <cellStyle name="Currency 3 2 2 2 2 10" xfId="9118" xr:uid="{4DDBDF88-B997-49F5-AF34-322CC93508E5}"/>
    <cellStyle name="Currency 3 2 2 2 2 10 2" xfId="18190" xr:uid="{A497BF6D-1F65-4F4B-B9CE-70917BE6234B}"/>
    <cellStyle name="Currency 3 2 2 2 2 10 3" xfId="35084" xr:uid="{C277D299-1810-41CA-BCEF-C5F2B2075D69}"/>
    <cellStyle name="Currency 3 2 2 2 2 11" xfId="9743" xr:uid="{DB962321-295A-499C-B443-6F90A54B1EAE}"/>
    <cellStyle name="Currency 3 2 2 2 2 12" xfId="26637" xr:uid="{A6556E64-EC60-4F1E-80B6-3F1576986A9C}"/>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2 2 2" xfId="24966" xr:uid="{6C660E6C-E265-4699-8660-98AA28D640EF}"/>
    <cellStyle name="Currency 3 2 2 2 2 2 2 2 2 2" xfId="41860" xr:uid="{47A726BE-5158-4919-A0A9-2225596332F4}"/>
    <cellStyle name="Currency 3 2 2 2 2 2 2 2 3" xfId="16519" xr:uid="{529FC60D-B42F-4359-800F-00C6C9488F66}"/>
    <cellStyle name="Currency 3 2 2 2 2 2 2 2 4" xfId="33413" xr:uid="{FDD11D93-48CE-431A-967B-EED4D0AA306A}"/>
    <cellStyle name="Currency 3 2 2 2 2 2 2 3" xfId="20749" xr:uid="{3C263696-B445-4896-956C-8DAE95CE5ABC}"/>
    <cellStyle name="Currency 3 2 2 2 2 2 2 3 2" xfId="37643" xr:uid="{01558E0A-8BED-4F5E-8F78-6F3D5DC847D6}"/>
    <cellStyle name="Currency 3 2 2 2 2 2 2 4" xfId="12302" xr:uid="{6CD62946-85D3-43C7-B98C-3D6C53A3D904}"/>
    <cellStyle name="Currency 3 2 2 2 2 2 2 5" xfId="29196" xr:uid="{7E2AC028-D1D6-4C88-A3DA-D7C501E1F0F2}"/>
    <cellStyle name="Currency 3 2 2 2 2 2 3" xfId="5048" xr:uid="{00000000-0005-0000-0000-0000AC0A0000}"/>
    <cellStyle name="Currency 3 2 2 2 2 2 3 2" xfId="22821" xr:uid="{1C27EDF2-DFEB-4A84-B141-C3B0B0A0E7E0}"/>
    <cellStyle name="Currency 3 2 2 2 2 2 3 2 2" xfId="39715" xr:uid="{BF462264-1C20-40A6-B044-6165D260B50B}"/>
    <cellStyle name="Currency 3 2 2 2 2 2 3 3" xfId="14374" xr:uid="{D718D6FC-FE65-4EE9-B767-C4A076AAA92A}"/>
    <cellStyle name="Currency 3 2 2 2 2 2 3 4" xfId="31268" xr:uid="{53C71AF0-1A6B-4809-AE1B-2A9FC60E2F70}"/>
    <cellStyle name="Currency 3 2 2 2 2 2 4" xfId="9543" xr:uid="{08990697-BAC1-4B06-A86B-C554A35267E6}"/>
    <cellStyle name="Currency 3 2 2 2 2 2 4 2" xfId="18604" xr:uid="{610898FA-14B2-4B04-80BE-838C38518439}"/>
    <cellStyle name="Currency 3 2 2 2 2 2 4 3" xfId="35498" xr:uid="{69DAE970-E204-4C78-BB7F-E574B1A495F4}"/>
    <cellStyle name="Currency 3 2 2 2 2 2 5" xfId="10157" xr:uid="{F95902D7-0605-42CE-A684-419050B7ED0A}"/>
    <cellStyle name="Currency 3 2 2 2 2 2 6" xfId="27051" xr:uid="{564DDBBD-E30D-44C4-ADB9-981D5AB11F7B}"/>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2 2 2" xfId="25379" xr:uid="{CD7E955F-52C0-4CF3-97AF-4A1D80BF8BD7}"/>
    <cellStyle name="Currency 3 2 2 2 2 3 2 2 2 2" xfId="42273" xr:uid="{41A85DCF-72A9-4910-AEC1-EFAE80E75051}"/>
    <cellStyle name="Currency 3 2 2 2 2 3 2 2 3" xfId="16932" xr:uid="{8A6BA923-BCC2-4E1F-BB28-559F0216B323}"/>
    <cellStyle name="Currency 3 2 2 2 2 3 2 2 4" xfId="33826" xr:uid="{D5A587F3-65BD-4115-A110-9591EB007F48}"/>
    <cellStyle name="Currency 3 2 2 2 2 3 2 3" xfId="21162" xr:uid="{CEF4E309-A60F-4C65-9754-449C53D7CCD0}"/>
    <cellStyle name="Currency 3 2 2 2 2 3 2 3 2" xfId="38056" xr:uid="{42B32640-93E3-4992-9F7C-6587E31D7A3E}"/>
    <cellStyle name="Currency 3 2 2 2 2 3 2 4" xfId="12715" xr:uid="{EFBE1898-5546-4BA0-B8F6-D762113BF188}"/>
    <cellStyle name="Currency 3 2 2 2 2 3 2 5" xfId="29609" xr:uid="{FFF045D0-3BBF-4BCF-8712-0EBEEF5D151D}"/>
    <cellStyle name="Currency 3 2 2 2 2 3 3" xfId="5461" xr:uid="{00000000-0005-0000-0000-0000B00A0000}"/>
    <cellStyle name="Currency 3 2 2 2 2 3 3 2" xfId="23234" xr:uid="{573D435B-544E-483F-AEF5-BCE380CCACB9}"/>
    <cellStyle name="Currency 3 2 2 2 2 3 3 2 2" xfId="40128" xr:uid="{403121DB-4052-4AC9-9071-0F9D4D4F2E58}"/>
    <cellStyle name="Currency 3 2 2 2 2 3 3 3" xfId="14787" xr:uid="{2695A505-114C-4E95-BDC8-D2E782B938DB}"/>
    <cellStyle name="Currency 3 2 2 2 2 3 3 4" xfId="31681" xr:uid="{40F78E35-4090-41BE-9BFF-D6C836341580}"/>
    <cellStyle name="Currency 3 2 2 2 2 3 4" xfId="19017" xr:uid="{E6ECCE9B-EA3E-4322-8734-5A857C0D3D2F}"/>
    <cellStyle name="Currency 3 2 2 2 2 3 4 2" xfId="35911" xr:uid="{E76CD521-3408-4225-80F1-AF4B562A944F}"/>
    <cellStyle name="Currency 3 2 2 2 2 3 5" xfId="10570" xr:uid="{D3EA32AD-B30B-48B5-A85D-087B9C7357E3}"/>
    <cellStyle name="Currency 3 2 2 2 2 3 6" xfId="27464" xr:uid="{925B29B9-BB16-480E-8E07-C04E54CD38D3}"/>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2 2 2" xfId="25792" xr:uid="{E1E97D67-3ACF-4B81-9F81-75A41A303706}"/>
    <cellStyle name="Currency 3 2 2 2 2 4 2 2 2 2" xfId="42686" xr:uid="{7B46F84D-D3A5-449E-BE1A-B24795BB969E}"/>
    <cellStyle name="Currency 3 2 2 2 2 4 2 2 3" xfId="17345" xr:uid="{108C0B45-82F8-4F2E-AEEF-40A828E664D4}"/>
    <cellStyle name="Currency 3 2 2 2 2 4 2 2 4" xfId="34239" xr:uid="{D1DD2E59-F2BB-48F0-BC32-3FB5B67FEFC7}"/>
    <cellStyle name="Currency 3 2 2 2 2 4 2 3" xfId="21575" xr:uid="{0E010ABE-F87E-4BFD-9819-C1881DEAA1C1}"/>
    <cellStyle name="Currency 3 2 2 2 2 4 2 3 2" xfId="38469" xr:uid="{5734F68E-6D4D-498C-9B2A-CD8049E66404}"/>
    <cellStyle name="Currency 3 2 2 2 2 4 2 4" xfId="13128" xr:uid="{687C2CD1-D8CA-4755-AFD2-C7761E88CF4C}"/>
    <cellStyle name="Currency 3 2 2 2 2 4 2 5" xfId="30022" xr:uid="{09A99867-0552-424E-9AE0-1280D3883D61}"/>
    <cellStyle name="Currency 3 2 2 2 2 4 3" xfId="5874" xr:uid="{00000000-0005-0000-0000-0000B40A0000}"/>
    <cellStyle name="Currency 3 2 2 2 2 4 3 2" xfId="23647" xr:uid="{5C0B0C1D-D3CF-4045-8194-8B8193E62F1F}"/>
    <cellStyle name="Currency 3 2 2 2 2 4 3 2 2" xfId="40541" xr:uid="{3EDE3DA3-11E7-4BE2-B3EC-175DBF272A53}"/>
    <cellStyle name="Currency 3 2 2 2 2 4 3 3" xfId="15200" xr:uid="{0772EC86-1F95-42C5-A038-2901B5557078}"/>
    <cellStyle name="Currency 3 2 2 2 2 4 3 4" xfId="32094" xr:uid="{3EB35B0B-0DEC-4FC9-9CAB-46300520A58E}"/>
    <cellStyle name="Currency 3 2 2 2 2 4 4" xfId="19430" xr:uid="{6BA23D76-73F1-4D16-95E0-D44A0CE11293}"/>
    <cellStyle name="Currency 3 2 2 2 2 4 4 2" xfId="36324" xr:uid="{F1E3017C-CAAA-42DB-8204-B1EA91C8FE1A}"/>
    <cellStyle name="Currency 3 2 2 2 2 4 5" xfId="10983" xr:uid="{A9A6F3BB-49DE-44C5-B8A4-CBDBAF9C452D}"/>
    <cellStyle name="Currency 3 2 2 2 2 4 6" xfId="27877" xr:uid="{BD139801-EBE0-47A0-82DD-B445B8A525B6}"/>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2 2 2" xfId="26205" xr:uid="{8BCA2D8F-D526-44F8-B0A4-4EABDD8C6CA6}"/>
    <cellStyle name="Currency 3 2 2 2 2 5 2 2 2 2" xfId="43099" xr:uid="{A08375D4-FCAE-4A44-9337-2F9AD90252CC}"/>
    <cellStyle name="Currency 3 2 2 2 2 5 2 2 3" xfId="17758" xr:uid="{C07F5CB0-9A53-458A-8E1B-24280089BCC0}"/>
    <cellStyle name="Currency 3 2 2 2 2 5 2 2 4" xfId="34652" xr:uid="{FAF957AF-FE07-43AF-8404-0B1A9EA8EAB8}"/>
    <cellStyle name="Currency 3 2 2 2 2 5 2 3" xfId="21988" xr:uid="{746E5091-5F5C-451D-A427-FB6B5A40D990}"/>
    <cellStyle name="Currency 3 2 2 2 2 5 2 3 2" xfId="38882" xr:uid="{201B8258-B2FA-47CA-A065-A6B1120ADC0E}"/>
    <cellStyle name="Currency 3 2 2 2 2 5 2 4" xfId="13541" xr:uid="{5C8698B8-2A8B-4582-8F42-9C44BD432DD9}"/>
    <cellStyle name="Currency 3 2 2 2 2 5 2 5" xfId="30435" xr:uid="{17BEDED1-A657-4A87-8C68-60BDA8C6F163}"/>
    <cellStyle name="Currency 3 2 2 2 2 5 3" xfId="6287" xr:uid="{00000000-0005-0000-0000-0000B80A0000}"/>
    <cellStyle name="Currency 3 2 2 2 2 5 3 2" xfId="24060" xr:uid="{3C93CE17-F7B9-40F5-9582-3390A29C4726}"/>
    <cellStyle name="Currency 3 2 2 2 2 5 3 2 2" xfId="40954" xr:uid="{8A04AB5A-363B-4691-A088-E8F363EC8B26}"/>
    <cellStyle name="Currency 3 2 2 2 2 5 3 3" xfId="15613" xr:uid="{B5117519-9D6A-4079-A43E-8708AB5B5C54}"/>
    <cellStyle name="Currency 3 2 2 2 2 5 3 4" xfId="32507" xr:uid="{5EBD6F8B-492F-4453-ACD4-63C9331E058B}"/>
    <cellStyle name="Currency 3 2 2 2 2 5 4" xfId="19843" xr:uid="{B02F5A73-AAFA-4BD2-9782-C7F6F487F939}"/>
    <cellStyle name="Currency 3 2 2 2 2 5 4 2" xfId="36737" xr:uid="{73D1BC3C-C099-4136-94BD-44A06DD77CA6}"/>
    <cellStyle name="Currency 3 2 2 2 2 5 5" xfId="11396" xr:uid="{CCE33B71-7645-43BE-88B9-9F0E35F407FC}"/>
    <cellStyle name="Currency 3 2 2 2 2 5 6" xfId="28290" xr:uid="{2AFF238C-6EA9-4AF7-8352-329D45A1DE8B}"/>
    <cellStyle name="Currency 3 2 2 2 2 6" xfId="2416" xr:uid="{00000000-0005-0000-0000-0000B90A0000}"/>
    <cellStyle name="Currency 3 2 2 2 2 6 2" xfId="6700" xr:uid="{00000000-0005-0000-0000-0000BA0A0000}"/>
    <cellStyle name="Currency 3 2 2 2 2 6 2 2" xfId="24473" xr:uid="{DD5A308C-BC8E-4FE2-8012-9D078C86F0D4}"/>
    <cellStyle name="Currency 3 2 2 2 2 6 2 2 2" xfId="41367" xr:uid="{E87876B0-28D0-47EF-A994-FF33CBBDE2CE}"/>
    <cellStyle name="Currency 3 2 2 2 2 6 2 3" xfId="16026" xr:uid="{2254D0B3-DEE1-4ABD-8AD9-7BA09CDF0BFF}"/>
    <cellStyle name="Currency 3 2 2 2 2 6 2 4" xfId="32920" xr:uid="{BACB2EA5-3737-45EF-AE44-AE81C033FDC9}"/>
    <cellStyle name="Currency 3 2 2 2 2 6 3" xfId="20256" xr:uid="{973FC274-859C-4C40-A30A-3BDFBD75406E}"/>
    <cellStyle name="Currency 3 2 2 2 2 6 3 2" xfId="37150" xr:uid="{A4560D65-6FC1-4347-A00B-3577B1D60CDF}"/>
    <cellStyle name="Currency 3 2 2 2 2 6 4" xfId="11809" xr:uid="{8447D655-08B3-439A-8213-901C5F59CE6C}"/>
    <cellStyle name="Currency 3 2 2 2 2 6 5" xfId="28703" xr:uid="{9799AA9C-8CF0-49FF-843F-6E78332AFA4E}"/>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8 2 2" xfId="24790" xr:uid="{9AF880D4-8259-40BE-A3AE-65BBBE9234DE}"/>
    <cellStyle name="Currency 3 2 2 2 2 8 2 2 2" xfId="41684" xr:uid="{07F4472B-DE82-46B2-8D41-407C1F678FD4}"/>
    <cellStyle name="Currency 3 2 2 2 2 8 2 3" xfId="16343" xr:uid="{91C5CAF4-CC7F-405A-959D-1648C202CC00}"/>
    <cellStyle name="Currency 3 2 2 2 2 8 2 4" xfId="33237" xr:uid="{AB97D21E-6EEC-4E21-B62A-A27DECAAB19C}"/>
    <cellStyle name="Currency 3 2 2 2 2 8 3" xfId="20573" xr:uid="{5A3E914C-3E3D-41BF-BBE8-1F7E29AC67C8}"/>
    <cellStyle name="Currency 3 2 2 2 2 8 3 2" xfId="37467" xr:uid="{B1ECE962-C036-4494-821B-44218CEA50EE}"/>
    <cellStyle name="Currency 3 2 2 2 2 8 4" xfId="12126" xr:uid="{AF3FE6BB-4934-408B-8928-5754F1196B9A}"/>
    <cellStyle name="Currency 3 2 2 2 2 8 5" xfId="29020" xr:uid="{B2DC5BFD-D95A-4205-85FE-E5EC4E8194E5}"/>
    <cellStyle name="Currency 3 2 2 2 2 9" xfId="4634" xr:uid="{00000000-0005-0000-0000-0000BE0A0000}"/>
    <cellStyle name="Currency 3 2 2 2 2 9 2" xfId="22407" xr:uid="{53852779-58A5-44C5-AA2C-3BB0618D3B48}"/>
    <cellStyle name="Currency 3 2 2 2 2 9 2 2" xfId="39301" xr:uid="{B80DCE0A-5E33-4771-B20C-95FA7EAB8FB1}"/>
    <cellStyle name="Currency 3 2 2 2 2 9 3" xfId="13960" xr:uid="{9D552A7F-FDE6-47BC-A3FF-83C1C6CDCBE8}"/>
    <cellStyle name="Currency 3 2 2 2 2 9 4" xfId="30854" xr:uid="{AD04C0BC-9D44-4B25-8AAE-20A58F73E63A}"/>
    <cellStyle name="Currency 3 2 2 2 3" xfId="709" xr:uid="{00000000-0005-0000-0000-0000BF0A0000}"/>
    <cellStyle name="Currency 3 2 2 2 3 2" xfId="2970" xr:uid="{00000000-0005-0000-0000-0000C00A0000}"/>
    <cellStyle name="Currency 3 2 2 2 3 2 2" xfId="7192" xr:uid="{00000000-0005-0000-0000-0000C10A0000}"/>
    <cellStyle name="Currency 3 2 2 2 3 2 2 2" xfId="24965" xr:uid="{DF57E8C7-07F5-4D9D-A7AE-EB4609A3BCCB}"/>
    <cellStyle name="Currency 3 2 2 2 3 2 2 2 2" xfId="41859" xr:uid="{4DD540C7-FCFF-499C-9803-8C089373908E}"/>
    <cellStyle name="Currency 3 2 2 2 3 2 2 3" xfId="16518" xr:uid="{B02416AF-05BD-4211-AE7A-41CFC2DDF8D9}"/>
    <cellStyle name="Currency 3 2 2 2 3 2 2 4" xfId="33412" xr:uid="{73986033-A926-49EB-B984-2B3149D494B9}"/>
    <cellStyle name="Currency 3 2 2 2 3 2 3" xfId="20748" xr:uid="{4A4BB90D-C6A4-44FB-B91F-9DBD4CB6DA69}"/>
    <cellStyle name="Currency 3 2 2 2 3 2 3 2" xfId="37642" xr:uid="{4FA69C44-13DD-43F1-B795-2458FE8414A4}"/>
    <cellStyle name="Currency 3 2 2 2 3 2 4" xfId="12301" xr:uid="{B0E626BD-5C36-4A9A-8CF4-D7FAD2FF3346}"/>
    <cellStyle name="Currency 3 2 2 2 3 2 5" xfId="29195" xr:uid="{BB3ADF12-7475-47A1-A1AD-C9B51F9AC0B0}"/>
    <cellStyle name="Currency 3 2 2 2 3 3" xfId="5047" xr:uid="{00000000-0005-0000-0000-0000C20A0000}"/>
    <cellStyle name="Currency 3 2 2 2 3 3 2" xfId="22820" xr:uid="{60215BDD-4E34-4D3B-BB18-7A75D4CC6786}"/>
    <cellStyle name="Currency 3 2 2 2 3 3 2 2" xfId="39714" xr:uid="{244AC7F3-C317-4A3B-8F44-595098482489}"/>
    <cellStyle name="Currency 3 2 2 2 3 3 3" xfId="14373" xr:uid="{737AD740-1D97-4955-974D-8246B9DA6BD9}"/>
    <cellStyle name="Currency 3 2 2 2 3 3 4" xfId="31267" xr:uid="{F3B7BB06-470F-4BF1-BD16-83A752254017}"/>
    <cellStyle name="Currency 3 2 2 2 3 4" xfId="9336" xr:uid="{F86D5454-A503-484B-B8F3-81FF219E49D0}"/>
    <cellStyle name="Currency 3 2 2 2 3 4 2" xfId="18603" xr:uid="{55E972E6-0FD5-43DF-8215-D90A30541472}"/>
    <cellStyle name="Currency 3 2 2 2 3 4 3" xfId="35497" xr:uid="{A1D65C79-CA9B-4809-82CA-9913C3203037}"/>
    <cellStyle name="Currency 3 2 2 2 3 5" xfId="10156" xr:uid="{CB70919C-46F1-4D56-8163-5EEB47417B1C}"/>
    <cellStyle name="Currency 3 2 2 2 3 6" xfId="27050" xr:uid="{C5BA43F3-0B2A-43D3-BEB5-8E1EC777F1AC}"/>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2 2 2" xfId="25378" xr:uid="{564F8343-71B9-4282-B211-CE85751E1F40}"/>
    <cellStyle name="Currency 3 2 2 2 4 2 2 2 2" xfId="42272" xr:uid="{0C1B1F18-ABB0-466A-98AB-51FEA1911956}"/>
    <cellStyle name="Currency 3 2 2 2 4 2 2 3" xfId="16931" xr:uid="{C884C00F-EC81-4977-82B0-3B466FCA3E47}"/>
    <cellStyle name="Currency 3 2 2 2 4 2 2 4" xfId="33825" xr:uid="{628E0DBA-F185-4EED-B7F3-80510ECC210A}"/>
    <cellStyle name="Currency 3 2 2 2 4 2 3" xfId="21161" xr:uid="{4B5E5FAD-D79A-48D6-8487-F085866535B0}"/>
    <cellStyle name="Currency 3 2 2 2 4 2 3 2" xfId="38055" xr:uid="{A8D32FCA-43F5-4286-B49C-54CAC77C910D}"/>
    <cellStyle name="Currency 3 2 2 2 4 2 4" xfId="12714" xr:uid="{ADD26C23-A64E-49AB-B4F6-75DDE015A73A}"/>
    <cellStyle name="Currency 3 2 2 2 4 2 5" xfId="29608" xr:uid="{832DC392-9196-4471-A392-8C0604443436}"/>
    <cellStyle name="Currency 3 2 2 2 4 3" xfId="5460" xr:uid="{00000000-0005-0000-0000-0000C60A0000}"/>
    <cellStyle name="Currency 3 2 2 2 4 3 2" xfId="23233" xr:uid="{36EAA44D-0093-4D95-BA0A-A49D09D32F2B}"/>
    <cellStyle name="Currency 3 2 2 2 4 3 2 2" xfId="40127" xr:uid="{70E18179-75D1-415C-91AA-82AAF221F1D1}"/>
    <cellStyle name="Currency 3 2 2 2 4 3 3" xfId="14786" xr:uid="{F0F5FBBF-68A0-4909-8936-DB0CA31BF531}"/>
    <cellStyle name="Currency 3 2 2 2 4 3 4" xfId="31680" xr:uid="{BD44FCBF-AAE0-4769-90B3-D2355EF3C92A}"/>
    <cellStyle name="Currency 3 2 2 2 4 4" xfId="19016" xr:uid="{7A5FCF5D-9B98-4F2B-841E-E6BA0B92D163}"/>
    <cellStyle name="Currency 3 2 2 2 4 4 2" xfId="35910" xr:uid="{DF17A85C-9568-4CC2-B92B-13344736E070}"/>
    <cellStyle name="Currency 3 2 2 2 4 5" xfId="10569" xr:uid="{AC866AB0-4096-47A0-B867-547910429994}"/>
    <cellStyle name="Currency 3 2 2 2 4 6" xfId="27463" xr:uid="{E70C5E86-9101-4A3D-A548-7614577BB15A}"/>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2 2 2" xfId="25791" xr:uid="{E22DCADD-7DF0-4BA0-AED3-373197D2B262}"/>
    <cellStyle name="Currency 3 2 2 2 5 2 2 2 2" xfId="42685" xr:uid="{4B562911-6B5A-4E96-BB29-2F65DB343838}"/>
    <cellStyle name="Currency 3 2 2 2 5 2 2 3" xfId="17344" xr:uid="{0DF6440D-E19B-4578-BB04-D414203D637B}"/>
    <cellStyle name="Currency 3 2 2 2 5 2 2 4" xfId="34238" xr:uid="{08E5D617-4DFC-49EA-920D-E547075D454D}"/>
    <cellStyle name="Currency 3 2 2 2 5 2 3" xfId="21574" xr:uid="{C1D6E622-973B-4524-910C-365FF7E4BAEC}"/>
    <cellStyle name="Currency 3 2 2 2 5 2 3 2" xfId="38468" xr:uid="{C66391AD-8880-47AE-BE77-BEE3E1FC5D60}"/>
    <cellStyle name="Currency 3 2 2 2 5 2 4" xfId="13127" xr:uid="{1CE5AA7B-6705-448C-B13D-1E0F0910E2A6}"/>
    <cellStyle name="Currency 3 2 2 2 5 2 5" xfId="30021" xr:uid="{531E9DFE-1D31-4771-B323-9CEB2085F510}"/>
    <cellStyle name="Currency 3 2 2 2 5 3" xfId="5873" xr:uid="{00000000-0005-0000-0000-0000CA0A0000}"/>
    <cellStyle name="Currency 3 2 2 2 5 3 2" xfId="23646" xr:uid="{6B6457B6-1CAB-452A-BC1D-59C45FBEDEE0}"/>
    <cellStyle name="Currency 3 2 2 2 5 3 2 2" xfId="40540" xr:uid="{9A29AB82-D96B-4E13-A7DE-2104841DFFAB}"/>
    <cellStyle name="Currency 3 2 2 2 5 3 3" xfId="15199" xr:uid="{8B8C5E71-4FC4-452F-B145-8666210143CE}"/>
    <cellStyle name="Currency 3 2 2 2 5 3 4" xfId="32093" xr:uid="{7E90964C-689C-4E9A-A0AE-27965DB6B289}"/>
    <cellStyle name="Currency 3 2 2 2 5 4" xfId="19429" xr:uid="{8E577DC8-508F-4519-98F6-50B615A80B10}"/>
    <cellStyle name="Currency 3 2 2 2 5 4 2" xfId="36323" xr:uid="{EFEB6850-5150-4290-9698-03E0F5768C7B}"/>
    <cellStyle name="Currency 3 2 2 2 5 5" xfId="10982" xr:uid="{13CDBCE0-75FE-4998-A946-7AE5B4259D56}"/>
    <cellStyle name="Currency 3 2 2 2 5 6" xfId="27876" xr:uid="{E51C3A93-3E38-4A5E-A835-1EC6A06B052D}"/>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2 2 2" xfId="26204" xr:uid="{BF4A2666-375A-4C21-8B5A-FD1D8B679A8C}"/>
    <cellStyle name="Currency 3 2 2 2 6 2 2 2 2" xfId="43098" xr:uid="{692ECFC7-7A41-440B-83CE-670391EEC236}"/>
    <cellStyle name="Currency 3 2 2 2 6 2 2 3" xfId="17757" xr:uid="{C09B6E92-31D5-4E45-9166-2E4F97D4AE31}"/>
    <cellStyle name="Currency 3 2 2 2 6 2 2 4" xfId="34651" xr:uid="{6F1CFA33-08A0-42F5-B3CB-9D14939EF611}"/>
    <cellStyle name="Currency 3 2 2 2 6 2 3" xfId="21987" xr:uid="{E28C6A42-15BD-4E51-9A77-0742816712AE}"/>
    <cellStyle name="Currency 3 2 2 2 6 2 3 2" xfId="38881" xr:uid="{F3B17C19-ED23-49DF-8FB1-E647098E8767}"/>
    <cellStyle name="Currency 3 2 2 2 6 2 4" xfId="13540" xr:uid="{637732A0-9E9D-431A-B67F-39FECEBF1722}"/>
    <cellStyle name="Currency 3 2 2 2 6 2 5" xfId="30434" xr:uid="{6F1D88CC-D2EF-4FC2-8DA5-6983997098B1}"/>
    <cellStyle name="Currency 3 2 2 2 6 3" xfId="6286" xr:uid="{00000000-0005-0000-0000-0000CE0A0000}"/>
    <cellStyle name="Currency 3 2 2 2 6 3 2" xfId="24059" xr:uid="{EF043A26-5AB6-4ED0-881A-8B8C73055472}"/>
    <cellStyle name="Currency 3 2 2 2 6 3 2 2" xfId="40953" xr:uid="{256C9E3B-EE80-47A9-9461-DB0727B9B46D}"/>
    <cellStyle name="Currency 3 2 2 2 6 3 3" xfId="15612" xr:uid="{7488D7AD-AC13-45DD-94E2-C62B936354E3}"/>
    <cellStyle name="Currency 3 2 2 2 6 3 4" xfId="32506" xr:uid="{FB987361-913A-4111-AD75-9DF4C5A6AED0}"/>
    <cellStyle name="Currency 3 2 2 2 6 4" xfId="19842" xr:uid="{407DB3EE-F8C0-44FC-A38B-A9CFE6701EBA}"/>
    <cellStyle name="Currency 3 2 2 2 6 4 2" xfId="36736" xr:uid="{5604125B-EDB5-4B51-B84B-07A5ED3EC353}"/>
    <cellStyle name="Currency 3 2 2 2 6 5" xfId="11395" xr:uid="{0F65CF8E-77AA-4468-B169-9149F90F78E7}"/>
    <cellStyle name="Currency 3 2 2 2 6 6" xfId="28289" xr:uid="{81D7F585-F90E-4428-B597-545D6B57C11B}"/>
    <cellStyle name="Currency 3 2 2 2 7" xfId="2415" xr:uid="{00000000-0005-0000-0000-0000CF0A0000}"/>
    <cellStyle name="Currency 3 2 2 2 7 2" xfId="6699" xr:uid="{00000000-0005-0000-0000-0000D00A0000}"/>
    <cellStyle name="Currency 3 2 2 2 7 2 2" xfId="24472" xr:uid="{0AB146BE-CF11-48F3-A1C8-9583D72EC20F}"/>
    <cellStyle name="Currency 3 2 2 2 7 2 2 2" xfId="41366" xr:uid="{702CF895-17BB-43FB-85C0-E45E4DBBCFB3}"/>
    <cellStyle name="Currency 3 2 2 2 7 2 3" xfId="16025" xr:uid="{C5866475-1832-47CD-ADE1-B3A189EAAEBF}"/>
    <cellStyle name="Currency 3 2 2 2 7 2 4" xfId="32919" xr:uid="{4A640E63-4336-47D8-8AAB-646F900171C5}"/>
    <cellStyle name="Currency 3 2 2 2 7 3" xfId="20255" xr:uid="{2DE35F7F-74E0-4C19-BA4D-02B180377DF8}"/>
    <cellStyle name="Currency 3 2 2 2 7 3 2" xfId="37149" xr:uid="{C0AEA2BA-9937-43D6-82CF-1404139333AD}"/>
    <cellStyle name="Currency 3 2 2 2 7 4" xfId="11808" xr:uid="{81136C61-BFED-4032-9B34-3B25DDA239C3}"/>
    <cellStyle name="Currency 3 2 2 2 7 5" xfId="28702" xr:uid="{7DBEE1CB-1016-44F9-B6C4-473A5770762C}"/>
    <cellStyle name="Currency 3 2 2 2 8" xfId="2712" xr:uid="{00000000-0005-0000-0000-0000D10A0000}"/>
    <cellStyle name="Currency 3 2 2 2 9" xfId="2793" xr:uid="{00000000-0005-0000-0000-0000D20A0000}"/>
    <cellStyle name="Currency 3 2 2 2 9 2" xfId="7016" xr:uid="{00000000-0005-0000-0000-0000D30A0000}"/>
    <cellStyle name="Currency 3 2 2 2 9 2 2" xfId="24789" xr:uid="{369378BA-FAED-402E-A912-5D1675CF6E95}"/>
    <cellStyle name="Currency 3 2 2 2 9 2 2 2" xfId="41683" xr:uid="{B9EEAFD4-724C-4D60-B66B-22CDDD3FC57A}"/>
    <cellStyle name="Currency 3 2 2 2 9 2 3" xfId="16342" xr:uid="{93340DA3-FCAD-4100-802A-83A008F38BC4}"/>
    <cellStyle name="Currency 3 2 2 2 9 2 4" xfId="33236" xr:uid="{33F2931E-7D3E-4D43-9D4D-7F88A56EEB34}"/>
    <cellStyle name="Currency 3 2 2 2 9 3" xfId="20572" xr:uid="{D9B19328-99CC-434C-97F7-20BCC60F2194}"/>
    <cellStyle name="Currency 3 2 2 2 9 3 2" xfId="37466" xr:uid="{6CF9FE18-7430-4650-BEAD-E729FE12A768}"/>
    <cellStyle name="Currency 3 2 2 2 9 4" xfId="12125" xr:uid="{93200E2E-3295-4CCB-813E-BF6D43BD824C}"/>
    <cellStyle name="Currency 3 2 2 2 9 5" xfId="29019" xr:uid="{6C33B732-18FF-473E-975D-4CF595D0A9D5}"/>
    <cellStyle name="Currency 3 2 2 3" xfId="181" xr:uid="{00000000-0005-0000-0000-0000D40A0000}"/>
    <cellStyle name="Currency 3 2 2 3 10" xfId="9015" xr:uid="{A1C3FAFC-6FB9-45C5-A279-C90E61794A63}"/>
    <cellStyle name="Currency 3 2 2 3 10 2" xfId="18191" xr:uid="{908740D3-1BBE-4902-8EBF-B04C545BB152}"/>
    <cellStyle name="Currency 3 2 2 3 10 3" xfId="35085" xr:uid="{1D0B1130-3FA3-41AA-B988-B07E568E2AAE}"/>
    <cellStyle name="Currency 3 2 2 3 11" xfId="9744" xr:uid="{2C0A10F3-6C93-41A9-B08A-C66EA93DE1E5}"/>
    <cellStyle name="Currency 3 2 2 3 12" xfId="26638" xr:uid="{2BD76089-C1A0-4366-9DF5-FCEBD3BA0F70}"/>
    <cellStyle name="Currency 3 2 2 3 2" xfId="711" xr:uid="{00000000-0005-0000-0000-0000D50A0000}"/>
    <cellStyle name="Currency 3 2 2 3 2 2" xfId="2972" xr:uid="{00000000-0005-0000-0000-0000D60A0000}"/>
    <cellStyle name="Currency 3 2 2 3 2 2 2" xfId="7194" xr:uid="{00000000-0005-0000-0000-0000D70A0000}"/>
    <cellStyle name="Currency 3 2 2 3 2 2 2 2" xfId="24967" xr:uid="{D72B374E-3AD7-48A5-8242-EC0553502042}"/>
    <cellStyle name="Currency 3 2 2 3 2 2 2 2 2" xfId="41861" xr:uid="{BF0FF985-508E-4AA5-9268-A8CC957AB3DC}"/>
    <cellStyle name="Currency 3 2 2 3 2 2 2 3" xfId="16520" xr:uid="{E697515C-88D1-4A10-9A79-83D13292FA1D}"/>
    <cellStyle name="Currency 3 2 2 3 2 2 2 4" xfId="33414" xr:uid="{EA872B54-E8F3-4BB4-A4C2-D0559213FF19}"/>
    <cellStyle name="Currency 3 2 2 3 2 2 3" xfId="20750" xr:uid="{F40A59A3-7EBF-42E6-BAF4-53CBF2AAD858}"/>
    <cellStyle name="Currency 3 2 2 3 2 2 3 2" xfId="37644" xr:uid="{18B04024-D877-438F-AC13-D6B055C64448}"/>
    <cellStyle name="Currency 3 2 2 3 2 2 4" xfId="12303" xr:uid="{595C7CA1-766D-4412-9753-FC1B354C91E5}"/>
    <cellStyle name="Currency 3 2 2 3 2 2 5" xfId="29197" xr:uid="{485DC371-58F8-4220-84B8-AF281509CE90}"/>
    <cellStyle name="Currency 3 2 2 3 2 3" xfId="5049" xr:uid="{00000000-0005-0000-0000-0000D80A0000}"/>
    <cellStyle name="Currency 3 2 2 3 2 3 2" xfId="22822" xr:uid="{B9F0D57C-494F-4614-9FA1-E54E8ECCD2D5}"/>
    <cellStyle name="Currency 3 2 2 3 2 3 2 2" xfId="39716" xr:uid="{76467EC4-9A58-44E6-A615-70A323A0D19F}"/>
    <cellStyle name="Currency 3 2 2 3 2 3 3" xfId="14375" xr:uid="{BEC12CFB-B5C3-42BF-95ED-B7F7A5757AC5}"/>
    <cellStyle name="Currency 3 2 2 3 2 3 4" xfId="31269" xr:uid="{E2D84437-4ABA-49E6-AE58-096FBBB5D3AC}"/>
    <cellStyle name="Currency 3 2 2 3 2 4" xfId="9440" xr:uid="{774D5512-BCA5-4224-A909-3336A63369C8}"/>
    <cellStyle name="Currency 3 2 2 3 2 4 2" xfId="18605" xr:uid="{AFAC6F3C-B0BE-4353-9116-3DDD13550B51}"/>
    <cellStyle name="Currency 3 2 2 3 2 4 3" xfId="35499" xr:uid="{1A583195-DD81-48C7-97A4-A920780C3051}"/>
    <cellStyle name="Currency 3 2 2 3 2 5" xfId="10158" xr:uid="{60EA5BA5-323F-4352-B0EA-A354F6A4A2FE}"/>
    <cellStyle name="Currency 3 2 2 3 2 6" xfId="27052" xr:uid="{C859AB19-1E1B-4105-A876-F6DCB5AB025B}"/>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2 2 2" xfId="25380" xr:uid="{002178A1-A08A-4348-A436-646CE14EB1F3}"/>
    <cellStyle name="Currency 3 2 2 3 3 2 2 2 2" xfId="42274" xr:uid="{5BF7305A-DD3B-448C-9E21-21920EECDD92}"/>
    <cellStyle name="Currency 3 2 2 3 3 2 2 3" xfId="16933" xr:uid="{16742D60-79F0-410D-80F6-934AC90B62B6}"/>
    <cellStyle name="Currency 3 2 2 3 3 2 2 4" xfId="33827" xr:uid="{03F3CF1C-4FD4-45AE-B885-78189C04FC01}"/>
    <cellStyle name="Currency 3 2 2 3 3 2 3" xfId="21163" xr:uid="{D1557B97-3206-401D-8A4A-2DA3E324C84F}"/>
    <cellStyle name="Currency 3 2 2 3 3 2 3 2" xfId="38057" xr:uid="{CF981368-2B38-44BF-A952-C9AC5BC42BFD}"/>
    <cellStyle name="Currency 3 2 2 3 3 2 4" xfId="12716" xr:uid="{A3F2C707-2104-474C-9818-DA745708974B}"/>
    <cellStyle name="Currency 3 2 2 3 3 2 5" xfId="29610" xr:uid="{10439793-F306-44AE-9671-4560C60DAA54}"/>
    <cellStyle name="Currency 3 2 2 3 3 3" xfId="5462" xr:uid="{00000000-0005-0000-0000-0000DC0A0000}"/>
    <cellStyle name="Currency 3 2 2 3 3 3 2" xfId="23235" xr:uid="{1543146A-366C-4B5F-B735-907A1D6E51F0}"/>
    <cellStyle name="Currency 3 2 2 3 3 3 2 2" xfId="40129" xr:uid="{E1F11EC6-8630-4A27-87FF-8416CCE7D1BD}"/>
    <cellStyle name="Currency 3 2 2 3 3 3 3" xfId="14788" xr:uid="{04DDC0E1-A697-41E4-940B-20187EF1285F}"/>
    <cellStyle name="Currency 3 2 2 3 3 3 4" xfId="31682" xr:uid="{0EEB4B6E-1BF0-4ADF-9127-BFEC3FD32ABE}"/>
    <cellStyle name="Currency 3 2 2 3 3 4" xfId="19018" xr:uid="{0B924F25-5487-4405-85B2-59CF70D883CB}"/>
    <cellStyle name="Currency 3 2 2 3 3 4 2" xfId="35912" xr:uid="{12F18C7A-C38F-49EF-92EE-D889C0FF7CF7}"/>
    <cellStyle name="Currency 3 2 2 3 3 5" xfId="10571" xr:uid="{1C3AA1B4-22B6-4796-B4DE-E2977F132BE1}"/>
    <cellStyle name="Currency 3 2 2 3 3 6" xfId="27465" xr:uid="{E4968E5C-844E-425A-B17E-87D8CA936ED5}"/>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2 2 2" xfId="25793" xr:uid="{294E531E-7178-4AF1-990B-44510CEBF5CF}"/>
    <cellStyle name="Currency 3 2 2 3 4 2 2 2 2" xfId="42687" xr:uid="{F4739ACF-BA65-4093-AF34-9A72144DAEF6}"/>
    <cellStyle name="Currency 3 2 2 3 4 2 2 3" xfId="17346" xr:uid="{EBA5D8FD-B5B4-4AD0-AC6E-0C70E738DF84}"/>
    <cellStyle name="Currency 3 2 2 3 4 2 2 4" xfId="34240" xr:uid="{22DDD7FB-BEC7-49D7-AD7E-4D07A042C646}"/>
    <cellStyle name="Currency 3 2 2 3 4 2 3" xfId="21576" xr:uid="{ABD9F81F-0E18-41AF-BA67-C3237B471FFB}"/>
    <cellStyle name="Currency 3 2 2 3 4 2 3 2" xfId="38470" xr:uid="{32B62A5A-C95A-46AA-8ABB-DD6D937A49F2}"/>
    <cellStyle name="Currency 3 2 2 3 4 2 4" xfId="13129" xr:uid="{BC07C8A6-860C-42F7-ABE5-2BB27E132D60}"/>
    <cellStyle name="Currency 3 2 2 3 4 2 5" xfId="30023" xr:uid="{661D3E1D-D74B-45C4-B6A9-6E56016068BB}"/>
    <cellStyle name="Currency 3 2 2 3 4 3" xfId="5875" xr:uid="{00000000-0005-0000-0000-0000E00A0000}"/>
    <cellStyle name="Currency 3 2 2 3 4 3 2" xfId="23648" xr:uid="{E0AAA840-EEC8-4881-9892-4F6C4D41E172}"/>
    <cellStyle name="Currency 3 2 2 3 4 3 2 2" xfId="40542" xr:uid="{940BD57F-E2B7-435A-8D7A-9F05038F9C83}"/>
    <cellStyle name="Currency 3 2 2 3 4 3 3" xfId="15201" xr:uid="{7C3591C4-7BAB-4AB3-8DC4-0B7E2C1C86E6}"/>
    <cellStyle name="Currency 3 2 2 3 4 3 4" xfId="32095" xr:uid="{E2A06F43-2C7D-4372-81B0-D0214F35795B}"/>
    <cellStyle name="Currency 3 2 2 3 4 4" xfId="19431" xr:uid="{93F53D16-6A23-4F06-A6F3-508F5DBC22D0}"/>
    <cellStyle name="Currency 3 2 2 3 4 4 2" xfId="36325" xr:uid="{D895D161-AA5D-44A4-9470-1085019E14A7}"/>
    <cellStyle name="Currency 3 2 2 3 4 5" xfId="10984" xr:uid="{0DF55F45-697D-4083-ACF8-99535627DC8F}"/>
    <cellStyle name="Currency 3 2 2 3 4 6" xfId="27878" xr:uid="{3FA16504-15FB-4BAD-BD3B-F3B92373FDB5}"/>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2 2 2" xfId="26206" xr:uid="{857D8435-6315-4E9C-9D51-7D183A0E0C7A}"/>
    <cellStyle name="Currency 3 2 2 3 5 2 2 2 2" xfId="43100" xr:uid="{49B0BADD-F0A6-4EBF-8979-9EC898B86F12}"/>
    <cellStyle name="Currency 3 2 2 3 5 2 2 3" xfId="17759" xr:uid="{17FA2C64-B5F4-47E4-B88F-C58DD257DE92}"/>
    <cellStyle name="Currency 3 2 2 3 5 2 2 4" xfId="34653" xr:uid="{8F368EA8-7DB4-447B-B1E1-CD9615FE1484}"/>
    <cellStyle name="Currency 3 2 2 3 5 2 3" xfId="21989" xr:uid="{E1D34A5C-B96B-4839-A329-11B9671117EB}"/>
    <cellStyle name="Currency 3 2 2 3 5 2 3 2" xfId="38883" xr:uid="{EC51B28E-EC84-4300-8AC0-4F4D437ECF5A}"/>
    <cellStyle name="Currency 3 2 2 3 5 2 4" xfId="13542" xr:uid="{2695B910-0B8E-470B-B9D4-3D102168A610}"/>
    <cellStyle name="Currency 3 2 2 3 5 2 5" xfId="30436" xr:uid="{A8568AB0-4763-4A7E-9D53-2CA05DADFB39}"/>
    <cellStyle name="Currency 3 2 2 3 5 3" xfId="6288" xr:uid="{00000000-0005-0000-0000-0000E40A0000}"/>
    <cellStyle name="Currency 3 2 2 3 5 3 2" xfId="24061" xr:uid="{8C995582-7F30-4616-89AD-213116359748}"/>
    <cellStyle name="Currency 3 2 2 3 5 3 2 2" xfId="40955" xr:uid="{E231CF05-069F-43DD-A986-3D01054FCC22}"/>
    <cellStyle name="Currency 3 2 2 3 5 3 3" xfId="15614" xr:uid="{7B5BCBDB-7A5F-42FF-B308-BE34143B5426}"/>
    <cellStyle name="Currency 3 2 2 3 5 3 4" xfId="32508" xr:uid="{CBE9A73C-3D8E-4EAB-ABD0-B6F12B5FFD8A}"/>
    <cellStyle name="Currency 3 2 2 3 5 4" xfId="19844" xr:uid="{EBC423C4-0573-4196-ABB9-78EF55D7947A}"/>
    <cellStyle name="Currency 3 2 2 3 5 4 2" xfId="36738" xr:uid="{F77D3F1E-BDAC-4E29-9595-1FAD4B1AAA6A}"/>
    <cellStyle name="Currency 3 2 2 3 5 5" xfId="11397" xr:uid="{93589AA7-8B77-477C-B493-8752E9C0E266}"/>
    <cellStyle name="Currency 3 2 2 3 5 6" xfId="28291" xr:uid="{1C9E6A35-0FB8-4022-BEF5-1F251A29F9FB}"/>
    <cellStyle name="Currency 3 2 2 3 6" xfId="2417" xr:uid="{00000000-0005-0000-0000-0000E50A0000}"/>
    <cellStyle name="Currency 3 2 2 3 6 2" xfId="6701" xr:uid="{00000000-0005-0000-0000-0000E60A0000}"/>
    <cellStyle name="Currency 3 2 2 3 6 2 2" xfId="24474" xr:uid="{FBF9ED4E-03CD-4DFC-9E3C-8C22CB1149D8}"/>
    <cellStyle name="Currency 3 2 2 3 6 2 2 2" xfId="41368" xr:uid="{7426D9B6-810F-4ADF-B023-88DEF08AE670}"/>
    <cellStyle name="Currency 3 2 2 3 6 2 3" xfId="16027" xr:uid="{AA9DEDED-AA3A-4AFD-AA7E-9EC185A00E71}"/>
    <cellStyle name="Currency 3 2 2 3 6 2 4" xfId="32921" xr:uid="{2CD7851A-F741-4F12-B863-0E1920A6BFF4}"/>
    <cellStyle name="Currency 3 2 2 3 6 3" xfId="20257" xr:uid="{AAEDD7FC-241A-495C-919E-13CE20F694EE}"/>
    <cellStyle name="Currency 3 2 2 3 6 3 2" xfId="37151" xr:uid="{A9B64048-1C82-4728-AD38-138BDDF485DE}"/>
    <cellStyle name="Currency 3 2 2 3 6 4" xfId="11810" xr:uid="{388A50C8-982C-4EAF-85C1-ECBCC6BF4D08}"/>
    <cellStyle name="Currency 3 2 2 3 6 5" xfId="28704" xr:uid="{C8581559-5A2F-4F08-A821-4CB94DA0531B}"/>
    <cellStyle name="Currency 3 2 2 3 7" xfId="2714" xr:uid="{00000000-0005-0000-0000-0000E70A0000}"/>
    <cellStyle name="Currency 3 2 2 3 8" xfId="2795" xr:uid="{00000000-0005-0000-0000-0000E80A0000}"/>
    <cellStyle name="Currency 3 2 2 3 8 2" xfId="7018" xr:uid="{00000000-0005-0000-0000-0000E90A0000}"/>
    <cellStyle name="Currency 3 2 2 3 8 2 2" xfId="24791" xr:uid="{899FE74A-0A4F-4F94-B626-046B11454EF3}"/>
    <cellStyle name="Currency 3 2 2 3 8 2 2 2" xfId="41685" xr:uid="{25C1B848-822A-44A7-A2B6-37C1A8E51DEF}"/>
    <cellStyle name="Currency 3 2 2 3 8 2 3" xfId="16344" xr:uid="{5D87B72A-FDAB-4675-9523-503509A159A2}"/>
    <cellStyle name="Currency 3 2 2 3 8 2 4" xfId="33238" xr:uid="{71928047-F497-4282-B1AD-E8E9C9D9AB3B}"/>
    <cellStyle name="Currency 3 2 2 3 8 3" xfId="20574" xr:uid="{E2BFF5EA-46ED-432A-9482-3AF10D915CF6}"/>
    <cellStyle name="Currency 3 2 2 3 8 3 2" xfId="37468" xr:uid="{DE3555AE-FC1F-4573-B7C2-0412675267C5}"/>
    <cellStyle name="Currency 3 2 2 3 8 4" xfId="12127" xr:uid="{19979191-3FA8-46AE-9359-2BD6C97A214D}"/>
    <cellStyle name="Currency 3 2 2 3 8 5" xfId="29021" xr:uid="{AB45B320-6247-4028-B9F7-BC7ECB4846D1}"/>
    <cellStyle name="Currency 3 2 2 3 9" xfId="4635" xr:uid="{00000000-0005-0000-0000-0000EA0A0000}"/>
    <cellStyle name="Currency 3 2 2 3 9 2" xfId="22408" xr:uid="{2E455BB0-AAF2-41A0-81ED-8A3197B64859}"/>
    <cellStyle name="Currency 3 2 2 3 9 2 2" xfId="39302" xr:uid="{95A97A3A-D02F-4416-80FB-59F62ECD91C8}"/>
    <cellStyle name="Currency 3 2 2 3 9 3" xfId="13961" xr:uid="{3D7F64AB-A5B1-4B38-9DA4-54176A663DF8}"/>
    <cellStyle name="Currency 3 2 2 3 9 4" xfId="30855" xr:uid="{D30F43A3-ABC3-483F-AA41-7FD8DC8D716D}"/>
    <cellStyle name="Currency 3 2 2 4" xfId="708" xr:uid="{00000000-0005-0000-0000-0000EB0A0000}"/>
    <cellStyle name="Currency 3 2 2 4 2" xfId="2969" xr:uid="{00000000-0005-0000-0000-0000EC0A0000}"/>
    <cellStyle name="Currency 3 2 2 4 2 2" xfId="7191" xr:uid="{00000000-0005-0000-0000-0000ED0A0000}"/>
    <cellStyle name="Currency 3 2 2 4 2 2 2" xfId="24964" xr:uid="{8CA1CBFB-FDBD-41F4-8720-65B86E5F585A}"/>
    <cellStyle name="Currency 3 2 2 4 2 2 2 2" xfId="41858" xr:uid="{3FD15038-8F4B-44D6-9DBF-55D9F0FA797E}"/>
    <cellStyle name="Currency 3 2 2 4 2 2 3" xfId="16517" xr:uid="{2D21769F-6EB8-43AE-807F-DFFAFD47C9E3}"/>
    <cellStyle name="Currency 3 2 2 4 2 2 4" xfId="33411" xr:uid="{C979EF87-6320-4209-A714-8C1DD06BF69F}"/>
    <cellStyle name="Currency 3 2 2 4 2 3" xfId="20747" xr:uid="{7AB6CFA6-3087-4491-920C-BD759C263270}"/>
    <cellStyle name="Currency 3 2 2 4 2 3 2" xfId="37641" xr:uid="{320595D6-AC5B-492A-911E-A62145E3FD0E}"/>
    <cellStyle name="Currency 3 2 2 4 2 4" xfId="12300" xr:uid="{4429AC73-BCAB-4D81-B508-AEA6EF7D44FE}"/>
    <cellStyle name="Currency 3 2 2 4 2 5" xfId="29194" xr:uid="{8CBA3D48-AE0A-4E0B-B989-140392CF40BF}"/>
    <cellStyle name="Currency 3 2 2 4 3" xfId="5046" xr:uid="{00000000-0005-0000-0000-0000EE0A0000}"/>
    <cellStyle name="Currency 3 2 2 4 3 2" xfId="22819" xr:uid="{10B323FF-C4D9-40F3-BFDD-9FD214A03F5C}"/>
    <cellStyle name="Currency 3 2 2 4 3 2 2" xfId="39713" xr:uid="{968E6104-3D1C-4F58-8531-B1903EA67E65}"/>
    <cellStyle name="Currency 3 2 2 4 3 3" xfId="14372" xr:uid="{CA5B4F5F-A476-4915-88A9-A3D4E0FDA63A}"/>
    <cellStyle name="Currency 3 2 2 4 3 4" xfId="31266" xr:uid="{908F07AF-CEC1-4E73-8E67-F1C556A72DED}"/>
    <cellStyle name="Currency 3 2 2 4 4" xfId="9233" xr:uid="{A90843BF-65B1-48E5-9C93-A2651D7B4B13}"/>
    <cellStyle name="Currency 3 2 2 4 4 2" xfId="18602" xr:uid="{89BFAB4E-6A5E-4A4D-83F4-23FE0CF820A6}"/>
    <cellStyle name="Currency 3 2 2 4 4 3" xfId="35496" xr:uid="{3B019CAB-5707-4A3B-94CD-B15FAF967A4F}"/>
    <cellStyle name="Currency 3 2 2 4 5" xfId="10155" xr:uid="{C5CFA66D-195C-46FB-ABF3-B15A27D47194}"/>
    <cellStyle name="Currency 3 2 2 4 6" xfId="27049" xr:uid="{F60D2DB2-A61F-4B53-943A-3F997CA689AB}"/>
    <cellStyle name="Currency 3 2 2 5" xfId="1151" xr:uid="{00000000-0005-0000-0000-0000EF0A0000}"/>
    <cellStyle name="Currency 3 2 2 5 2" xfId="3382" xr:uid="{00000000-0005-0000-0000-0000F00A0000}"/>
    <cellStyle name="Currency 3 2 2 5 2 2" xfId="7604" xr:uid="{00000000-0005-0000-0000-0000F10A0000}"/>
    <cellStyle name="Currency 3 2 2 5 2 2 2" xfId="25377" xr:uid="{4A4E72A0-EE92-497F-AABF-DB3C3C32180B}"/>
    <cellStyle name="Currency 3 2 2 5 2 2 2 2" xfId="42271" xr:uid="{F3E9EC52-7597-4D12-AADE-F6CD353B3414}"/>
    <cellStyle name="Currency 3 2 2 5 2 2 3" xfId="16930" xr:uid="{12ABB002-5DB1-4A8E-A0E3-FDB3AF1ABEE9}"/>
    <cellStyle name="Currency 3 2 2 5 2 2 4" xfId="33824" xr:uid="{C3FCF6B9-3F8D-4146-B639-DC52F9E6978D}"/>
    <cellStyle name="Currency 3 2 2 5 2 3" xfId="21160" xr:uid="{F01C0B2A-A3D6-40A6-B6A1-EF9CB16E6D1C}"/>
    <cellStyle name="Currency 3 2 2 5 2 3 2" xfId="38054" xr:uid="{399650A3-C84B-4143-AA9F-582266A9EC4D}"/>
    <cellStyle name="Currency 3 2 2 5 2 4" xfId="12713" xr:uid="{2A85D866-2245-437C-BFDD-95AEA8CCDB3F}"/>
    <cellStyle name="Currency 3 2 2 5 2 5" xfId="29607" xr:uid="{6FB4A38A-8A52-410B-989F-12597FFA92E6}"/>
    <cellStyle name="Currency 3 2 2 5 3" xfId="5459" xr:uid="{00000000-0005-0000-0000-0000F20A0000}"/>
    <cellStyle name="Currency 3 2 2 5 3 2" xfId="23232" xr:uid="{B76CC4B9-00EA-4D24-A15D-621D0A2D695B}"/>
    <cellStyle name="Currency 3 2 2 5 3 2 2" xfId="40126" xr:uid="{4612E59A-06BB-4B7C-B236-DDE6012238D5}"/>
    <cellStyle name="Currency 3 2 2 5 3 3" xfId="14785" xr:uid="{2CA0A1E3-D097-4264-B851-96061EC59CCB}"/>
    <cellStyle name="Currency 3 2 2 5 3 4" xfId="31679" xr:uid="{E895AB7E-F2FA-4842-956F-969A9AC88E50}"/>
    <cellStyle name="Currency 3 2 2 5 4" xfId="19015" xr:uid="{C85ACD50-920B-4495-AE4E-43E583191AF3}"/>
    <cellStyle name="Currency 3 2 2 5 4 2" xfId="35909" xr:uid="{9DD87BB9-BBDF-4C5E-851F-CF74B09BD49B}"/>
    <cellStyle name="Currency 3 2 2 5 5" xfId="10568" xr:uid="{400F9ECB-537C-497A-9608-6ED06879B345}"/>
    <cellStyle name="Currency 3 2 2 5 6" xfId="27462" xr:uid="{81948CAE-79DD-406E-9144-9067F239E6BB}"/>
    <cellStyle name="Currency 3 2 2 6" xfId="1565" xr:uid="{00000000-0005-0000-0000-0000F30A0000}"/>
    <cellStyle name="Currency 3 2 2 6 2" xfId="3795" xr:uid="{00000000-0005-0000-0000-0000F40A0000}"/>
    <cellStyle name="Currency 3 2 2 6 2 2" xfId="8017" xr:uid="{00000000-0005-0000-0000-0000F50A0000}"/>
    <cellStyle name="Currency 3 2 2 6 2 2 2" xfId="25790" xr:uid="{1D488E3F-4E57-4874-AC95-31A94CBDC2F5}"/>
    <cellStyle name="Currency 3 2 2 6 2 2 2 2" xfId="42684" xr:uid="{014C3099-F9C8-4186-A8C2-AA1B52CBE62A}"/>
    <cellStyle name="Currency 3 2 2 6 2 2 3" xfId="17343" xr:uid="{7541D358-265E-424F-8603-E54996776308}"/>
    <cellStyle name="Currency 3 2 2 6 2 2 4" xfId="34237" xr:uid="{75E4DDDE-844B-4441-B901-424D94E96E05}"/>
    <cellStyle name="Currency 3 2 2 6 2 3" xfId="21573" xr:uid="{DDD96C1A-6E94-4D6B-9CD3-31126D2D975E}"/>
    <cellStyle name="Currency 3 2 2 6 2 3 2" xfId="38467" xr:uid="{FB1BD4EB-4882-413B-B5E1-4EBD0DB7800C}"/>
    <cellStyle name="Currency 3 2 2 6 2 4" xfId="13126" xr:uid="{5426B616-C85D-4771-9A99-D065E83566CE}"/>
    <cellStyle name="Currency 3 2 2 6 2 5" xfId="30020" xr:uid="{BAEDA4F1-C780-4D5E-82A2-E41E6F4635E5}"/>
    <cellStyle name="Currency 3 2 2 6 3" xfId="5872" xr:uid="{00000000-0005-0000-0000-0000F60A0000}"/>
    <cellStyle name="Currency 3 2 2 6 3 2" xfId="23645" xr:uid="{A987266D-3363-4670-8F64-3D18053DDD56}"/>
    <cellStyle name="Currency 3 2 2 6 3 2 2" xfId="40539" xr:uid="{301C7B13-56D6-4F63-B82A-894D5CAB866F}"/>
    <cellStyle name="Currency 3 2 2 6 3 3" xfId="15198" xr:uid="{97E406D0-D0F8-4101-B292-7F80D1309C52}"/>
    <cellStyle name="Currency 3 2 2 6 3 4" xfId="32092" xr:uid="{30697FC4-BEC0-4529-9D45-2974B697B14E}"/>
    <cellStyle name="Currency 3 2 2 6 4" xfId="19428" xr:uid="{98ADE5C6-FB33-4E12-AC73-5D4CB30B958A}"/>
    <cellStyle name="Currency 3 2 2 6 4 2" xfId="36322" xr:uid="{533AC033-7CDC-442D-B9CE-C22C3CF10241}"/>
    <cellStyle name="Currency 3 2 2 6 5" xfId="10981" xr:uid="{0C85EEC0-09C6-4D92-9960-29BB265CDBD7}"/>
    <cellStyle name="Currency 3 2 2 6 6" xfId="27875" xr:uid="{45B6E7A1-E46A-4A7B-A23C-67105FCE3D93}"/>
    <cellStyle name="Currency 3 2 2 7" xfId="1979" xr:uid="{00000000-0005-0000-0000-0000F70A0000}"/>
    <cellStyle name="Currency 3 2 2 7 2" xfId="4208" xr:uid="{00000000-0005-0000-0000-0000F80A0000}"/>
    <cellStyle name="Currency 3 2 2 7 2 2" xfId="8430" xr:uid="{00000000-0005-0000-0000-0000F90A0000}"/>
    <cellStyle name="Currency 3 2 2 7 2 2 2" xfId="26203" xr:uid="{4F775866-198D-4EC3-9F67-DAD14BD1635E}"/>
    <cellStyle name="Currency 3 2 2 7 2 2 2 2" xfId="43097" xr:uid="{6ADEB67E-E061-4353-8054-8D934C707F4E}"/>
    <cellStyle name="Currency 3 2 2 7 2 2 3" xfId="17756" xr:uid="{088C534E-97C4-4921-B780-DA1DF0FCF321}"/>
    <cellStyle name="Currency 3 2 2 7 2 2 4" xfId="34650" xr:uid="{A79D906E-9A3E-47C4-BE41-0FA80ABA1050}"/>
    <cellStyle name="Currency 3 2 2 7 2 3" xfId="21986" xr:uid="{F6D31B2F-58CF-4569-8E79-A283B44D1FEC}"/>
    <cellStyle name="Currency 3 2 2 7 2 3 2" xfId="38880" xr:uid="{84DEC1A9-1764-43C8-87DC-4A096BFEDDEB}"/>
    <cellStyle name="Currency 3 2 2 7 2 4" xfId="13539" xr:uid="{4A66E91D-B166-461C-8B87-32C5CD41A708}"/>
    <cellStyle name="Currency 3 2 2 7 2 5" xfId="30433" xr:uid="{99464927-DFBE-415F-94CA-D940B991D18F}"/>
    <cellStyle name="Currency 3 2 2 7 3" xfId="6285" xr:uid="{00000000-0005-0000-0000-0000FA0A0000}"/>
    <cellStyle name="Currency 3 2 2 7 3 2" xfId="24058" xr:uid="{7FBEDE0E-890B-4D63-9316-99494C9C0A40}"/>
    <cellStyle name="Currency 3 2 2 7 3 2 2" xfId="40952" xr:uid="{2CA31CB0-E629-4849-9B2B-316FE6CA739A}"/>
    <cellStyle name="Currency 3 2 2 7 3 3" xfId="15611" xr:uid="{6BBA1249-6D39-4570-AEF5-8376DB6596DD}"/>
    <cellStyle name="Currency 3 2 2 7 3 4" xfId="32505" xr:uid="{8E42C495-8203-4C8D-94C1-A16ACCD22270}"/>
    <cellStyle name="Currency 3 2 2 7 4" xfId="19841" xr:uid="{43463293-6466-483A-BD57-96D159CBF211}"/>
    <cellStyle name="Currency 3 2 2 7 4 2" xfId="36735" xr:uid="{106AE425-B6CF-4C58-A63E-D3C37FEA19AE}"/>
    <cellStyle name="Currency 3 2 2 7 5" xfId="11394" xr:uid="{E63A3683-FFA7-483A-8601-A5F87426A43F}"/>
    <cellStyle name="Currency 3 2 2 7 6" xfId="28288" xr:uid="{D2DA7077-15B6-4C89-BDCD-4DDE21E594EA}"/>
    <cellStyle name="Currency 3 2 2 8" xfId="2414" xr:uid="{00000000-0005-0000-0000-0000FB0A0000}"/>
    <cellStyle name="Currency 3 2 2 8 2" xfId="6698" xr:uid="{00000000-0005-0000-0000-0000FC0A0000}"/>
    <cellStyle name="Currency 3 2 2 8 2 2" xfId="24471" xr:uid="{FCB188C9-3EF2-40D1-AA11-F594B873E3C2}"/>
    <cellStyle name="Currency 3 2 2 8 2 2 2" xfId="41365" xr:uid="{310CC738-7EE4-4DD2-A032-109FE7BDD373}"/>
    <cellStyle name="Currency 3 2 2 8 2 3" xfId="16024" xr:uid="{CC9D0CFE-2F93-44F2-991B-290425CA5544}"/>
    <cellStyle name="Currency 3 2 2 8 2 4" xfId="32918" xr:uid="{A7631503-004E-44B7-9132-0F3C9713CE0A}"/>
    <cellStyle name="Currency 3 2 2 8 3" xfId="20254" xr:uid="{10B5ECC6-C9D3-4EAC-AB83-8D8D590549A2}"/>
    <cellStyle name="Currency 3 2 2 8 3 2" xfId="37148" xr:uid="{8DAFA41B-72B9-4C00-939B-E2A95EE448B9}"/>
    <cellStyle name="Currency 3 2 2 8 4" xfId="11807" xr:uid="{2F96FB60-C59B-42DB-8F6B-AA86529ADF1D}"/>
    <cellStyle name="Currency 3 2 2 8 5" xfId="28701" xr:uid="{9B83F0BC-E9BF-459E-ACD9-4318BB99B050}"/>
    <cellStyle name="Currency 3 2 2 9" xfId="2711" xr:uid="{00000000-0005-0000-0000-0000FD0A0000}"/>
    <cellStyle name="Currency 3 2 3" xfId="182" xr:uid="{00000000-0005-0000-0000-0000FE0A0000}"/>
    <cellStyle name="Currency 3 2 3 10" xfId="4636" xr:uid="{00000000-0005-0000-0000-0000FF0A0000}"/>
    <cellStyle name="Currency 3 2 3 10 2" xfId="22409" xr:uid="{FF0EBC74-6463-4E31-85FA-92E93ADB31B0}"/>
    <cellStyle name="Currency 3 2 3 10 2 2" xfId="39303" xr:uid="{A2E31DF3-8E96-4747-93C4-49528CBFC44B}"/>
    <cellStyle name="Currency 3 2 3 10 3" xfId="13962" xr:uid="{62BAFD99-7F79-48B0-85AD-ADA63F2FB7EF}"/>
    <cellStyle name="Currency 3 2 3 10 4" xfId="30856" xr:uid="{77079BF0-E228-45BD-AF68-8C6FE171E47C}"/>
    <cellStyle name="Currency 3 2 3 11" xfId="8893" xr:uid="{8CE28714-D587-402C-9A17-1A08799662D4}"/>
    <cellStyle name="Currency 3 2 3 11 2" xfId="18192" xr:uid="{A4FFC0A3-1A1D-4E81-843B-24D0979C4936}"/>
    <cellStyle name="Currency 3 2 3 11 3" xfId="35086" xr:uid="{A35C84AF-11C3-4B1A-B6FA-EE93C4382D5D}"/>
    <cellStyle name="Currency 3 2 3 12" xfId="9745" xr:uid="{E21EFFDA-209F-44CA-AA0B-8D1F5C6D1AAB}"/>
    <cellStyle name="Currency 3 2 3 13" xfId="26639" xr:uid="{DC50EC94-23A4-4DF4-889D-0FE93A3F338C}"/>
    <cellStyle name="Currency 3 2 3 2" xfId="183" xr:uid="{00000000-0005-0000-0000-0000000B0000}"/>
    <cellStyle name="Currency 3 2 3 2 10" xfId="9100" xr:uid="{CEBE1F40-0923-46C6-AB84-DD4DAB20CD81}"/>
    <cellStyle name="Currency 3 2 3 2 10 2" xfId="18193" xr:uid="{3CC6589D-FAA8-4621-A7E7-6AB1E504D05C}"/>
    <cellStyle name="Currency 3 2 3 2 10 3" xfId="35087" xr:uid="{C29335C5-3154-4031-B70D-AE13B45F63C4}"/>
    <cellStyle name="Currency 3 2 3 2 11" xfId="9746" xr:uid="{3169FE8A-48F8-4299-A8F3-D92BFC01C5BE}"/>
    <cellStyle name="Currency 3 2 3 2 12" xfId="26640" xr:uid="{5BD7D3AA-36C1-4195-B64D-74DB5421F8FC}"/>
    <cellStyle name="Currency 3 2 3 2 2" xfId="713" xr:uid="{00000000-0005-0000-0000-0000010B0000}"/>
    <cellStyle name="Currency 3 2 3 2 2 2" xfId="2974" xr:uid="{00000000-0005-0000-0000-0000020B0000}"/>
    <cellStyle name="Currency 3 2 3 2 2 2 2" xfId="7196" xr:uid="{00000000-0005-0000-0000-0000030B0000}"/>
    <cellStyle name="Currency 3 2 3 2 2 2 2 2" xfId="24969" xr:uid="{5C7389E8-9831-4CC3-85AA-EBF5FC499ACF}"/>
    <cellStyle name="Currency 3 2 3 2 2 2 2 2 2" xfId="41863" xr:uid="{FBA2830E-A016-49A1-9876-EFFB2DA7A866}"/>
    <cellStyle name="Currency 3 2 3 2 2 2 2 3" xfId="16522" xr:uid="{9D7DBD79-389E-41C1-A7A5-392F9E381534}"/>
    <cellStyle name="Currency 3 2 3 2 2 2 2 4" xfId="33416" xr:uid="{B8241421-6C97-4363-A802-6BB7BE21AC7E}"/>
    <cellStyle name="Currency 3 2 3 2 2 2 3" xfId="20752" xr:uid="{D6E3FD59-3074-4D3B-ABF7-34F542E8A70B}"/>
    <cellStyle name="Currency 3 2 3 2 2 2 3 2" xfId="37646" xr:uid="{6D94018F-A913-49BC-9954-B2F35B26E49B}"/>
    <cellStyle name="Currency 3 2 3 2 2 2 4" xfId="12305" xr:uid="{8F64CDDA-07A4-4084-B085-769187E6EF63}"/>
    <cellStyle name="Currency 3 2 3 2 2 2 5" xfId="29199" xr:uid="{B88BCA3F-869E-466B-9998-E489B9D4AF29}"/>
    <cellStyle name="Currency 3 2 3 2 2 3" xfId="5051" xr:uid="{00000000-0005-0000-0000-0000040B0000}"/>
    <cellStyle name="Currency 3 2 3 2 2 3 2" xfId="22824" xr:uid="{7B917F1E-112A-405B-B7A2-2B7F6B8BBBA0}"/>
    <cellStyle name="Currency 3 2 3 2 2 3 2 2" xfId="39718" xr:uid="{4F9F8D3F-F167-4BA2-AF3B-A745316C3984}"/>
    <cellStyle name="Currency 3 2 3 2 2 3 3" xfId="14377" xr:uid="{7BBF16D4-54FF-4AC3-B997-106556D7A61E}"/>
    <cellStyle name="Currency 3 2 3 2 2 3 4" xfId="31271" xr:uid="{B90D1CCB-4883-4B10-AB84-0132C85319F7}"/>
    <cellStyle name="Currency 3 2 3 2 2 4" xfId="9525" xr:uid="{759374BA-DDD8-4F33-9655-B300986F8700}"/>
    <cellStyle name="Currency 3 2 3 2 2 4 2" xfId="18607" xr:uid="{C1C88322-91D9-4C5E-8D0F-154FA943391F}"/>
    <cellStyle name="Currency 3 2 3 2 2 4 3" xfId="35501" xr:uid="{88A44AAC-8B1D-44BE-97BD-7E14B9C0988A}"/>
    <cellStyle name="Currency 3 2 3 2 2 5" xfId="10160" xr:uid="{4FFB3843-4229-4011-B3D9-3E99FC4038AC}"/>
    <cellStyle name="Currency 3 2 3 2 2 6" xfId="27054" xr:uid="{ED5143B0-068B-4FFB-A9C0-448283D9B137}"/>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2 2 2" xfId="25382" xr:uid="{5186CCDB-B5EE-4AE4-9D1F-55EA8020E47A}"/>
    <cellStyle name="Currency 3 2 3 2 3 2 2 2 2" xfId="42276" xr:uid="{E3E468BC-B025-4C91-9ECA-4096C30D987C}"/>
    <cellStyle name="Currency 3 2 3 2 3 2 2 3" xfId="16935" xr:uid="{D4431FF2-679A-49CA-842B-39D5606E4B98}"/>
    <cellStyle name="Currency 3 2 3 2 3 2 2 4" xfId="33829" xr:uid="{E332CE37-F556-40E5-830B-C66659835A7C}"/>
    <cellStyle name="Currency 3 2 3 2 3 2 3" xfId="21165" xr:uid="{8E3A6F81-D7AF-4567-A95E-A0AA7057B14B}"/>
    <cellStyle name="Currency 3 2 3 2 3 2 3 2" xfId="38059" xr:uid="{F323FD0D-7D09-43F1-86D4-A3B0E0AB21C9}"/>
    <cellStyle name="Currency 3 2 3 2 3 2 4" xfId="12718" xr:uid="{EBD63D7A-2344-4571-99B6-96EE3367D56E}"/>
    <cellStyle name="Currency 3 2 3 2 3 2 5" xfId="29612" xr:uid="{ABD43AE4-4315-4068-9D90-62FD714260C3}"/>
    <cellStyle name="Currency 3 2 3 2 3 3" xfId="5464" xr:uid="{00000000-0005-0000-0000-0000080B0000}"/>
    <cellStyle name="Currency 3 2 3 2 3 3 2" xfId="23237" xr:uid="{194E5FF5-2B35-4649-B46F-2324689CD4D5}"/>
    <cellStyle name="Currency 3 2 3 2 3 3 2 2" xfId="40131" xr:uid="{07825C3C-B141-4780-AA9F-146079B4F1A7}"/>
    <cellStyle name="Currency 3 2 3 2 3 3 3" xfId="14790" xr:uid="{3DEE0885-1A4D-46BE-841F-47C46FF08927}"/>
    <cellStyle name="Currency 3 2 3 2 3 3 4" xfId="31684" xr:uid="{042960B4-4D32-46F6-A8F9-06E34938A8AE}"/>
    <cellStyle name="Currency 3 2 3 2 3 4" xfId="19020" xr:uid="{4B6F58CD-C527-4484-9D82-A254A6746C4B}"/>
    <cellStyle name="Currency 3 2 3 2 3 4 2" xfId="35914" xr:uid="{C4973EA3-6FA9-4B72-BDC4-327D83DE299B}"/>
    <cellStyle name="Currency 3 2 3 2 3 5" xfId="10573" xr:uid="{619B3A5B-8178-4B4C-9221-06B71DF22848}"/>
    <cellStyle name="Currency 3 2 3 2 3 6" xfId="27467" xr:uid="{A09E450C-9287-42DD-9260-537715452291}"/>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2 2 2" xfId="25795" xr:uid="{4E100F61-A343-47EE-963D-64549DDC123E}"/>
    <cellStyle name="Currency 3 2 3 2 4 2 2 2 2" xfId="42689" xr:uid="{09DB0376-A67D-4751-83C6-0468A435DCDD}"/>
    <cellStyle name="Currency 3 2 3 2 4 2 2 3" xfId="17348" xr:uid="{4F6AE58F-8B8D-4E52-8DEE-5E572516AED3}"/>
    <cellStyle name="Currency 3 2 3 2 4 2 2 4" xfId="34242" xr:uid="{4CE2037B-FF08-4F9E-9C76-E96ABBF72F08}"/>
    <cellStyle name="Currency 3 2 3 2 4 2 3" xfId="21578" xr:uid="{2C0DBCFB-3BDF-4567-845A-9A3F5B69DB91}"/>
    <cellStyle name="Currency 3 2 3 2 4 2 3 2" xfId="38472" xr:uid="{59D8AFAB-B900-4057-A6CD-FEB186907B46}"/>
    <cellStyle name="Currency 3 2 3 2 4 2 4" xfId="13131" xr:uid="{333291F8-3BEA-41BC-B80A-5CF7568EFDCB}"/>
    <cellStyle name="Currency 3 2 3 2 4 2 5" xfId="30025" xr:uid="{CA42FB87-E148-40A0-9B35-54976D6ED118}"/>
    <cellStyle name="Currency 3 2 3 2 4 3" xfId="5877" xr:uid="{00000000-0005-0000-0000-00000C0B0000}"/>
    <cellStyle name="Currency 3 2 3 2 4 3 2" xfId="23650" xr:uid="{86FFDF8C-4C89-401F-BC56-959CBCCB445F}"/>
    <cellStyle name="Currency 3 2 3 2 4 3 2 2" xfId="40544" xr:uid="{22C27FBC-C350-4B81-8187-D60A2ABE0179}"/>
    <cellStyle name="Currency 3 2 3 2 4 3 3" xfId="15203" xr:uid="{BB3511B3-37A0-4CAD-95B8-6E1C1DD7D43E}"/>
    <cellStyle name="Currency 3 2 3 2 4 3 4" xfId="32097" xr:uid="{02085835-714F-410E-B0B3-81CE75F5662C}"/>
    <cellStyle name="Currency 3 2 3 2 4 4" xfId="19433" xr:uid="{2F78D2CB-828D-442B-B5F6-A1158145C949}"/>
    <cellStyle name="Currency 3 2 3 2 4 4 2" xfId="36327" xr:uid="{B6F4508C-CB27-4460-8B23-0260F6FC5B24}"/>
    <cellStyle name="Currency 3 2 3 2 4 5" xfId="10986" xr:uid="{DF1E444A-9AE5-463F-A91C-F27EA9A358BC}"/>
    <cellStyle name="Currency 3 2 3 2 4 6" xfId="27880" xr:uid="{43529B7A-CDC4-45CD-83CF-3D9666E1E742}"/>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2 2 2" xfId="26208" xr:uid="{7227198C-6FAB-476B-A62E-40A86FBED203}"/>
    <cellStyle name="Currency 3 2 3 2 5 2 2 2 2" xfId="43102" xr:uid="{3324D8B7-50C4-44FD-91CC-FA82A09FA62C}"/>
    <cellStyle name="Currency 3 2 3 2 5 2 2 3" xfId="17761" xr:uid="{995C853D-D904-4039-A63B-EE2E9A761253}"/>
    <cellStyle name="Currency 3 2 3 2 5 2 2 4" xfId="34655" xr:uid="{FBBCCA25-4C23-4BAA-8A3F-D7B467E38A55}"/>
    <cellStyle name="Currency 3 2 3 2 5 2 3" xfId="21991" xr:uid="{AA0BBA0E-9F27-4647-8FF6-2F6292C87320}"/>
    <cellStyle name="Currency 3 2 3 2 5 2 3 2" xfId="38885" xr:uid="{187833DC-9F17-4922-A284-9E2EA24A6028}"/>
    <cellStyle name="Currency 3 2 3 2 5 2 4" xfId="13544" xr:uid="{3D546DAE-E416-476B-8B5A-72BFC317653D}"/>
    <cellStyle name="Currency 3 2 3 2 5 2 5" xfId="30438" xr:uid="{891196A5-8770-4678-846A-F36DD17B515D}"/>
    <cellStyle name="Currency 3 2 3 2 5 3" xfId="6290" xr:uid="{00000000-0005-0000-0000-0000100B0000}"/>
    <cellStyle name="Currency 3 2 3 2 5 3 2" xfId="24063" xr:uid="{71791254-BBA5-49D1-992E-EBEAF46FEA06}"/>
    <cellStyle name="Currency 3 2 3 2 5 3 2 2" xfId="40957" xr:uid="{1F4A0D9F-6A13-4336-AC99-1FABB1C525AC}"/>
    <cellStyle name="Currency 3 2 3 2 5 3 3" xfId="15616" xr:uid="{463298C7-1CD3-4A0C-BB9B-72840D26C665}"/>
    <cellStyle name="Currency 3 2 3 2 5 3 4" xfId="32510" xr:uid="{452092B0-0095-4486-B88B-FF81620D220B}"/>
    <cellStyle name="Currency 3 2 3 2 5 4" xfId="19846" xr:uid="{5600FFF4-BC42-4C68-B071-0857B0F4FA32}"/>
    <cellStyle name="Currency 3 2 3 2 5 4 2" xfId="36740" xr:uid="{5D54811B-D0AD-456D-AFC6-573FD6B60F06}"/>
    <cellStyle name="Currency 3 2 3 2 5 5" xfId="11399" xr:uid="{867DC141-0E6F-4E0B-9B3D-7EF9733C4B30}"/>
    <cellStyle name="Currency 3 2 3 2 5 6" xfId="28293" xr:uid="{9C8E3479-ABD6-44F4-89FF-42CFDEB87A32}"/>
    <cellStyle name="Currency 3 2 3 2 6" xfId="2419" xr:uid="{00000000-0005-0000-0000-0000110B0000}"/>
    <cellStyle name="Currency 3 2 3 2 6 2" xfId="6703" xr:uid="{00000000-0005-0000-0000-0000120B0000}"/>
    <cellStyle name="Currency 3 2 3 2 6 2 2" xfId="24476" xr:uid="{F3C94F4C-8A8C-46D2-BFBB-681C544AE727}"/>
    <cellStyle name="Currency 3 2 3 2 6 2 2 2" xfId="41370" xr:uid="{3036CF9F-326D-44D8-87E1-41BCDD091BAF}"/>
    <cellStyle name="Currency 3 2 3 2 6 2 3" xfId="16029" xr:uid="{850F6BD0-8078-4C22-831C-60E7455A20A3}"/>
    <cellStyle name="Currency 3 2 3 2 6 2 4" xfId="32923" xr:uid="{583CC228-3854-421A-AD76-AC05E9A1F172}"/>
    <cellStyle name="Currency 3 2 3 2 6 3" xfId="20259" xr:uid="{F2E65BB3-6C72-4923-A78E-C2E6A9E9C481}"/>
    <cellStyle name="Currency 3 2 3 2 6 3 2" xfId="37153" xr:uid="{29FAD9DE-A834-4A43-A5FA-ED216A446A26}"/>
    <cellStyle name="Currency 3 2 3 2 6 4" xfId="11812" xr:uid="{2D6E83E7-CE79-4F3C-8642-C8D09FAF2988}"/>
    <cellStyle name="Currency 3 2 3 2 6 5" xfId="28706" xr:uid="{EAB07158-C243-460B-931D-B06FDC215678}"/>
    <cellStyle name="Currency 3 2 3 2 7" xfId="2716" xr:uid="{00000000-0005-0000-0000-0000130B0000}"/>
    <cellStyle name="Currency 3 2 3 2 8" xfId="2797" xr:uid="{00000000-0005-0000-0000-0000140B0000}"/>
    <cellStyle name="Currency 3 2 3 2 8 2" xfId="7020" xr:uid="{00000000-0005-0000-0000-0000150B0000}"/>
    <cellStyle name="Currency 3 2 3 2 8 2 2" xfId="24793" xr:uid="{01793CED-C53F-40CB-9FA4-D4434F6F84ED}"/>
    <cellStyle name="Currency 3 2 3 2 8 2 2 2" xfId="41687" xr:uid="{5B75FDAD-6AC4-4A51-A259-4D1988101AFA}"/>
    <cellStyle name="Currency 3 2 3 2 8 2 3" xfId="16346" xr:uid="{CE77E524-5FBC-439C-B28F-DABF0A01B7D8}"/>
    <cellStyle name="Currency 3 2 3 2 8 2 4" xfId="33240" xr:uid="{20AD27A7-D302-4218-8286-C2D037FF5ABD}"/>
    <cellStyle name="Currency 3 2 3 2 8 3" xfId="20576" xr:uid="{14ADFE89-B885-4F7C-A193-2EC06FB37F64}"/>
    <cellStyle name="Currency 3 2 3 2 8 3 2" xfId="37470" xr:uid="{14EA8576-48A6-45F4-9024-9BD224CF3731}"/>
    <cellStyle name="Currency 3 2 3 2 8 4" xfId="12129" xr:uid="{F36A116E-E0F4-485C-B200-A86EEECA9176}"/>
    <cellStyle name="Currency 3 2 3 2 8 5" xfId="29023" xr:uid="{9D7BFE25-CCC1-4F97-8A01-BFCEB5714B8F}"/>
    <cellStyle name="Currency 3 2 3 2 9" xfId="4637" xr:uid="{00000000-0005-0000-0000-0000160B0000}"/>
    <cellStyle name="Currency 3 2 3 2 9 2" xfId="22410" xr:uid="{3E3BA203-02E0-486E-B1A9-60E8397A3D04}"/>
    <cellStyle name="Currency 3 2 3 2 9 2 2" xfId="39304" xr:uid="{4E64EC5D-B2F4-41A6-8A36-ED62A80A4827}"/>
    <cellStyle name="Currency 3 2 3 2 9 3" xfId="13963" xr:uid="{B445B650-1E43-49CF-8296-01C5E32D07BE}"/>
    <cellStyle name="Currency 3 2 3 2 9 4" xfId="30857" xr:uid="{81A56EBD-B04A-43E2-9B70-B516D95EFA0E}"/>
    <cellStyle name="Currency 3 2 3 3" xfId="712" xr:uid="{00000000-0005-0000-0000-0000170B0000}"/>
    <cellStyle name="Currency 3 2 3 3 2" xfId="2973" xr:uid="{00000000-0005-0000-0000-0000180B0000}"/>
    <cellStyle name="Currency 3 2 3 3 2 2" xfId="7195" xr:uid="{00000000-0005-0000-0000-0000190B0000}"/>
    <cellStyle name="Currency 3 2 3 3 2 2 2" xfId="24968" xr:uid="{A099FCF6-B7AA-4413-8362-80C2CDE9629D}"/>
    <cellStyle name="Currency 3 2 3 3 2 2 2 2" xfId="41862" xr:uid="{8E1EB09D-1D05-47C1-ADDD-D9F7E905EC60}"/>
    <cellStyle name="Currency 3 2 3 3 2 2 3" xfId="16521" xr:uid="{CFAB2E23-DC9A-4B11-B09F-053E381841E1}"/>
    <cellStyle name="Currency 3 2 3 3 2 2 4" xfId="33415" xr:uid="{A0E0BDD9-B047-49C6-A03B-0AA3E2A89B77}"/>
    <cellStyle name="Currency 3 2 3 3 2 3" xfId="20751" xr:uid="{8375D395-883D-4208-869F-8D72FB4346EC}"/>
    <cellStyle name="Currency 3 2 3 3 2 3 2" xfId="37645" xr:uid="{18E821D6-EB60-4E02-8E33-09AB1ABED548}"/>
    <cellStyle name="Currency 3 2 3 3 2 4" xfId="12304" xr:uid="{0F90D167-9CAD-4B3A-B36D-7493941C7518}"/>
    <cellStyle name="Currency 3 2 3 3 2 5" xfId="29198" xr:uid="{41A7B32A-E0EB-4B92-80E8-929614119A09}"/>
    <cellStyle name="Currency 3 2 3 3 3" xfId="5050" xr:uid="{00000000-0005-0000-0000-00001A0B0000}"/>
    <cellStyle name="Currency 3 2 3 3 3 2" xfId="22823" xr:uid="{A9C5D2EF-7A54-4A2F-97F0-10942154E2E9}"/>
    <cellStyle name="Currency 3 2 3 3 3 2 2" xfId="39717" xr:uid="{DA3B3B00-3561-46EB-80E7-24FD20F3ACAC}"/>
    <cellStyle name="Currency 3 2 3 3 3 3" xfId="14376" xr:uid="{76726DB0-FC8D-41B5-944C-28B64AA5ECDF}"/>
    <cellStyle name="Currency 3 2 3 3 3 4" xfId="31270" xr:uid="{646A795D-6E53-4581-B45C-6005510F42A4}"/>
    <cellStyle name="Currency 3 2 3 3 4" xfId="9318" xr:uid="{AA73873E-8E72-4FDE-A22E-F5D80E2A87B1}"/>
    <cellStyle name="Currency 3 2 3 3 4 2" xfId="18606" xr:uid="{100CF796-655F-410D-9FFA-A092914101F7}"/>
    <cellStyle name="Currency 3 2 3 3 4 3" xfId="35500" xr:uid="{755EAABB-5B76-4D57-B4AF-92CCC4B54AFC}"/>
    <cellStyle name="Currency 3 2 3 3 5" xfId="10159" xr:uid="{AB972822-ED96-4F41-B778-4C2D43AD4C65}"/>
    <cellStyle name="Currency 3 2 3 3 6" xfId="27053" xr:uid="{57CAB78D-EF9D-48AB-A7A9-D4825C8F47B3}"/>
    <cellStyle name="Currency 3 2 3 4" xfId="1155" xr:uid="{00000000-0005-0000-0000-00001B0B0000}"/>
    <cellStyle name="Currency 3 2 3 4 2" xfId="3386" xr:uid="{00000000-0005-0000-0000-00001C0B0000}"/>
    <cellStyle name="Currency 3 2 3 4 2 2" xfId="7608" xr:uid="{00000000-0005-0000-0000-00001D0B0000}"/>
    <cellStyle name="Currency 3 2 3 4 2 2 2" xfId="25381" xr:uid="{9F452D61-F3C1-462B-8332-1A2F71F48767}"/>
    <cellStyle name="Currency 3 2 3 4 2 2 2 2" xfId="42275" xr:uid="{426D8418-D73B-462C-BCD4-853C88560B9D}"/>
    <cellStyle name="Currency 3 2 3 4 2 2 3" xfId="16934" xr:uid="{F9B14F52-F4CC-4C15-94E6-E09CF0219555}"/>
    <cellStyle name="Currency 3 2 3 4 2 2 4" xfId="33828" xr:uid="{5312D94E-5AFE-4562-A75C-F37C53C45B69}"/>
    <cellStyle name="Currency 3 2 3 4 2 3" xfId="21164" xr:uid="{F749069D-2042-4546-BC1B-3BC81AE813A7}"/>
    <cellStyle name="Currency 3 2 3 4 2 3 2" xfId="38058" xr:uid="{FB40F0B4-9A33-418B-AB32-2346B935C2FC}"/>
    <cellStyle name="Currency 3 2 3 4 2 4" xfId="12717" xr:uid="{98CE7B7C-C08D-4869-8295-C5C6D5ED6143}"/>
    <cellStyle name="Currency 3 2 3 4 2 5" xfId="29611" xr:uid="{8E61183A-B0E6-4899-B344-6F8676B694B4}"/>
    <cellStyle name="Currency 3 2 3 4 3" xfId="5463" xr:uid="{00000000-0005-0000-0000-00001E0B0000}"/>
    <cellStyle name="Currency 3 2 3 4 3 2" xfId="23236" xr:uid="{9771A389-51A3-4286-AFA7-3909B0FF9ED4}"/>
    <cellStyle name="Currency 3 2 3 4 3 2 2" xfId="40130" xr:uid="{C7A343D4-33AF-483D-ABA1-91DDFC4D0631}"/>
    <cellStyle name="Currency 3 2 3 4 3 3" xfId="14789" xr:uid="{BCAA078F-023C-49E0-8B34-358EA9761AC7}"/>
    <cellStyle name="Currency 3 2 3 4 3 4" xfId="31683" xr:uid="{6639552E-E9F9-4FBD-8F9A-DA63724B7335}"/>
    <cellStyle name="Currency 3 2 3 4 4" xfId="19019" xr:uid="{2D929960-281C-4971-A18C-861DE6A2E856}"/>
    <cellStyle name="Currency 3 2 3 4 4 2" xfId="35913" xr:uid="{534BF131-431C-4CCE-84DC-1E9CBD056148}"/>
    <cellStyle name="Currency 3 2 3 4 5" xfId="10572" xr:uid="{1809F78B-A441-48FB-AA2B-F1B0E4818564}"/>
    <cellStyle name="Currency 3 2 3 4 6" xfId="27466" xr:uid="{E2F65A65-E09D-4396-B9BC-47B36B2D3770}"/>
    <cellStyle name="Currency 3 2 3 5" xfId="1569" xr:uid="{00000000-0005-0000-0000-00001F0B0000}"/>
    <cellStyle name="Currency 3 2 3 5 2" xfId="3799" xr:uid="{00000000-0005-0000-0000-0000200B0000}"/>
    <cellStyle name="Currency 3 2 3 5 2 2" xfId="8021" xr:uid="{00000000-0005-0000-0000-0000210B0000}"/>
    <cellStyle name="Currency 3 2 3 5 2 2 2" xfId="25794" xr:uid="{967EF1FB-2587-4A73-B554-872CF310F174}"/>
    <cellStyle name="Currency 3 2 3 5 2 2 2 2" xfId="42688" xr:uid="{5EE52CD6-BFC6-40AA-AA5F-5DA7C1DA67E2}"/>
    <cellStyle name="Currency 3 2 3 5 2 2 3" xfId="17347" xr:uid="{93FA9E9F-A243-4F17-A4F8-90C3AB51BEE5}"/>
    <cellStyle name="Currency 3 2 3 5 2 2 4" xfId="34241" xr:uid="{FB2096C3-CCFE-4F3D-85E0-ADBA84CC153A}"/>
    <cellStyle name="Currency 3 2 3 5 2 3" xfId="21577" xr:uid="{050BFB9E-D0A6-40CD-AD8E-E40AE878C841}"/>
    <cellStyle name="Currency 3 2 3 5 2 3 2" xfId="38471" xr:uid="{D577AA7D-4AE4-47B4-9F61-CD56DCFF4808}"/>
    <cellStyle name="Currency 3 2 3 5 2 4" xfId="13130" xr:uid="{153E08CF-1480-40F4-BE1D-31E90D285F0A}"/>
    <cellStyle name="Currency 3 2 3 5 2 5" xfId="30024" xr:uid="{EAC33AD7-7686-4594-A717-278372D58001}"/>
    <cellStyle name="Currency 3 2 3 5 3" xfId="5876" xr:uid="{00000000-0005-0000-0000-0000220B0000}"/>
    <cellStyle name="Currency 3 2 3 5 3 2" xfId="23649" xr:uid="{E1690DD9-79E5-49B8-87C9-A2E0CDA85F58}"/>
    <cellStyle name="Currency 3 2 3 5 3 2 2" xfId="40543" xr:uid="{933CD8E9-1FCE-4055-BD56-D6B344B37BE2}"/>
    <cellStyle name="Currency 3 2 3 5 3 3" xfId="15202" xr:uid="{1390E488-66FD-4E8B-9589-CFAD9331153F}"/>
    <cellStyle name="Currency 3 2 3 5 3 4" xfId="32096" xr:uid="{D87610D3-E7D2-4D4B-A1A8-19446B9C0B24}"/>
    <cellStyle name="Currency 3 2 3 5 4" xfId="19432" xr:uid="{63B1BE82-259D-43B0-B886-250BC4BD7158}"/>
    <cellStyle name="Currency 3 2 3 5 4 2" xfId="36326" xr:uid="{21120749-EC55-4B39-9C25-3CFC57981FC3}"/>
    <cellStyle name="Currency 3 2 3 5 5" xfId="10985" xr:uid="{477596E2-5742-44A6-8DBF-1F9B0B3B5558}"/>
    <cellStyle name="Currency 3 2 3 5 6" xfId="27879" xr:uid="{1674CF34-A766-451B-9965-7E139B8D784E}"/>
    <cellStyle name="Currency 3 2 3 6" xfId="1983" xr:uid="{00000000-0005-0000-0000-0000230B0000}"/>
    <cellStyle name="Currency 3 2 3 6 2" xfId="4212" xr:uid="{00000000-0005-0000-0000-0000240B0000}"/>
    <cellStyle name="Currency 3 2 3 6 2 2" xfId="8434" xr:uid="{00000000-0005-0000-0000-0000250B0000}"/>
    <cellStyle name="Currency 3 2 3 6 2 2 2" xfId="26207" xr:uid="{A73DCFCA-27C4-4D14-992F-C6F5CF4B082F}"/>
    <cellStyle name="Currency 3 2 3 6 2 2 2 2" xfId="43101" xr:uid="{9D2BA17C-AFFB-4D31-933C-B2511016FAEA}"/>
    <cellStyle name="Currency 3 2 3 6 2 2 3" xfId="17760" xr:uid="{2EE75300-B65C-4023-9E25-461CA0E6CBA9}"/>
    <cellStyle name="Currency 3 2 3 6 2 2 4" xfId="34654" xr:uid="{BCC72B66-4ABF-405A-A498-61EBEA85BC5F}"/>
    <cellStyle name="Currency 3 2 3 6 2 3" xfId="21990" xr:uid="{A03DFF3D-A542-4B6F-A778-5B3D8D2DA5C7}"/>
    <cellStyle name="Currency 3 2 3 6 2 3 2" xfId="38884" xr:uid="{4765A3EE-E57F-46DA-A269-C4BE164C8090}"/>
    <cellStyle name="Currency 3 2 3 6 2 4" xfId="13543" xr:uid="{E443FB9C-2BAC-4B43-B356-F09CC99A003F}"/>
    <cellStyle name="Currency 3 2 3 6 2 5" xfId="30437" xr:uid="{55A74188-CAD3-462E-BA93-F3B782ED47F9}"/>
    <cellStyle name="Currency 3 2 3 6 3" xfId="6289" xr:uid="{00000000-0005-0000-0000-0000260B0000}"/>
    <cellStyle name="Currency 3 2 3 6 3 2" xfId="24062" xr:uid="{EEC9ABCA-6159-4325-81A6-999A86B9E2F5}"/>
    <cellStyle name="Currency 3 2 3 6 3 2 2" xfId="40956" xr:uid="{04ACCE6D-581F-437F-B480-0A10398BEC3C}"/>
    <cellStyle name="Currency 3 2 3 6 3 3" xfId="15615" xr:uid="{EDB00AF4-4841-4D25-AD36-5A184908184B}"/>
    <cellStyle name="Currency 3 2 3 6 3 4" xfId="32509" xr:uid="{9BD28BC9-D7B5-4651-B9C2-867123267CF7}"/>
    <cellStyle name="Currency 3 2 3 6 4" xfId="19845" xr:uid="{4A976FAF-FB6A-406C-B78E-485AF7A5CAC8}"/>
    <cellStyle name="Currency 3 2 3 6 4 2" xfId="36739" xr:uid="{66E284D0-F0F9-476A-8B19-88A96AB935D8}"/>
    <cellStyle name="Currency 3 2 3 6 5" xfId="11398" xr:uid="{30C4FF77-C3CF-4505-B1E2-0C842C16F0A8}"/>
    <cellStyle name="Currency 3 2 3 6 6" xfId="28292" xr:uid="{7A7DB508-0E41-4A7D-B5E8-A80DAE355337}"/>
    <cellStyle name="Currency 3 2 3 7" xfId="2418" xr:uid="{00000000-0005-0000-0000-0000270B0000}"/>
    <cellStyle name="Currency 3 2 3 7 2" xfId="6702" xr:uid="{00000000-0005-0000-0000-0000280B0000}"/>
    <cellStyle name="Currency 3 2 3 7 2 2" xfId="24475" xr:uid="{7EDEFA91-8359-4DB4-A9F7-3141A64B8E5E}"/>
    <cellStyle name="Currency 3 2 3 7 2 2 2" xfId="41369" xr:uid="{9DC4AF0A-C4F0-4916-B979-BD79D2FF8A6C}"/>
    <cellStyle name="Currency 3 2 3 7 2 3" xfId="16028" xr:uid="{9E1BB406-92C3-4F3A-95D2-1D765D9DDEEF}"/>
    <cellStyle name="Currency 3 2 3 7 2 4" xfId="32922" xr:uid="{3FD13F9A-E111-4414-B017-64AAFB7FF333}"/>
    <cellStyle name="Currency 3 2 3 7 3" xfId="20258" xr:uid="{460FA557-1357-4408-9EB5-1D5706D12922}"/>
    <cellStyle name="Currency 3 2 3 7 3 2" xfId="37152" xr:uid="{B2EB7C5B-A938-46DF-BBB2-F26C77584FCA}"/>
    <cellStyle name="Currency 3 2 3 7 4" xfId="11811" xr:uid="{8E83F81E-2C86-42BF-8033-9B9DF26FF26A}"/>
    <cellStyle name="Currency 3 2 3 7 5" xfId="28705" xr:uid="{A15A72D3-B9D0-428D-8F35-0A290A804492}"/>
    <cellStyle name="Currency 3 2 3 8" xfId="2715" xr:uid="{00000000-0005-0000-0000-0000290B0000}"/>
    <cellStyle name="Currency 3 2 3 9" xfId="2796" xr:uid="{00000000-0005-0000-0000-00002A0B0000}"/>
    <cellStyle name="Currency 3 2 3 9 2" xfId="7019" xr:uid="{00000000-0005-0000-0000-00002B0B0000}"/>
    <cellStyle name="Currency 3 2 3 9 2 2" xfId="24792" xr:uid="{99924F71-D74F-43B2-AF76-764BCDBEC9E0}"/>
    <cellStyle name="Currency 3 2 3 9 2 2 2" xfId="41686" xr:uid="{8F747C60-254A-4616-8104-2C35378E3E07}"/>
    <cellStyle name="Currency 3 2 3 9 2 3" xfId="16345" xr:uid="{B773F9C9-1371-4558-9EE4-715471567DFE}"/>
    <cellStyle name="Currency 3 2 3 9 2 4" xfId="33239" xr:uid="{60D7A85E-EB6D-4C68-8E50-055B6E0DA0BB}"/>
    <cellStyle name="Currency 3 2 3 9 3" xfId="20575" xr:uid="{23322652-9190-4D43-87C4-9FC10E250B1C}"/>
    <cellStyle name="Currency 3 2 3 9 3 2" xfId="37469" xr:uid="{CE97003C-5DA7-408D-8910-D80C90917D8F}"/>
    <cellStyle name="Currency 3 2 3 9 4" xfId="12128" xr:uid="{BD1755BE-FB89-41D9-B10B-D6FA75514474}"/>
    <cellStyle name="Currency 3 2 3 9 5" xfId="29022" xr:uid="{D2CFE0D1-5A71-46F9-8244-702E6499F266}"/>
    <cellStyle name="Currency 3 2 4" xfId="184" xr:uid="{00000000-0005-0000-0000-00002C0B0000}"/>
    <cellStyle name="Currency 3 2 4 10" xfId="8997" xr:uid="{DF9FC022-A382-4135-990F-F43A472E13BA}"/>
    <cellStyle name="Currency 3 2 4 10 2" xfId="18194" xr:uid="{89EDB584-4BD0-4A29-8B98-AA042B8B9FA2}"/>
    <cellStyle name="Currency 3 2 4 10 3" xfId="35088" xr:uid="{44ADFAFD-F87D-408B-87DD-EE03B5465D0C}"/>
    <cellStyle name="Currency 3 2 4 11" xfId="9747" xr:uid="{E2187F63-5140-4C18-BC49-A2198ED3611A}"/>
    <cellStyle name="Currency 3 2 4 12" xfId="26641" xr:uid="{23E22341-07FB-463D-95D6-16C54402AAA3}"/>
    <cellStyle name="Currency 3 2 4 2" xfId="714" xr:uid="{00000000-0005-0000-0000-00002D0B0000}"/>
    <cellStyle name="Currency 3 2 4 2 2" xfId="2975" xr:uid="{00000000-0005-0000-0000-00002E0B0000}"/>
    <cellStyle name="Currency 3 2 4 2 2 2" xfId="7197" xr:uid="{00000000-0005-0000-0000-00002F0B0000}"/>
    <cellStyle name="Currency 3 2 4 2 2 2 2" xfId="24970" xr:uid="{AD6274AE-8D3C-41B9-AE1E-04A74CE10F38}"/>
    <cellStyle name="Currency 3 2 4 2 2 2 2 2" xfId="41864" xr:uid="{8FA5DE7A-51D6-4C4A-850E-1898DF665026}"/>
    <cellStyle name="Currency 3 2 4 2 2 2 3" xfId="16523" xr:uid="{B89EA8EC-EB6A-482D-8F28-E946580DA265}"/>
    <cellStyle name="Currency 3 2 4 2 2 2 4" xfId="33417" xr:uid="{BF19E9BC-F4F3-49EA-8539-8C4CB39DE560}"/>
    <cellStyle name="Currency 3 2 4 2 2 3" xfId="20753" xr:uid="{7DE640DE-465C-4B5E-ACD9-5C5B65A1C935}"/>
    <cellStyle name="Currency 3 2 4 2 2 3 2" xfId="37647" xr:uid="{C2FBE14D-0B67-4451-BBA6-B009497855CF}"/>
    <cellStyle name="Currency 3 2 4 2 2 4" xfId="12306" xr:uid="{ED2F56AD-BA6F-492C-B740-15690AB49788}"/>
    <cellStyle name="Currency 3 2 4 2 2 5" xfId="29200" xr:uid="{EDC47A35-91FA-41FE-8DAD-70FBEAB318A1}"/>
    <cellStyle name="Currency 3 2 4 2 3" xfId="5052" xr:uid="{00000000-0005-0000-0000-0000300B0000}"/>
    <cellStyle name="Currency 3 2 4 2 3 2" xfId="22825" xr:uid="{F611E8A6-971E-424C-9181-D0BFFA8763F8}"/>
    <cellStyle name="Currency 3 2 4 2 3 2 2" xfId="39719" xr:uid="{44E2E64C-5E85-4208-AB64-32960F631E66}"/>
    <cellStyle name="Currency 3 2 4 2 3 3" xfId="14378" xr:uid="{A2B074DD-2439-44F8-A046-1B7FB1CD6C7A}"/>
    <cellStyle name="Currency 3 2 4 2 3 4" xfId="31272" xr:uid="{A68DF904-9DC3-44A9-9C02-A9C7908E3F9F}"/>
    <cellStyle name="Currency 3 2 4 2 4" xfId="9422" xr:uid="{3049B7CE-611E-437A-AD0B-2E3AA5E2E50D}"/>
    <cellStyle name="Currency 3 2 4 2 4 2" xfId="18608" xr:uid="{21BCCE5F-1175-482C-B886-A17DF17741C3}"/>
    <cellStyle name="Currency 3 2 4 2 4 3" xfId="35502" xr:uid="{69F83DEE-8192-4A48-8175-A3438C18561A}"/>
    <cellStyle name="Currency 3 2 4 2 5" xfId="10161" xr:uid="{97B91E79-B39D-4212-B4CC-AB1E8F2F71BC}"/>
    <cellStyle name="Currency 3 2 4 2 6" xfId="27055" xr:uid="{EEA64AEF-5CA2-405C-8495-70048437A51B}"/>
    <cellStyle name="Currency 3 2 4 3" xfId="1157" xr:uid="{00000000-0005-0000-0000-0000310B0000}"/>
    <cellStyle name="Currency 3 2 4 3 2" xfId="3388" xr:uid="{00000000-0005-0000-0000-0000320B0000}"/>
    <cellStyle name="Currency 3 2 4 3 2 2" xfId="7610" xr:uid="{00000000-0005-0000-0000-0000330B0000}"/>
    <cellStyle name="Currency 3 2 4 3 2 2 2" xfId="25383" xr:uid="{017BCB43-02A3-4F31-8C90-6AA90640D900}"/>
    <cellStyle name="Currency 3 2 4 3 2 2 2 2" xfId="42277" xr:uid="{128F32DD-9A99-44A7-870F-02DF9B28335D}"/>
    <cellStyle name="Currency 3 2 4 3 2 2 3" xfId="16936" xr:uid="{6B069405-4F57-4D13-B919-9CCABE92B0AC}"/>
    <cellStyle name="Currency 3 2 4 3 2 2 4" xfId="33830" xr:uid="{9F1035EA-754F-4A33-99DB-B998219106C6}"/>
    <cellStyle name="Currency 3 2 4 3 2 3" xfId="21166" xr:uid="{18619323-E0C1-44AF-8FBE-6EBC2A7CEB2B}"/>
    <cellStyle name="Currency 3 2 4 3 2 3 2" xfId="38060" xr:uid="{CF861A46-BBB1-4E1B-93F2-8F509F55817E}"/>
    <cellStyle name="Currency 3 2 4 3 2 4" xfId="12719" xr:uid="{DF00275A-50AF-4BAB-BB55-93624E0B968C}"/>
    <cellStyle name="Currency 3 2 4 3 2 5" xfId="29613" xr:uid="{51614B01-3762-458D-8856-35A6C05863B4}"/>
    <cellStyle name="Currency 3 2 4 3 3" xfId="5465" xr:uid="{00000000-0005-0000-0000-0000340B0000}"/>
    <cellStyle name="Currency 3 2 4 3 3 2" xfId="23238" xr:uid="{87783D06-20F4-43D8-9A32-C303E8A47C3F}"/>
    <cellStyle name="Currency 3 2 4 3 3 2 2" xfId="40132" xr:uid="{03F354C5-5AB0-42E9-9443-B4DE05AFFCEE}"/>
    <cellStyle name="Currency 3 2 4 3 3 3" xfId="14791" xr:uid="{B16549BD-9F8A-495F-B28F-0BDE34D430F9}"/>
    <cellStyle name="Currency 3 2 4 3 3 4" xfId="31685" xr:uid="{33185CFD-182B-4F76-B6F4-95222CA266C9}"/>
    <cellStyle name="Currency 3 2 4 3 4" xfId="19021" xr:uid="{FECF1892-73D1-401A-BB35-2660A4718BA0}"/>
    <cellStyle name="Currency 3 2 4 3 4 2" xfId="35915" xr:uid="{4F43B019-A87B-4D98-BCDC-665B39FFC821}"/>
    <cellStyle name="Currency 3 2 4 3 5" xfId="10574" xr:uid="{993A3C3A-2B11-4322-AE69-9438FE8591A4}"/>
    <cellStyle name="Currency 3 2 4 3 6" xfId="27468" xr:uid="{1947C32F-6F97-4B02-81B2-A0EF024A73AD}"/>
    <cellStyle name="Currency 3 2 4 4" xfId="1571" xr:uid="{00000000-0005-0000-0000-0000350B0000}"/>
    <cellStyle name="Currency 3 2 4 4 2" xfId="3801" xr:uid="{00000000-0005-0000-0000-0000360B0000}"/>
    <cellStyle name="Currency 3 2 4 4 2 2" xfId="8023" xr:uid="{00000000-0005-0000-0000-0000370B0000}"/>
    <cellStyle name="Currency 3 2 4 4 2 2 2" xfId="25796" xr:uid="{78FEF446-4C36-45A9-A65C-B2AD19DC93C5}"/>
    <cellStyle name="Currency 3 2 4 4 2 2 2 2" xfId="42690" xr:uid="{59B28E7C-D693-4F7A-9715-B443A2C2956B}"/>
    <cellStyle name="Currency 3 2 4 4 2 2 3" xfId="17349" xr:uid="{4B1FD23E-1067-479E-972E-E514108F4B15}"/>
    <cellStyle name="Currency 3 2 4 4 2 2 4" xfId="34243" xr:uid="{F3EECA3B-AE7B-45BE-96E8-8A8E7C7E196B}"/>
    <cellStyle name="Currency 3 2 4 4 2 3" xfId="21579" xr:uid="{19E08614-20FC-40DF-91FA-4CD5AC1AC159}"/>
    <cellStyle name="Currency 3 2 4 4 2 3 2" xfId="38473" xr:uid="{9C039515-048E-476F-9D9B-BE88550DA891}"/>
    <cellStyle name="Currency 3 2 4 4 2 4" xfId="13132" xr:uid="{C014E90B-AB82-4037-8FC4-566AEBD3B1B8}"/>
    <cellStyle name="Currency 3 2 4 4 2 5" xfId="30026" xr:uid="{5BE7B33D-CFD7-4DC6-8F0D-6350BD361958}"/>
    <cellStyle name="Currency 3 2 4 4 3" xfId="5878" xr:uid="{00000000-0005-0000-0000-0000380B0000}"/>
    <cellStyle name="Currency 3 2 4 4 3 2" xfId="23651" xr:uid="{5C4DBC61-AA54-4BC9-A1E6-ECE7DB06A7F9}"/>
    <cellStyle name="Currency 3 2 4 4 3 2 2" xfId="40545" xr:uid="{78EE4D60-EE2A-4DAA-AB92-71F901AABD4E}"/>
    <cellStyle name="Currency 3 2 4 4 3 3" xfId="15204" xr:uid="{374DD418-3FB9-4E02-98B5-5F2E3B0BFB7B}"/>
    <cellStyle name="Currency 3 2 4 4 3 4" xfId="32098" xr:uid="{F2ACED67-955E-4F16-B055-F27724F2965E}"/>
    <cellStyle name="Currency 3 2 4 4 4" xfId="19434" xr:uid="{AB9D05AE-F140-4149-9EDB-16E99C06BE03}"/>
    <cellStyle name="Currency 3 2 4 4 4 2" xfId="36328" xr:uid="{319ED72F-7E20-4EEA-83CE-6E5817A8084E}"/>
    <cellStyle name="Currency 3 2 4 4 5" xfId="10987" xr:uid="{47DEFE70-8F08-4C11-BC0C-D9A42B8DBE38}"/>
    <cellStyle name="Currency 3 2 4 4 6" xfId="27881" xr:uid="{3D6BBC5C-D495-4A86-B2C2-939EB831098E}"/>
    <cellStyle name="Currency 3 2 4 5" xfId="1985" xr:uid="{00000000-0005-0000-0000-0000390B0000}"/>
    <cellStyle name="Currency 3 2 4 5 2" xfId="4214" xr:uid="{00000000-0005-0000-0000-00003A0B0000}"/>
    <cellStyle name="Currency 3 2 4 5 2 2" xfId="8436" xr:uid="{00000000-0005-0000-0000-00003B0B0000}"/>
    <cellStyle name="Currency 3 2 4 5 2 2 2" xfId="26209" xr:uid="{CBD9DD66-D6E6-4935-9DFF-46C8A7E39B41}"/>
    <cellStyle name="Currency 3 2 4 5 2 2 2 2" xfId="43103" xr:uid="{2834B084-606C-4ABE-BF8E-435785E0003B}"/>
    <cellStyle name="Currency 3 2 4 5 2 2 3" xfId="17762" xr:uid="{224D8C94-5896-47AC-8580-5FF36D7CC38F}"/>
    <cellStyle name="Currency 3 2 4 5 2 2 4" xfId="34656" xr:uid="{1039C7B4-8C03-4F93-8F21-0BC6F9BE8218}"/>
    <cellStyle name="Currency 3 2 4 5 2 3" xfId="21992" xr:uid="{F8D319D1-34FF-4C36-BF4F-3CB0ADF7D31E}"/>
    <cellStyle name="Currency 3 2 4 5 2 3 2" xfId="38886" xr:uid="{F36C4E80-E46D-44EB-93C7-9F3B42683C01}"/>
    <cellStyle name="Currency 3 2 4 5 2 4" xfId="13545" xr:uid="{AAF13819-E1DB-4E26-85C1-47D81808E998}"/>
    <cellStyle name="Currency 3 2 4 5 2 5" xfId="30439" xr:uid="{018F2EBC-100E-4662-8D15-E8A0272B16C1}"/>
    <cellStyle name="Currency 3 2 4 5 3" xfId="6291" xr:uid="{00000000-0005-0000-0000-00003C0B0000}"/>
    <cellStyle name="Currency 3 2 4 5 3 2" xfId="24064" xr:uid="{C563464A-4083-45AF-A5D6-2973FA4C607A}"/>
    <cellStyle name="Currency 3 2 4 5 3 2 2" xfId="40958" xr:uid="{F88AF64B-F62B-42FB-871E-2FAEA2D95ABD}"/>
    <cellStyle name="Currency 3 2 4 5 3 3" xfId="15617" xr:uid="{FACAC45B-8C2F-4B67-A5E3-83ADCA952AC1}"/>
    <cellStyle name="Currency 3 2 4 5 3 4" xfId="32511" xr:uid="{1BAB9D99-96BD-459D-A24C-E823D1040613}"/>
    <cellStyle name="Currency 3 2 4 5 4" xfId="19847" xr:uid="{D1209775-53CF-4FF0-A4C4-11CA0ED2D134}"/>
    <cellStyle name="Currency 3 2 4 5 4 2" xfId="36741" xr:uid="{0503540B-B1E5-45AD-9504-C8834246EA21}"/>
    <cellStyle name="Currency 3 2 4 5 5" xfId="11400" xr:uid="{64F9D6CF-40B4-4E27-B46F-F4F02937DB61}"/>
    <cellStyle name="Currency 3 2 4 5 6" xfId="28294" xr:uid="{0C1EC60D-4522-47B6-B35B-2AD9232A40F7}"/>
    <cellStyle name="Currency 3 2 4 6" xfId="2420" xr:uid="{00000000-0005-0000-0000-00003D0B0000}"/>
    <cellStyle name="Currency 3 2 4 6 2" xfId="6704" xr:uid="{00000000-0005-0000-0000-00003E0B0000}"/>
    <cellStyle name="Currency 3 2 4 6 2 2" xfId="24477" xr:uid="{16DFAEB7-2E58-4FBC-AE58-EFFB532B9512}"/>
    <cellStyle name="Currency 3 2 4 6 2 2 2" xfId="41371" xr:uid="{E9638105-9A40-406F-94AA-22966C968D3E}"/>
    <cellStyle name="Currency 3 2 4 6 2 3" xfId="16030" xr:uid="{D2F27801-7477-4A2D-B4A1-D9D640460419}"/>
    <cellStyle name="Currency 3 2 4 6 2 4" xfId="32924" xr:uid="{C9895032-7618-4CAF-81C3-75B87EE5958E}"/>
    <cellStyle name="Currency 3 2 4 6 3" xfId="20260" xr:uid="{4D9BEEAF-8F6A-471E-83C4-0D1780BCC477}"/>
    <cellStyle name="Currency 3 2 4 6 3 2" xfId="37154" xr:uid="{A43DB4A5-E5D0-4082-ABCC-5E9735D129C8}"/>
    <cellStyle name="Currency 3 2 4 6 4" xfId="11813" xr:uid="{EB737752-424E-45E2-B690-C0168E91B8CB}"/>
    <cellStyle name="Currency 3 2 4 6 5" xfId="28707" xr:uid="{B55FE81B-848D-43AE-9643-BF1507C726A6}"/>
    <cellStyle name="Currency 3 2 4 7" xfId="2717" xr:uid="{00000000-0005-0000-0000-00003F0B0000}"/>
    <cellStyle name="Currency 3 2 4 8" xfId="2798" xr:uid="{00000000-0005-0000-0000-0000400B0000}"/>
    <cellStyle name="Currency 3 2 4 8 2" xfId="7021" xr:uid="{00000000-0005-0000-0000-0000410B0000}"/>
    <cellStyle name="Currency 3 2 4 8 2 2" xfId="24794" xr:uid="{79C7951D-1A27-423D-9D91-8C780B9CA8BA}"/>
    <cellStyle name="Currency 3 2 4 8 2 2 2" xfId="41688" xr:uid="{21EAB77F-16C7-4B39-A0CB-58A6919602CB}"/>
    <cellStyle name="Currency 3 2 4 8 2 3" xfId="16347" xr:uid="{26D8886C-A01B-4BEB-8198-F8A35748C438}"/>
    <cellStyle name="Currency 3 2 4 8 2 4" xfId="33241" xr:uid="{C851ABE3-A8E9-4522-8733-43DA36100B5A}"/>
    <cellStyle name="Currency 3 2 4 8 3" xfId="20577" xr:uid="{0D44999F-C4D6-47BE-97BC-A3E9152FADF8}"/>
    <cellStyle name="Currency 3 2 4 8 3 2" xfId="37471" xr:uid="{8E64FF18-5AAC-447D-8DA5-D1AFDD7E9B73}"/>
    <cellStyle name="Currency 3 2 4 8 4" xfId="12130" xr:uid="{985E7ADC-BBDE-4291-A6B6-678BE3F7FAEF}"/>
    <cellStyle name="Currency 3 2 4 8 5" xfId="29024" xr:uid="{F246F6A1-8E19-47B9-A64C-51093D29768E}"/>
    <cellStyle name="Currency 3 2 4 9" xfId="4638" xr:uid="{00000000-0005-0000-0000-0000420B0000}"/>
    <cellStyle name="Currency 3 2 4 9 2" xfId="22411" xr:uid="{B78CAE75-27C6-4BCC-8F09-CA77EB58487F}"/>
    <cellStyle name="Currency 3 2 4 9 2 2" xfId="39305" xr:uid="{802E687A-7662-4995-9FD9-13748923A24F}"/>
    <cellStyle name="Currency 3 2 4 9 3" xfId="13964" xr:uid="{20570321-34BF-4FAA-B488-18002630DD8F}"/>
    <cellStyle name="Currency 3 2 4 9 4" xfId="30858" xr:uid="{9E47C6E2-380A-4B1B-AA18-D564432EA004}"/>
    <cellStyle name="Currency 3 2 5" xfId="185" xr:uid="{00000000-0005-0000-0000-0000430B0000}"/>
    <cellStyle name="Currency 3 2 5 10" xfId="9214" xr:uid="{3D0A867F-0B9D-4759-A509-3EC1084E197B}"/>
    <cellStyle name="Currency 3 2 5 10 2" xfId="18195" xr:uid="{ED541ED6-7D66-4768-855F-06CEB5A67FB4}"/>
    <cellStyle name="Currency 3 2 5 10 3" xfId="35089" xr:uid="{60E78294-3DAE-4736-A009-78375B3247F3}"/>
    <cellStyle name="Currency 3 2 5 11" xfId="9748" xr:uid="{7DF84688-B779-4FB6-9BA9-939481C1C0BB}"/>
    <cellStyle name="Currency 3 2 5 12" xfId="26642" xr:uid="{1AF59C50-596E-49A1-A5E1-04450580E037}"/>
    <cellStyle name="Currency 3 2 5 2" xfId="715" xr:uid="{00000000-0005-0000-0000-0000440B0000}"/>
    <cellStyle name="Currency 3 2 5 2 2" xfId="2976" xr:uid="{00000000-0005-0000-0000-0000450B0000}"/>
    <cellStyle name="Currency 3 2 5 2 2 2" xfId="7198" xr:uid="{00000000-0005-0000-0000-0000460B0000}"/>
    <cellStyle name="Currency 3 2 5 2 2 2 2" xfId="24971" xr:uid="{8FAA53A4-ED75-40EE-98FB-6E5F6FB96590}"/>
    <cellStyle name="Currency 3 2 5 2 2 2 2 2" xfId="41865" xr:uid="{555F7662-9847-4390-9E9B-3ACFCEDE9846}"/>
    <cellStyle name="Currency 3 2 5 2 2 2 3" xfId="16524" xr:uid="{ECA6D2A3-40EA-4EA6-9329-C6BC8BF115FB}"/>
    <cellStyle name="Currency 3 2 5 2 2 2 4" xfId="33418" xr:uid="{3F9FBF4A-E293-452A-B918-8B8F0DC90093}"/>
    <cellStyle name="Currency 3 2 5 2 2 3" xfId="20754" xr:uid="{057D175C-BDB2-49D6-801E-85D793082879}"/>
    <cellStyle name="Currency 3 2 5 2 2 3 2" xfId="37648" xr:uid="{0183AF0A-93D2-43E1-8A11-C330E8691B56}"/>
    <cellStyle name="Currency 3 2 5 2 2 4" xfId="12307" xr:uid="{7C4A47B8-5943-402D-8BB2-46BACEB0B402}"/>
    <cellStyle name="Currency 3 2 5 2 2 5" xfId="29201" xr:uid="{C36169A2-090F-4F95-BDDA-49DAC00810EE}"/>
    <cellStyle name="Currency 3 2 5 2 3" xfId="5053" xr:uid="{00000000-0005-0000-0000-0000470B0000}"/>
    <cellStyle name="Currency 3 2 5 2 3 2" xfId="22826" xr:uid="{B9C3A776-698F-4EF9-86A6-6069D0AD16CA}"/>
    <cellStyle name="Currency 3 2 5 2 3 2 2" xfId="39720" xr:uid="{73722D93-C249-4878-A21B-809DAFAA0AA9}"/>
    <cellStyle name="Currency 3 2 5 2 3 3" xfId="14379" xr:uid="{2B59C6AB-14D5-493D-866F-B0189FD39C9C}"/>
    <cellStyle name="Currency 3 2 5 2 3 4" xfId="31273" xr:uid="{8D136862-0B2F-41FC-95A8-4C0C254C8A92}"/>
    <cellStyle name="Currency 3 2 5 2 4" xfId="9597" xr:uid="{6E2F978E-96E4-4AD8-B4BD-1BE9D7E96A2F}"/>
    <cellStyle name="Currency 3 2 5 2 4 2" xfId="18609" xr:uid="{34298F79-A11B-41F9-924D-CF91A58F08EF}"/>
    <cellStyle name="Currency 3 2 5 2 4 3" xfId="35503" xr:uid="{9D15864D-9B08-4619-A4F5-A045889D2409}"/>
    <cellStyle name="Currency 3 2 5 2 5" xfId="10162" xr:uid="{59834EDC-7B5F-4C13-9A7C-1F755271A5D0}"/>
    <cellStyle name="Currency 3 2 5 2 6" xfId="27056" xr:uid="{DC271B27-75FC-4FDA-9932-C11EBD02ADFD}"/>
    <cellStyle name="Currency 3 2 5 3" xfId="1158" xr:uid="{00000000-0005-0000-0000-0000480B0000}"/>
    <cellStyle name="Currency 3 2 5 3 2" xfId="3389" xr:uid="{00000000-0005-0000-0000-0000490B0000}"/>
    <cellStyle name="Currency 3 2 5 3 2 2" xfId="7611" xr:uid="{00000000-0005-0000-0000-00004A0B0000}"/>
    <cellStyle name="Currency 3 2 5 3 2 2 2" xfId="25384" xr:uid="{F1C86115-0BA8-4DDC-AD66-9CB87961B908}"/>
    <cellStyle name="Currency 3 2 5 3 2 2 2 2" xfId="42278" xr:uid="{3D0AD625-23BC-4985-8D83-3CA81626FE4D}"/>
    <cellStyle name="Currency 3 2 5 3 2 2 3" xfId="16937" xr:uid="{486DC6D6-428A-49EC-8D14-930A242A1337}"/>
    <cellStyle name="Currency 3 2 5 3 2 2 4" xfId="33831" xr:uid="{94785B75-F806-4EBF-A5E9-2590A2D75182}"/>
    <cellStyle name="Currency 3 2 5 3 2 3" xfId="21167" xr:uid="{9731676E-A2D6-4033-9960-3BDDE1CF6327}"/>
    <cellStyle name="Currency 3 2 5 3 2 3 2" xfId="38061" xr:uid="{F6997462-E2FD-4496-A6C4-E87619D88066}"/>
    <cellStyle name="Currency 3 2 5 3 2 4" xfId="12720" xr:uid="{9731D7E1-F3AF-4CB4-B700-B0BF9B7F864C}"/>
    <cellStyle name="Currency 3 2 5 3 2 5" xfId="29614" xr:uid="{D5036261-6571-4A56-B097-0960A527EC19}"/>
    <cellStyle name="Currency 3 2 5 3 3" xfId="5466" xr:uid="{00000000-0005-0000-0000-00004B0B0000}"/>
    <cellStyle name="Currency 3 2 5 3 3 2" xfId="23239" xr:uid="{6DB9B26F-2351-4844-B8F6-65D02C2E47BE}"/>
    <cellStyle name="Currency 3 2 5 3 3 2 2" xfId="40133" xr:uid="{16862C1E-1F95-4150-8674-9FC007F80FDF}"/>
    <cellStyle name="Currency 3 2 5 3 3 3" xfId="14792" xr:uid="{6D844D94-2956-4850-8F16-473F39CD9150}"/>
    <cellStyle name="Currency 3 2 5 3 3 4" xfId="31686" xr:uid="{D4707C99-74C9-4752-8DD1-569059E4700D}"/>
    <cellStyle name="Currency 3 2 5 3 4" xfId="19022" xr:uid="{2643AFDE-CCA0-41C3-A4D9-73A697799635}"/>
    <cellStyle name="Currency 3 2 5 3 4 2" xfId="35916" xr:uid="{EE5DFC43-4BAF-44DD-B9B9-CBB1E651DD1C}"/>
    <cellStyle name="Currency 3 2 5 3 5" xfId="10575" xr:uid="{B191A52C-E8AE-4480-9CED-5CE5420B1103}"/>
    <cellStyle name="Currency 3 2 5 3 6" xfId="27469" xr:uid="{FCF98196-A38C-45B5-A733-80D6FBF7ECAE}"/>
    <cellStyle name="Currency 3 2 5 4" xfId="1572" xr:uid="{00000000-0005-0000-0000-00004C0B0000}"/>
    <cellStyle name="Currency 3 2 5 4 2" xfId="3802" xr:uid="{00000000-0005-0000-0000-00004D0B0000}"/>
    <cellStyle name="Currency 3 2 5 4 2 2" xfId="8024" xr:uid="{00000000-0005-0000-0000-00004E0B0000}"/>
    <cellStyle name="Currency 3 2 5 4 2 2 2" xfId="25797" xr:uid="{D5CE9E9A-FF7B-4907-91E1-C4927B4C28FC}"/>
    <cellStyle name="Currency 3 2 5 4 2 2 2 2" xfId="42691" xr:uid="{5EB4962B-B659-47FF-B78A-271ADDA9C0D2}"/>
    <cellStyle name="Currency 3 2 5 4 2 2 3" xfId="17350" xr:uid="{46465F21-5EEF-4E1D-A614-CED908D7F40E}"/>
    <cellStyle name="Currency 3 2 5 4 2 2 4" xfId="34244" xr:uid="{B3E41A4A-EA36-4EA2-893D-5B466164C10E}"/>
    <cellStyle name="Currency 3 2 5 4 2 3" xfId="21580" xr:uid="{74526D30-49AE-4F5A-960E-7496F70BDEF1}"/>
    <cellStyle name="Currency 3 2 5 4 2 3 2" xfId="38474" xr:uid="{70C042DE-8124-4AF2-A6EB-667A07FE57B2}"/>
    <cellStyle name="Currency 3 2 5 4 2 4" xfId="13133" xr:uid="{50C2B677-EF9B-4801-9D98-B048459C7BA4}"/>
    <cellStyle name="Currency 3 2 5 4 2 5" xfId="30027" xr:uid="{7E773F2D-FF29-43FE-9A44-A784DE763F15}"/>
    <cellStyle name="Currency 3 2 5 4 3" xfId="5879" xr:uid="{00000000-0005-0000-0000-00004F0B0000}"/>
    <cellStyle name="Currency 3 2 5 4 3 2" xfId="23652" xr:uid="{9DF07DED-8799-48D4-82A4-09FD8EF2EF78}"/>
    <cellStyle name="Currency 3 2 5 4 3 2 2" xfId="40546" xr:uid="{35854EAD-F435-4E39-A571-09C84296CD85}"/>
    <cellStyle name="Currency 3 2 5 4 3 3" xfId="15205" xr:uid="{D3805D41-143A-49B6-9B7F-8E54E13444DF}"/>
    <cellStyle name="Currency 3 2 5 4 3 4" xfId="32099" xr:uid="{D76E507C-A0E1-434B-88F9-83F657C61A6A}"/>
    <cellStyle name="Currency 3 2 5 4 4" xfId="19435" xr:uid="{75BA1BF5-FA8A-4EBF-8517-D9A7B65C9213}"/>
    <cellStyle name="Currency 3 2 5 4 4 2" xfId="36329" xr:uid="{98CBEB5E-ADCE-4D96-A125-1AE93E10C9E7}"/>
    <cellStyle name="Currency 3 2 5 4 5" xfId="10988" xr:uid="{5088F50A-0F44-4F31-8A73-4DB6A396B2D2}"/>
    <cellStyle name="Currency 3 2 5 4 6" xfId="27882" xr:uid="{2D79A1F5-B27A-4BA4-8D15-5DF3250BC2A5}"/>
    <cellStyle name="Currency 3 2 5 5" xfId="1986" xr:uid="{00000000-0005-0000-0000-0000500B0000}"/>
    <cellStyle name="Currency 3 2 5 5 2" xfId="4215" xr:uid="{00000000-0005-0000-0000-0000510B0000}"/>
    <cellStyle name="Currency 3 2 5 5 2 2" xfId="8437" xr:uid="{00000000-0005-0000-0000-0000520B0000}"/>
    <cellStyle name="Currency 3 2 5 5 2 2 2" xfId="26210" xr:uid="{FE51C293-1040-4E4A-B1B3-24DA66DEE5B1}"/>
    <cellStyle name="Currency 3 2 5 5 2 2 2 2" xfId="43104" xr:uid="{23CAD16B-E9D9-4FF7-B6C4-C03768D4177B}"/>
    <cellStyle name="Currency 3 2 5 5 2 2 3" xfId="17763" xr:uid="{6D7CE31B-652E-4F80-9343-6FB49F8A962D}"/>
    <cellStyle name="Currency 3 2 5 5 2 2 4" xfId="34657" xr:uid="{9CFAFF6D-4340-4B62-BB08-F04AE7C1A066}"/>
    <cellStyle name="Currency 3 2 5 5 2 3" xfId="21993" xr:uid="{32ECDECF-248F-4A67-BD52-9D2E34F058DB}"/>
    <cellStyle name="Currency 3 2 5 5 2 3 2" xfId="38887" xr:uid="{272E4C37-9E81-4971-8DE9-D544668D1A15}"/>
    <cellStyle name="Currency 3 2 5 5 2 4" xfId="13546" xr:uid="{F5484587-1836-45A2-8A47-8AC7890BAE9B}"/>
    <cellStyle name="Currency 3 2 5 5 2 5" xfId="30440" xr:uid="{CDD97C93-C890-4E3A-B530-D9F9A75B3B88}"/>
    <cellStyle name="Currency 3 2 5 5 3" xfId="6292" xr:uid="{00000000-0005-0000-0000-0000530B0000}"/>
    <cellStyle name="Currency 3 2 5 5 3 2" xfId="24065" xr:uid="{2023F161-BABB-45EC-A40C-2ACFD0E3F31C}"/>
    <cellStyle name="Currency 3 2 5 5 3 2 2" xfId="40959" xr:uid="{4D98753B-01D9-4503-913E-C97DFDE12BE2}"/>
    <cellStyle name="Currency 3 2 5 5 3 3" xfId="15618" xr:uid="{F68C3FB4-FA76-477D-BE80-FCB83EC7F5A3}"/>
    <cellStyle name="Currency 3 2 5 5 3 4" xfId="32512" xr:uid="{774E139C-C443-451C-9941-9F7B92602C6E}"/>
    <cellStyle name="Currency 3 2 5 5 4" xfId="19848" xr:uid="{E71F3F83-E111-479C-8247-73F613438F5F}"/>
    <cellStyle name="Currency 3 2 5 5 4 2" xfId="36742" xr:uid="{7E3C86D7-786A-4153-8D5D-3D23ACD70969}"/>
    <cellStyle name="Currency 3 2 5 5 5" xfId="11401" xr:uid="{B3FCAC87-917D-4211-9D25-DFB3C81281CE}"/>
    <cellStyle name="Currency 3 2 5 5 6" xfId="28295" xr:uid="{4F65A3DD-758B-4113-B596-8A143F5BF944}"/>
    <cellStyle name="Currency 3 2 5 6" xfId="2421" xr:uid="{00000000-0005-0000-0000-0000540B0000}"/>
    <cellStyle name="Currency 3 2 5 6 2" xfId="6705" xr:uid="{00000000-0005-0000-0000-0000550B0000}"/>
    <cellStyle name="Currency 3 2 5 6 2 2" xfId="24478" xr:uid="{DE8ECC6F-9E7D-43F7-AC7D-F52D1CCC0B85}"/>
    <cellStyle name="Currency 3 2 5 6 2 2 2" xfId="41372" xr:uid="{ADB3F208-217B-40C4-BA3F-1617FDB84D0D}"/>
    <cellStyle name="Currency 3 2 5 6 2 3" xfId="16031" xr:uid="{50DDB1D8-36E3-49A8-B86D-5D8D935F7C6A}"/>
    <cellStyle name="Currency 3 2 5 6 2 4" xfId="32925" xr:uid="{18C2A242-CCAF-42C4-9164-6840DB9A7EEE}"/>
    <cellStyle name="Currency 3 2 5 6 3" xfId="20261" xr:uid="{BD7F4065-7D4A-4FE0-AAA0-D9779366049D}"/>
    <cellStyle name="Currency 3 2 5 6 3 2" xfId="37155" xr:uid="{15073A19-FBEF-40BC-82E0-FCCB01BF77E8}"/>
    <cellStyle name="Currency 3 2 5 6 4" xfId="11814" xr:uid="{6D2E4FE7-6D0F-480B-B6C1-C15005B1A844}"/>
    <cellStyle name="Currency 3 2 5 6 5" xfId="28708" xr:uid="{497A5408-D5C1-44E5-BF2B-9FF641308953}"/>
    <cellStyle name="Currency 3 2 5 7" xfId="2718" xr:uid="{00000000-0005-0000-0000-0000560B0000}"/>
    <cellStyle name="Currency 3 2 5 8" xfId="2799" xr:uid="{00000000-0005-0000-0000-0000570B0000}"/>
    <cellStyle name="Currency 3 2 5 8 2" xfId="7022" xr:uid="{00000000-0005-0000-0000-0000580B0000}"/>
    <cellStyle name="Currency 3 2 5 8 2 2" xfId="24795" xr:uid="{708BB68F-356B-41A6-98AC-3CFD1F5C3F01}"/>
    <cellStyle name="Currency 3 2 5 8 2 2 2" xfId="41689" xr:uid="{AC42D1CB-C8C0-4059-8FA4-A5F47D7DC25B}"/>
    <cellStyle name="Currency 3 2 5 8 2 3" xfId="16348" xr:uid="{62039DC2-BE17-469D-9BF3-8B81C18B279F}"/>
    <cellStyle name="Currency 3 2 5 8 2 4" xfId="33242" xr:uid="{77E39CAC-E682-450D-9172-B05360C15E39}"/>
    <cellStyle name="Currency 3 2 5 8 3" xfId="20578" xr:uid="{EFD25F5C-9B75-48C3-8F81-4A79075A8247}"/>
    <cellStyle name="Currency 3 2 5 8 3 2" xfId="37472" xr:uid="{14D8161F-C0CD-49A3-8C4B-B75217669C78}"/>
    <cellStyle name="Currency 3 2 5 8 4" xfId="12131" xr:uid="{3361AE8F-30E0-4677-993B-DFDD40A8C6D2}"/>
    <cellStyle name="Currency 3 2 5 8 5" xfId="29025" xr:uid="{2AA8A8C9-664C-4EFF-85C6-DCCE7EC5BBB7}"/>
    <cellStyle name="Currency 3 2 5 9" xfId="4639" xr:uid="{00000000-0005-0000-0000-0000590B0000}"/>
    <cellStyle name="Currency 3 2 5 9 2" xfId="22412" xr:uid="{184FD70B-AC17-4F96-966C-2F5364DCED00}"/>
    <cellStyle name="Currency 3 2 5 9 2 2" xfId="39306" xr:uid="{7E6D9033-2BA4-4AE6-8475-0FFEB3DDB1A1}"/>
    <cellStyle name="Currency 3 2 5 9 3" xfId="13965" xr:uid="{CB5AFAD1-9827-4C34-A3C4-D16B8AE163DF}"/>
    <cellStyle name="Currency 3 2 5 9 4" xfId="30859" xr:uid="{7DCD62CE-6705-4BCA-9815-B3AFCEA3E1C7}"/>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0 2 2" xfId="24796" xr:uid="{FEEFD09B-C416-4071-BD9D-44CF49716A5A}"/>
    <cellStyle name="Currency 5 2 2 2 10 2 2 2" xfId="41690" xr:uid="{3425CD11-CB48-4D15-B02C-4E120EDA250D}"/>
    <cellStyle name="Currency 5 2 2 2 10 2 3" xfId="16349" xr:uid="{5A2869DE-25C0-4B54-93B2-213D1E1A94B4}"/>
    <cellStyle name="Currency 5 2 2 2 10 2 4" xfId="33243" xr:uid="{2B8AD99D-2849-4677-8233-C7BAF23AC96C}"/>
    <cellStyle name="Currency 5 2 2 2 10 3" xfId="20579" xr:uid="{820930C1-0EFE-4CEC-AD3D-7AAF9D63539E}"/>
    <cellStyle name="Currency 5 2 2 2 10 3 2" xfId="37473" xr:uid="{1FBAAD18-43BA-421B-A164-C89A027353AE}"/>
    <cellStyle name="Currency 5 2 2 2 10 4" xfId="12132" xr:uid="{0790F5A4-48D7-45E3-88EC-5455FF91A82A}"/>
    <cellStyle name="Currency 5 2 2 2 10 5" xfId="29026" xr:uid="{EC425BC5-1051-4666-8C65-F7CE5B79413A}"/>
    <cellStyle name="Currency 5 2 2 2 11" xfId="4640" xr:uid="{00000000-0005-0000-0000-00006C0B0000}"/>
    <cellStyle name="Currency 5 2 2 2 11 2" xfId="22413" xr:uid="{88616FFF-CB57-4655-9B66-20F00D3B76A2}"/>
    <cellStyle name="Currency 5 2 2 2 11 2 2" xfId="39307" xr:uid="{F62BEBA3-85A3-4E65-B20A-2E885E8B06C3}"/>
    <cellStyle name="Currency 5 2 2 2 11 3" xfId="13966" xr:uid="{DFFE3043-CDBE-4149-8141-8D9645938ABD}"/>
    <cellStyle name="Currency 5 2 2 2 11 4" xfId="30860" xr:uid="{65439E64-9679-48D2-B16A-CC9145A19AC1}"/>
    <cellStyle name="Currency 5 2 2 2 12" xfId="8809" xr:uid="{6E2B58BA-BC61-49BF-A0FE-5BC79A050654}"/>
    <cellStyle name="Currency 5 2 2 2 12 2" xfId="18196" xr:uid="{36F67B6E-1ED2-45A9-B1B0-6CABAA40E5C4}"/>
    <cellStyle name="Currency 5 2 2 2 12 3" xfId="35090" xr:uid="{3C48103D-4750-42A1-8301-FCA2C3BBCB90}"/>
    <cellStyle name="Currency 5 2 2 2 13" xfId="9749" xr:uid="{A844A37B-FF15-4E30-B63E-CA863074EEF9}"/>
    <cellStyle name="Currency 5 2 2 2 14" xfId="26643" xr:uid="{0978E4B8-2452-4ECD-9A90-BA626DB6F320}"/>
    <cellStyle name="Currency 5 2 2 2 2" xfId="197" xr:uid="{00000000-0005-0000-0000-00006D0B0000}"/>
    <cellStyle name="Currency 5 2 2 2 2 10" xfId="4641" xr:uid="{00000000-0005-0000-0000-00006E0B0000}"/>
    <cellStyle name="Currency 5 2 2 2 2 10 2" xfId="22414" xr:uid="{74B14F6E-A10A-457F-9712-D4B5A0718BDE}"/>
    <cellStyle name="Currency 5 2 2 2 2 10 2 2" xfId="39308" xr:uid="{928D864E-C53D-4712-93DD-EAB8B334A5D7}"/>
    <cellStyle name="Currency 5 2 2 2 2 10 3" xfId="13967" xr:uid="{BEAF84F2-989D-4A40-9C46-C8A7766DD5B3}"/>
    <cellStyle name="Currency 5 2 2 2 2 10 4" xfId="30861" xr:uid="{61E458B9-2C48-4DDA-B056-F5364B9FD3C1}"/>
    <cellStyle name="Currency 5 2 2 2 2 11" xfId="8912" xr:uid="{4079D27E-F98B-4445-AE20-FFD848158756}"/>
    <cellStyle name="Currency 5 2 2 2 2 11 2" xfId="18197" xr:uid="{5F801E75-563C-46A6-89A2-A7C6A4A4B12B}"/>
    <cellStyle name="Currency 5 2 2 2 2 11 3" xfId="35091" xr:uid="{222B4B13-A4E9-417E-9A8C-011EB313F9F8}"/>
    <cellStyle name="Currency 5 2 2 2 2 12" xfId="9750" xr:uid="{9ED76716-515A-469B-9175-99949A3CBB6B}"/>
    <cellStyle name="Currency 5 2 2 2 2 13" xfId="26644" xr:uid="{5CBAA78D-15EC-451D-910D-F2417C4F9404}"/>
    <cellStyle name="Currency 5 2 2 2 2 2" xfId="198" xr:uid="{00000000-0005-0000-0000-00006F0B0000}"/>
    <cellStyle name="Currency 5 2 2 2 2 2 10" xfId="9119" xr:uid="{2B97CFE9-E9FD-476D-A341-C695293642F3}"/>
    <cellStyle name="Currency 5 2 2 2 2 2 10 2" xfId="18198" xr:uid="{615AFCB0-1EA2-4DAF-A597-AE3C55C479A9}"/>
    <cellStyle name="Currency 5 2 2 2 2 2 10 3" xfId="35092" xr:uid="{A02D6FDD-069C-46FD-AD73-845AF3F0E803}"/>
    <cellStyle name="Currency 5 2 2 2 2 2 11" xfId="9751" xr:uid="{6D219575-283D-4832-905B-4D7EE0AC3132}"/>
    <cellStyle name="Currency 5 2 2 2 2 2 12" xfId="26645" xr:uid="{EA9EF738-6E31-49A2-885B-078304FC1E3A}"/>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2 2 2" xfId="24974" xr:uid="{8D1265AB-0153-4533-BC56-8DF48CEF2C67}"/>
    <cellStyle name="Currency 5 2 2 2 2 2 2 2 2 2 2" xfId="41868" xr:uid="{ACB55F7B-2DB0-4CB1-8652-7AE371B52613}"/>
    <cellStyle name="Currency 5 2 2 2 2 2 2 2 2 3" xfId="16527" xr:uid="{CA9C8C57-5AC0-4815-B556-21B8942DDCA9}"/>
    <cellStyle name="Currency 5 2 2 2 2 2 2 2 2 4" xfId="33421" xr:uid="{3F940DCC-F6A9-4A70-AF94-289613A0355E}"/>
    <cellStyle name="Currency 5 2 2 2 2 2 2 2 3" xfId="20757" xr:uid="{F069796D-64C7-465A-858D-146F50E92435}"/>
    <cellStyle name="Currency 5 2 2 2 2 2 2 2 3 2" xfId="37651" xr:uid="{96224153-6011-488C-953C-891891353C80}"/>
    <cellStyle name="Currency 5 2 2 2 2 2 2 2 4" xfId="12310" xr:uid="{01035812-E8EA-4C9A-9087-FD88399E5316}"/>
    <cellStyle name="Currency 5 2 2 2 2 2 2 2 5" xfId="29204" xr:uid="{0B06F07C-A9CA-4C98-8E13-2C1147B9EC2B}"/>
    <cellStyle name="Currency 5 2 2 2 2 2 2 3" xfId="5056" xr:uid="{00000000-0005-0000-0000-0000730B0000}"/>
    <cellStyle name="Currency 5 2 2 2 2 2 2 3 2" xfId="22829" xr:uid="{90D36A72-3926-48E5-93A6-BF5181F67C6E}"/>
    <cellStyle name="Currency 5 2 2 2 2 2 2 3 2 2" xfId="39723" xr:uid="{5A1076F9-1F5D-4372-8695-F5D3183DDC67}"/>
    <cellStyle name="Currency 5 2 2 2 2 2 2 3 3" xfId="14382" xr:uid="{4C20D1D5-6025-4226-8B43-BC9BB792EA0D}"/>
    <cellStyle name="Currency 5 2 2 2 2 2 2 3 4" xfId="31276" xr:uid="{17FB66B3-2E71-4F03-A1F8-18F7C735CF34}"/>
    <cellStyle name="Currency 5 2 2 2 2 2 2 4" xfId="9544" xr:uid="{77881B28-843C-4677-B92C-D2A5804BDB97}"/>
    <cellStyle name="Currency 5 2 2 2 2 2 2 4 2" xfId="18612" xr:uid="{38624C12-8609-420C-A8B6-53FB313C1E6C}"/>
    <cellStyle name="Currency 5 2 2 2 2 2 2 4 3" xfId="35506" xr:uid="{54E341FE-3E1D-4845-81D7-5C24CFDC9C3A}"/>
    <cellStyle name="Currency 5 2 2 2 2 2 2 5" xfId="10165" xr:uid="{E8D61527-8DB2-4D6B-8B91-CAF7556087D6}"/>
    <cellStyle name="Currency 5 2 2 2 2 2 2 6" xfId="27059" xr:uid="{3911E5B8-692B-41CD-8E6B-EB9D708C2414}"/>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2 2 2" xfId="25387" xr:uid="{8B43CF07-2BA9-4FA4-9596-954F54A469AB}"/>
    <cellStyle name="Currency 5 2 2 2 2 2 3 2 2 2 2" xfId="42281" xr:uid="{94F39416-DA63-4CD6-A2FE-77003E42AD84}"/>
    <cellStyle name="Currency 5 2 2 2 2 2 3 2 2 3" xfId="16940" xr:uid="{5808A9AF-E3DF-47C6-A548-044C80DB5475}"/>
    <cellStyle name="Currency 5 2 2 2 2 2 3 2 2 4" xfId="33834" xr:uid="{C5D9F6FD-E4B4-4A93-821B-C67EC40FC21E}"/>
    <cellStyle name="Currency 5 2 2 2 2 2 3 2 3" xfId="21170" xr:uid="{25F7AFC2-2124-4B66-BF78-14B8FD3F84D8}"/>
    <cellStyle name="Currency 5 2 2 2 2 2 3 2 3 2" xfId="38064" xr:uid="{9B63494C-C3F0-4CE3-8D95-CF1BCDC1B6B7}"/>
    <cellStyle name="Currency 5 2 2 2 2 2 3 2 4" xfId="12723" xr:uid="{57F44D04-A8E0-4EFF-A81E-8CEDE1BF8E52}"/>
    <cellStyle name="Currency 5 2 2 2 2 2 3 2 5" xfId="29617" xr:uid="{6D840EA4-C146-48A8-BF78-C1162D796432}"/>
    <cellStyle name="Currency 5 2 2 2 2 2 3 3" xfId="5469" xr:uid="{00000000-0005-0000-0000-0000770B0000}"/>
    <cellStyle name="Currency 5 2 2 2 2 2 3 3 2" xfId="23242" xr:uid="{D41C8FC7-58F6-4CBB-B59F-CB0BC9974790}"/>
    <cellStyle name="Currency 5 2 2 2 2 2 3 3 2 2" xfId="40136" xr:uid="{9E39C5FA-0883-4234-8ABA-69D0DFCD009E}"/>
    <cellStyle name="Currency 5 2 2 2 2 2 3 3 3" xfId="14795" xr:uid="{BC4C2214-F913-4F3C-AAC0-4E140652D419}"/>
    <cellStyle name="Currency 5 2 2 2 2 2 3 3 4" xfId="31689" xr:uid="{EF0EEC75-58A6-491B-9A23-753E22341AAC}"/>
    <cellStyle name="Currency 5 2 2 2 2 2 3 4" xfId="19025" xr:uid="{B6919994-E6FF-44A1-8AB0-5EE832774927}"/>
    <cellStyle name="Currency 5 2 2 2 2 2 3 4 2" xfId="35919" xr:uid="{AAE8E657-0072-4C92-A0FE-6E0CF64B737C}"/>
    <cellStyle name="Currency 5 2 2 2 2 2 3 5" xfId="10578" xr:uid="{4F947DB4-A64A-45AA-ADFD-3CA3068E180E}"/>
    <cellStyle name="Currency 5 2 2 2 2 2 3 6" xfId="27472" xr:uid="{09B1FEFD-0FB1-423F-AF4C-3F20574638A6}"/>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2 2 2" xfId="25800" xr:uid="{B603EEB8-26E4-4466-B797-C966096C878F}"/>
    <cellStyle name="Currency 5 2 2 2 2 2 4 2 2 2 2" xfId="42694" xr:uid="{08327103-1E60-4F71-8A1B-ACD10D98EDFC}"/>
    <cellStyle name="Currency 5 2 2 2 2 2 4 2 2 3" xfId="17353" xr:uid="{C52F3AFE-06C4-4B6D-AFDB-032A3E253807}"/>
    <cellStyle name="Currency 5 2 2 2 2 2 4 2 2 4" xfId="34247" xr:uid="{A9C3DDFE-03DA-4254-87F9-2C98727AABE8}"/>
    <cellStyle name="Currency 5 2 2 2 2 2 4 2 3" xfId="21583" xr:uid="{AD246CBC-F194-4D3A-A155-43033E330BB7}"/>
    <cellStyle name="Currency 5 2 2 2 2 2 4 2 3 2" xfId="38477" xr:uid="{33A9B9FB-BC28-4AD6-A4AB-52736B669750}"/>
    <cellStyle name="Currency 5 2 2 2 2 2 4 2 4" xfId="13136" xr:uid="{0A373A5C-0768-4394-8D48-5918ED7A468E}"/>
    <cellStyle name="Currency 5 2 2 2 2 2 4 2 5" xfId="30030" xr:uid="{E2AA6CE0-487B-4511-893F-39E83ACCF5DE}"/>
    <cellStyle name="Currency 5 2 2 2 2 2 4 3" xfId="5882" xr:uid="{00000000-0005-0000-0000-00007B0B0000}"/>
    <cellStyle name="Currency 5 2 2 2 2 2 4 3 2" xfId="23655" xr:uid="{A421D9F0-175E-4F53-90EA-A81E83A93D62}"/>
    <cellStyle name="Currency 5 2 2 2 2 2 4 3 2 2" xfId="40549" xr:uid="{52D005DA-FC04-4ED4-A06C-78C46B94E922}"/>
    <cellStyle name="Currency 5 2 2 2 2 2 4 3 3" xfId="15208" xr:uid="{8424B4C3-45B1-448C-A711-66E02D7517AA}"/>
    <cellStyle name="Currency 5 2 2 2 2 2 4 3 4" xfId="32102" xr:uid="{CBAE6B2B-1072-415B-BCCD-AA40091234D8}"/>
    <cellStyle name="Currency 5 2 2 2 2 2 4 4" xfId="19438" xr:uid="{0045B181-8F70-46B1-AAC9-E02CC025DB83}"/>
    <cellStyle name="Currency 5 2 2 2 2 2 4 4 2" xfId="36332" xr:uid="{04A7222C-EE85-4792-95A6-7D87A897114B}"/>
    <cellStyle name="Currency 5 2 2 2 2 2 4 5" xfId="10991" xr:uid="{2BA92A4E-7322-4B4B-B98C-0E4EA7B8DE10}"/>
    <cellStyle name="Currency 5 2 2 2 2 2 4 6" xfId="27885" xr:uid="{82065809-C233-446F-A270-A00EACCD392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2 2 2" xfId="26213" xr:uid="{6B879816-AC1A-4CF8-A2E9-B65959000C54}"/>
    <cellStyle name="Currency 5 2 2 2 2 2 5 2 2 2 2" xfId="43107" xr:uid="{F353D6AB-4F3D-4B2E-B760-904460FE80E3}"/>
    <cellStyle name="Currency 5 2 2 2 2 2 5 2 2 3" xfId="17766" xr:uid="{2D382679-48E7-4C5E-AAAA-AF7637FCE459}"/>
    <cellStyle name="Currency 5 2 2 2 2 2 5 2 2 4" xfId="34660" xr:uid="{0B55D2D7-ADA7-4D2A-9967-C4DE54579145}"/>
    <cellStyle name="Currency 5 2 2 2 2 2 5 2 3" xfId="21996" xr:uid="{ADF0263E-CE1F-4A72-9942-FF2024D19F89}"/>
    <cellStyle name="Currency 5 2 2 2 2 2 5 2 3 2" xfId="38890" xr:uid="{FBCF3155-63AB-4072-8889-A8AA757B8A25}"/>
    <cellStyle name="Currency 5 2 2 2 2 2 5 2 4" xfId="13549" xr:uid="{FD82965F-F7B4-400A-ADFF-FD08BD55E883}"/>
    <cellStyle name="Currency 5 2 2 2 2 2 5 2 5" xfId="30443" xr:uid="{C85D887A-24C8-44C0-B425-BD1591C99119}"/>
    <cellStyle name="Currency 5 2 2 2 2 2 5 3" xfId="6295" xr:uid="{00000000-0005-0000-0000-00007F0B0000}"/>
    <cellStyle name="Currency 5 2 2 2 2 2 5 3 2" xfId="24068" xr:uid="{C3F43AB3-1337-43A8-ABB6-FE0C546A2D62}"/>
    <cellStyle name="Currency 5 2 2 2 2 2 5 3 2 2" xfId="40962" xr:uid="{AF5E962B-2622-4FB7-9F12-5A5E41280E86}"/>
    <cellStyle name="Currency 5 2 2 2 2 2 5 3 3" xfId="15621" xr:uid="{B14C639A-71D0-4D89-B492-BDC13824DBCD}"/>
    <cellStyle name="Currency 5 2 2 2 2 2 5 3 4" xfId="32515" xr:uid="{7F9BADCA-7A2F-4E5B-AF65-4B7965606746}"/>
    <cellStyle name="Currency 5 2 2 2 2 2 5 4" xfId="19851" xr:uid="{792A9105-706E-4329-A20E-1976C8E2E0CC}"/>
    <cellStyle name="Currency 5 2 2 2 2 2 5 4 2" xfId="36745" xr:uid="{8DF6E98C-BC70-47EB-8266-C6C19F869E08}"/>
    <cellStyle name="Currency 5 2 2 2 2 2 5 5" xfId="11404" xr:uid="{913DCEE2-A44F-4E90-BB0E-D2053CFE1985}"/>
    <cellStyle name="Currency 5 2 2 2 2 2 5 6" xfId="28298" xr:uid="{C472C9C8-7006-4081-BE2B-3A1235140F53}"/>
    <cellStyle name="Currency 5 2 2 2 2 2 6" xfId="2424" xr:uid="{00000000-0005-0000-0000-0000800B0000}"/>
    <cellStyle name="Currency 5 2 2 2 2 2 6 2" xfId="6708" xr:uid="{00000000-0005-0000-0000-0000810B0000}"/>
    <cellStyle name="Currency 5 2 2 2 2 2 6 2 2" xfId="24481" xr:uid="{33FCE1BF-48F6-4590-8A18-4F7DABA4572A}"/>
    <cellStyle name="Currency 5 2 2 2 2 2 6 2 2 2" xfId="41375" xr:uid="{C832B2D1-684E-4E62-A407-D249A9648EEE}"/>
    <cellStyle name="Currency 5 2 2 2 2 2 6 2 3" xfId="16034" xr:uid="{796F7C71-3253-4B0B-89C0-F18E39F8354D}"/>
    <cellStyle name="Currency 5 2 2 2 2 2 6 2 4" xfId="32928" xr:uid="{590FCF63-BC83-4A53-9BB1-9066E1110692}"/>
    <cellStyle name="Currency 5 2 2 2 2 2 6 3" xfId="20264" xr:uid="{9363AB3E-0734-4E3B-B098-5568B6B01260}"/>
    <cellStyle name="Currency 5 2 2 2 2 2 6 3 2" xfId="37158" xr:uid="{99EB09D2-1394-40F7-82D3-0E9C51020437}"/>
    <cellStyle name="Currency 5 2 2 2 2 2 6 4" xfId="11817" xr:uid="{5860504A-132E-488B-80DB-CA48EA0ABE13}"/>
    <cellStyle name="Currency 5 2 2 2 2 2 6 5" xfId="28711" xr:uid="{8BA9ADCC-0A8D-4305-B3BB-650190DA9DEE}"/>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8 2 2" xfId="24798" xr:uid="{A4555AD6-BBE5-4961-BE7E-4AADF427EA0B}"/>
    <cellStyle name="Currency 5 2 2 2 2 2 8 2 2 2" xfId="41692" xr:uid="{03AD73E6-EC33-4BF5-9FDF-F5F2E8C43F67}"/>
    <cellStyle name="Currency 5 2 2 2 2 2 8 2 3" xfId="16351" xr:uid="{D87880E4-6871-403D-A71A-7DA6496E9CD7}"/>
    <cellStyle name="Currency 5 2 2 2 2 2 8 2 4" xfId="33245" xr:uid="{473D69AF-41C5-4190-B8FA-380BD763F703}"/>
    <cellStyle name="Currency 5 2 2 2 2 2 8 3" xfId="20581" xr:uid="{1470B81E-0F26-409C-BEC3-92682BE794CB}"/>
    <cellStyle name="Currency 5 2 2 2 2 2 8 3 2" xfId="37475" xr:uid="{94BEC2A4-206D-4F8D-BDC5-CE76306295D7}"/>
    <cellStyle name="Currency 5 2 2 2 2 2 8 4" xfId="12134" xr:uid="{B85FF964-4E58-4D3B-B4AC-E1BE6D84D58C}"/>
    <cellStyle name="Currency 5 2 2 2 2 2 8 5" xfId="29028" xr:uid="{625E22D3-6436-4A0D-9C3F-31B41BFCBF4C}"/>
    <cellStyle name="Currency 5 2 2 2 2 2 9" xfId="4642" xr:uid="{00000000-0005-0000-0000-0000850B0000}"/>
    <cellStyle name="Currency 5 2 2 2 2 2 9 2" xfId="22415" xr:uid="{0FA5859F-DB6C-4907-A785-BDC6243C92A6}"/>
    <cellStyle name="Currency 5 2 2 2 2 2 9 2 2" xfId="39309" xr:uid="{13AC0DDA-4803-4064-9F3F-5C09AB49DDF3}"/>
    <cellStyle name="Currency 5 2 2 2 2 2 9 3" xfId="13968" xr:uid="{40ACF177-B988-455B-804F-46BD7131DB42}"/>
    <cellStyle name="Currency 5 2 2 2 2 2 9 4" xfId="30862" xr:uid="{38685BA1-C558-4AE1-AA3F-552FB62B856D}"/>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2 2 2" xfId="24973" xr:uid="{066842F3-25F0-4040-80B5-B40C1BA4FCDC}"/>
    <cellStyle name="Currency 5 2 2 2 2 3 2 2 2 2" xfId="41867" xr:uid="{6C3FF8AD-2EB3-4B05-9E62-E1ED431B3929}"/>
    <cellStyle name="Currency 5 2 2 2 2 3 2 2 3" xfId="16526" xr:uid="{761C29F4-5620-4FA4-BA2C-F0A75D03AD63}"/>
    <cellStyle name="Currency 5 2 2 2 2 3 2 2 4" xfId="33420" xr:uid="{55498A04-D6D5-4EF4-A493-D76F5B428D26}"/>
    <cellStyle name="Currency 5 2 2 2 2 3 2 3" xfId="20756" xr:uid="{F3F968C3-CC0A-447F-8A1E-A8B0C9E0F369}"/>
    <cellStyle name="Currency 5 2 2 2 2 3 2 3 2" xfId="37650" xr:uid="{DDE45ED6-061B-41B0-A5A1-F1C8C0E608E0}"/>
    <cellStyle name="Currency 5 2 2 2 2 3 2 4" xfId="12309" xr:uid="{B3757998-D3AD-463C-A8F3-9E9D88F30AC0}"/>
    <cellStyle name="Currency 5 2 2 2 2 3 2 5" xfId="29203" xr:uid="{09266901-AED2-4DBB-803E-FE9303D74E85}"/>
    <cellStyle name="Currency 5 2 2 2 2 3 3" xfId="5055" xr:uid="{00000000-0005-0000-0000-0000890B0000}"/>
    <cellStyle name="Currency 5 2 2 2 2 3 3 2" xfId="22828" xr:uid="{E5320320-645D-403E-B5ED-97941C11BAC0}"/>
    <cellStyle name="Currency 5 2 2 2 2 3 3 2 2" xfId="39722" xr:uid="{6A2F8727-6953-42A1-B242-7B3B2AB56FE3}"/>
    <cellStyle name="Currency 5 2 2 2 2 3 3 3" xfId="14381" xr:uid="{CF1BCC6E-B158-4382-AE73-E339BC0AA3AA}"/>
    <cellStyle name="Currency 5 2 2 2 2 3 3 4" xfId="31275" xr:uid="{B089C418-569C-4B01-9BD2-4006A39A814A}"/>
    <cellStyle name="Currency 5 2 2 2 2 3 4" xfId="9337" xr:uid="{A1FF44B9-A8E0-4A4E-9BE9-DA7FD7E326AE}"/>
    <cellStyle name="Currency 5 2 2 2 2 3 4 2" xfId="18611" xr:uid="{637D7CA1-D7F3-4706-89EA-EAC4CAB1F541}"/>
    <cellStyle name="Currency 5 2 2 2 2 3 4 3" xfId="35505" xr:uid="{5A85C07F-BB32-40FB-9BBA-C59A2C8C36DD}"/>
    <cellStyle name="Currency 5 2 2 2 2 3 5" xfId="10164" xr:uid="{B6F4CBB6-9602-4C40-93AA-4A7F427CDF40}"/>
    <cellStyle name="Currency 5 2 2 2 2 3 6" xfId="27058" xr:uid="{F3B7571E-120D-44F3-A970-737EFF8330A1}"/>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2 2 2" xfId="25386" xr:uid="{AB88DBDE-DB99-4227-8ADE-0C8A55D01701}"/>
    <cellStyle name="Currency 5 2 2 2 2 4 2 2 2 2" xfId="42280" xr:uid="{CA480434-C339-462A-BDB7-15ABFEEF254F}"/>
    <cellStyle name="Currency 5 2 2 2 2 4 2 2 3" xfId="16939" xr:uid="{72AE21E7-3B3E-448B-AFA0-982C8CF56F74}"/>
    <cellStyle name="Currency 5 2 2 2 2 4 2 2 4" xfId="33833" xr:uid="{94141C72-8A59-488F-927E-83CFFA4FA774}"/>
    <cellStyle name="Currency 5 2 2 2 2 4 2 3" xfId="21169" xr:uid="{3D886781-AB1C-4CD8-8250-EC83F6178D2E}"/>
    <cellStyle name="Currency 5 2 2 2 2 4 2 3 2" xfId="38063" xr:uid="{7F3BD638-487A-446E-8FF2-53BF104AAA6E}"/>
    <cellStyle name="Currency 5 2 2 2 2 4 2 4" xfId="12722" xr:uid="{E7BFA0BC-1C76-499C-BF9D-6EA6247D6376}"/>
    <cellStyle name="Currency 5 2 2 2 2 4 2 5" xfId="29616" xr:uid="{98B5FDAC-FEEA-43FA-AECB-FC03191D85EC}"/>
    <cellStyle name="Currency 5 2 2 2 2 4 3" xfId="5468" xr:uid="{00000000-0005-0000-0000-00008D0B0000}"/>
    <cellStyle name="Currency 5 2 2 2 2 4 3 2" xfId="23241" xr:uid="{8444B4F0-8CCC-46BF-BBA7-907CFB5ED8E3}"/>
    <cellStyle name="Currency 5 2 2 2 2 4 3 2 2" xfId="40135" xr:uid="{DB49F36B-4D33-4048-BEB4-7ADA815B65BA}"/>
    <cellStyle name="Currency 5 2 2 2 2 4 3 3" xfId="14794" xr:uid="{FFE7CBCF-B44A-4931-9098-B39DFE30B8DE}"/>
    <cellStyle name="Currency 5 2 2 2 2 4 3 4" xfId="31688" xr:uid="{53A0458C-089A-48AF-8588-2CAA5F6DFDB8}"/>
    <cellStyle name="Currency 5 2 2 2 2 4 4" xfId="19024" xr:uid="{A07DDB87-0AAB-4836-9ED5-27D425B95A11}"/>
    <cellStyle name="Currency 5 2 2 2 2 4 4 2" xfId="35918" xr:uid="{418A9635-66E8-4407-BF96-C943D16E6165}"/>
    <cellStyle name="Currency 5 2 2 2 2 4 5" xfId="10577" xr:uid="{4511570C-518F-4341-AEC9-57F869206399}"/>
    <cellStyle name="Currency 5 2 2 2 2 4 6" xfId="27471" xr:uid="{CD31F17D-6AA0-4E29-889F-88137C09753C}"/>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2 2 2" xfId="25799" xr:uid="{C88A3139-0F24-4B27-89C5-0A04D6163031}"/>
    <cellStyle name="Currency 5 2 2 2 2 5 2 2 2 2" xfId="42693" xr:uid="{7F4330DC-BABC-4731-B97F-4C9852FD725C}"/>
    <cellStyle name="Currency 5 2 2 2 2 5 2 2 3" xfId="17352" xr:uid="{407241E0-6BCF-4684-9F43-721728CAEAF1}"/>
    <cellStyle name="Currency 5 2 2 2 2 5 2 2 4" xfId="34246" xr:uid="{94833353-4562-46C7-A398-9CA741D32264}"/>
    <cellStyle name="Currency 5 2 2 2 2 5 2 3" xfId="21582" xr:uid="{52C97555-8ED2-422B-86D4-D144958ECD5C}"/>
    <cellStyle name="Currency 5 2 2 2 2 5 2 3 2" xfId="38476" xr:uid="{98EB6659-0892-49F9-A7FF-73D9A98338BA}"/>
    <cellStyle name="Currency 5 2 2 2 2 5 2 4" xfId="13135" xr:uid="{53D223CF-F7ED-413A-B1C0-45FF67439D6A}"/>
    <cellStyle name="Currency 5 2 2 2 2 5 2 5" xfId="30029" xr:uid="{4E9FC03E-29A7-4FAD-8891-57D306B961D5}"/>
    <cellStyle name="Currency 5 2 2 2 2 5 3" xfId="5881" xr:uid="{00000000-0005-0000-0000-0000910B0000}"/>
    <cellStyle name="Currency 5 2 2 2 2 5 3 2" xfId="23654" xr:uid="{9AB29317-6ED9-48A0-8575-ADF6FFB5B222}"/>
    <cellStyle name="Currency 5 2 2 2 2 5 3 2 2" xfId="40548" xr:uid="{DC5324C4-252B-4790-8031-0ACA56B9DEF5}"/>
    <cellStyle name="Currency 5 2 2 2 2 5 3 3" xfId="15207" xr:uid="{011147A7-0AF4-4100-97A5-8E19137B674F}"/>
    <cellStyle name="Currency 5 2 2 2 2 5 3 4" xfId="32101" xr:uid="{C6C101D3-0972-4EA9-8C44-D731DAA93CCD}"/>
    <cellStyle name="Currency 5 2 2 2 2 5 4" xfId="19437" xr:uid="{A42F7A84-BAD3-433E-BFE9-4F0BA5F181BC}"/>
    <cellStyle name="Currency 5 2 2 2 2 5 4 2" xfId="36331" xr:uid="{818CA13A-FA5E-4D3D-9A5D-0652CADC05F6}"/>
    <cellStyle name="Currency 5 2 2 2 2 5 5" xfId="10990" xr:uid="{8BDFABE3-E210-4872-822A-FEE0E2835428}"/>
    <cellStyle name="Currency 5 2 2 2 2 5 6" xfId="27884" xr:uid="{A06D4DBD-761E-4398-B535-C4B1080A16E8}"/>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2 2 2" xfId="26212" xr:uid="{489DB68A-CEC4-40D5-9EA5-DFB7D68CB214}"/>
    <cellStyle name="Currency 5 2 2 2 2 6 2 2 2 2" xfId="43106" xr:uid="{85DA4FE2-843C-4893-9741-0BBE3E458764}"/>
    <cellStyle name="Currency 5 2 2 2 2 6 2 2 3" xfId="17765" xr:uid="{0748E051-044B-4969-AE1A-F1B585A5F3CA}"/>
    <cellStyle name="Currency 5 2 2 2 2 6 2 2 4" xfId="34659" xr:uid="{114765AC-6845-47B4-9463-9CA1C2C4FC27}"/>
    <cellStyle name="Currency 5 2 2 2 2 6 2 3" xfId="21995" xr:uid="{C62855F2-5D0F-49F0-9B20-2C2B0DB39383}"/>
    <cellStyle name="Currency 5 2 2 2 2 6 2 3 2" xfId="38889" xr:uid="{39ED87F3-8103-4FEB-A4CD-C0F6B5A91280}"/>
    <cellStyle name="Currency 5 2 2 2 2 6 2 4" xfId="13548" xr:uid="{2AD1BFC2-41B8-4E92-A202-23A17EE501A3}"/>
    <cellStyle name="Currency 5 2 2 2 2 6 2 5" xfId="30442" xr:uid="{2CD693C6-E582-4565-A00B-E52D19D218FD}"/>
    <cellStyle name="Currency 5 2 2 2 2 6 3" xfId="6294" xr:uid="{00000000-0005-0000-0000-0000950B0000}"/>
    <cellStyle name="Currency 5 2 2 2 2 6 3 2" xfId="24067" xr:uid="{B31899B2-8279-43E0-951E-4FD1A287AFEE}"/>
    <cellStyle name="Currency 5 2 2 2 2 6 3 2 2" xfId="40961" xr:uid="{166D0CCD-1EC4-4743-B83D-4DF403C66E80}"/>
    <cellStyle name="Currency 5 2 2 2 2 6 3 3" xfId="15620" xr:uid="{7FD7E8C2-CDB8-4A1D-962D-B40CA4220215}"/>
    <cellStyle name="Currency 5 2 2 2 2 6 3 4" xfId="32514" xr:uid="{F2C86126-CFE7-492E-87E7-F4590E5A25A6}"/>
    <cellStyle name="Currency 5 2 2 2 2 6 4" xfId="19850" xr:uid="{66E6C019-8DB6-44BE-B722-3043A797FD5B}"/>
    <cellStyle name="Currency 5 2 2 2 2 6 4 2" xfId="36744" xr:uid="{AA7F4558-C802-47A5-860C-4FDEA6293780}"/>
    <cellStyle name="Currency 5 2 2 2 2 6 5" xfId="11403" xr:uid="{9CFFE1CB-8848-4939-8F5F-E37707F5E7B9}"/>
    <cellStyle name="Currency 5 2 2 2 2 6 6" xfId="28297" xr:uid="{45588DC8-646E-4563-A2AD-B80AE1FBFF62}"/>
    <cellStyle name="Currency 5 2 2 2 2 7" xfId="2423" xr:uid="{00000000-0005-0000-0000-0000960B0000}"/>
    <cellStyle name="Currency 5 2 2 2 2 7 2" xfId="6707" xr:uid="{00000000-0005-0000-0000-0000970B0000}"/>
    <cellStyle name="Currency 5 2 2 2 2 7 2 2" xfId="24480" xr:uid="{CDC93CD0-5542-419B-AB20-DE919F23C5E3}"/>
    <cellStyle name="Currency 5 2 2 2 2 7 2 2 2" xfId="41374" xr:uid="{0B137ACD-64DD-4E0F-ACED-2032CBE5E16F}"/>
    <cellStyle name="Currency 5 2 2 2 2 7 2 3" xfId="16033" xr:uid="{FD6277C0-C1EF-4244-8A7F-79954293B778}"/>
    <cellStyle name="Currency 5 2 2 2 2 7 2 4" xfId="32927" xr:uid="{7D55DDAA-3CB9-4F4A-87C9-C8B268991621}"/>
    <cellStyle name="Currency 5 2 2 2 2 7 3" xfId="20263" xr:uid="{C2596540-8B7C-4C8E-B335-527F33369DF4}"/>
    <cellStyle name="Currency 5 2 2 2 2 7 3 2" xfId="37157" xr:uid="{32EF8D48-C715-4175-9281-18DC2AA1CF63}"/>
    <cellStyle name="Currency 5 2 2 2 2 7 4" xfId="11816" xr:uid="{04EF55A0-3635-43FC-93C8-737F266485AD}"/>
    <cellStyle name="Currency 5 2 2 2 2 7 5" xfId="28710" xr:uid="{684D1E8F-5F07-4886-B2C7-1E00B84BA9AC}"/>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2 9 2 2" xfId="24797" xr:uid="{AC8DAAF3-8B1B-4CD1-A2A3-5B68F1A5F4D7}"/>
    <cellStyle name="Currency 5 2 2 2 2 9 2 2 2" xfId="41691" xr:uid="{863F980A-35E2-484E-9B6B-ABD7E5CBE437}"/>
    <cellStyle name="Currency 5 2 2 2 2 9 2 3" xfId="16350" xr:uid="{6EFE82DF-0299-457A-B435-FD8A6F77C07F}"/>
    <cellStyle name="Currency 5 2 2 2 2 9 2 4" xfId="33244" xr:uid="{008CF3F7-A4F1-4613-83DC-6DCBFD7C6C4C}"/>
    <cellStyle name="Currency 5 2 2 2 2 9 3" xfId="20580" xr:uid="{71DC90F3-C793-4764-B0F7-C396E5124E6D}"/>
    <cellStyle name="Currency 5 2 2 2 2 9 3 2" xfId="37474" xr:uid="{A41745F3-89F5-4A03-815A-12BBBDE3648F}"/>
    <cellStyle name="Currency 5 2 2 2 2 9 4" xfId="12133" xr:uid="{42812A8C-4680-4EAA-97A0-3F9D04CCB758}"/>
    <cellStyle name="Currency 5 2 2 2 2 9 5" xfId="29027" xr:uid="{EEECE357-BED2-4B70-A5BA-3246FAB0939C}"/>
    <cellStyle name="Currency 5 2 2 2 3" xfId="199" xr:uid="{00000000-0005-0000-0000-00009B0B0000}"/>
    <cellStyle name="Currency 5 2 2 2 3 10" xfId="9016" xr:uid="{706F9706-E49D-4995-B402-A842C879DBC8}"/>
    <cellStyle name="Currency 5 2 2 2 3 10 2" xfId="18199" xr:uid="{AEAB5901-C853-42E3-B1A2-E7A30E7CF512}"/>
    <cellStyle name="Currency 5 2 2 2 3 10 3" xfId="35093" xr:uid="{C6B59600-E385-4E7D-9D14-01D9D77131F5}"/>
    <cellStyle name="Currency 5 2 2 2 3 11" xfId="9752" xr:uid="{93543036-AC55-4774-B497-CBF39DECBDEB}"/>
    <cellStyle name="Currency 5 2 2 2 3 12" xfId="26646" xr:uid="{04906179-38A2-4725-BB8C-432A57CBEEB6}"/>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2 2 2" xfId="24975" xr:uid="{B7A39D0A-1E1D-47CE-B4FD-38CB526A41FE}"/>
    <cellStyle name="Currency 5 2 2 2 3 2 2 2 2 2" xfId="41869" xr:uid="{CA136981-AD17-4D70-9B69-1129ACF999ED}"/>
    <cellStyle name="Currency 5 2 2 2 3 2 2 2 3" xfId="16528" xr:uid="{5D941AED-59AC-4561-A821-FD03AB1B39BC}"/>
    <cellStyle name="Currency 5 2 2 2 3 2 2 2 4" xfId="33422" xr:uid="{39A4684B-B080-4114-8F65-B7DBA3D5DF4F}"/>
    <cellStyle name="Currency 5 2 2 2 3 2 2 3" xfId="20758" xr:uid="{31445019-56ED-49BD-A42F-D02E7CF634B9}"/>
    <cellStyle name="Currency 5 2 2 2 3 2 2 3 2" xfId="37652" xr:uid="{20E38E12-1FC6-47E9-9720-6CCA60520339}"/>
    <cellStyle name="Currency 5 2 2 2 3 2 2 4" xfId="12311" xr:uid="{A5C2833C-9DE6-460B-ADB8-1E299381148C}"/>
    <cellStyle name="Currency 5 2 2 2 3 2 2 5" xfId="29205" xr:uid="{FEA3E277-C2DB-40BB-B52E-5CE05D51095B}"/>
    <cellStyle name="Currency 5 2 2 2 3 2 3" xfId="5057" xr:uid="{00000000-0005-0000-0000-00009F0B0000}"/>
    <cellStyle name="Currency 5 2 2 2 3 2 3 2" xfId="22830" xr:uid="{F8B79900-34E0-4E53-8FAD-D6493BE6D488}"/>
    <cellStyle name="Currency 5 2 2 2 3 2 3 2 2" xfId="39724" xr:uid="{03AF2E55-4CA3-49AC-A6E8-21C3640A0325}"/>
    <cellStyle name="Currency 5 2 2 2 3 2 3 3" xfId="14383" xr:uid="{CDEB450B-682B-4FCD-A356-F620F92EF68A}"/>
    <cellStyle name="Currency 5 2 2 2 3 2 3 4" xfId="31277" xr:uid="{5F45B6E7-15C1-40B1-9B36-D09A20770A6F}"/>
    <cellStyle name="Currency 5 2 2 2 3 2 4" xfId="9441" xr:uid="{B7048274-E02F-4E6A-9C9A-FAD4299F19B1}"/>
    <cellStyle name="Currency 5 2 2 2 3 2 4 2" xfId="18613" xr:uid="{DC3A9062-190A-4C04-8BB9-D30CFA28B1C6}"/>
    <cellStyle name="Currency 5 2 2 2 3 2 4 3" xfId="35507" xr:uid="{A9B0A7AA-F595-4C4F-9A10-255D9FACE5CC}"/>
    <cellStyle name="Currency 5 2 2 2 3 2 5" xfId="10166" xr:uid="{83166BBB-4CA0-4254-89AA-9F619F8BDA59}"/>
    <cellStyle name="Currency 5 2 2 2 3 2 6" xfId="27060" xr:uid="{11109F1E-85DF-4913-97D1-6BC9D30D9C36}"/>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2 2 2" xfId="25388" xr:uid="{CF053B50-9B8F-467B-A7F1-D15F75B1C0F9}"/>
    <cellStyle name="Currency 5 2 2 2 3 3 2 2 2 2" xfId="42282" xr:uid="{09E347EF-1DDC-499C-888E-DB28A47E2BA6}"/>
    <cellStyle name="Currency 5 2 2 2 3 3 2 2 3" xfId="16941" xr:uid="{0A42921E-E478-441B-8DF0-8CB45A5144DC}"/>
    <cellStyle name="Currency 5 2 2 2 3 3 2 2 4" xfId="33835" xr:uid="{3B519B51-6B08-4C5D-BE2D-F57A35A0AD88}"/>
    <cellStyle name="Currency 5 2 2 2 3 3 2 3" xfId="21171" xr:uid="{FF667100-5899-465F-806F-77E9473853FD}"/>
    <cellStyle name="Currency 5 2 2 2 3 3 2 3 2" xfId="38065" xr:uid="{F603ED5C-BA66-4128-AE88-E5B88B454761}"/>
    <cellStyle name="Currency 5 2 2 2 3 3 2 4" xfId="12724" xr:uid="{AF49D028-7A45-44BE-B43F-6CC37953899F}"/>
    <cellStyle name="Currency 5 2 2 2 3 3 2 5" xfId="29618" xr:uid="{0AEF8BD2-B067-4314-9D16-F0FE014B4935}"/>
    <cellStyle name="Currency 5 2 2 2 3 3 3" xfId="5470" xr:uid="{00000000-0005-0000-0000-0000A30B0000}"/>
    <cellStyle name="Currency 5 2 2 2 3 3 3 2" xfId="23243" xr:uid="{ADAF0DCB-465E-4453-9DF5-005AB1865AE6}"/>
    <cellStyle name="Currency 5 2 2 2 3 3 3 2 2" xfId="40137" xr:uid="{18ACE304-4BA5-4483-A706-7466B3388E99}"/>
    <cellStyle name="Currency 5 2 2 2 3 3 3 3" xfId="14796" xr:uid="{367737DA-A155-4ACC-9529-FA448232F274}"/>
    <cellStyle name="Currency 5 2 2 2 3 3 3 4" xfId="31690" xr:uid="{A053D8EC-A20F-4BA8-9866-3EAE5C858DC0}"/>
    <cellStyle name="Currency 5 2 2 2 3 3 4" xfId="19026" xr:uid="{F0863913-64C2-4E11-9033-A02EE13BD64C}"/>
    <cellStyle name="Currency 5 2 2 2 3 3 4 2" xfId="35920" xr:uid="{3D327CD6-A2EC-4F1D-BE54-E8AACB9BFC81}"/>
    <cellStyle name="Currency 5 2 2 2 3 3 5" xfId="10579" xr:uid="{E5820214-8BF2-4305-AEF5-D04FEF6C914A}"/>
    <cellStyle name="Currency 5 2 2 2 3 3 6" xfId="27473" xr:uid="{A0D42DA9-0C44-45B6-94D4-3615563E5078}"/>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2 2 2" xfId="25801" xr:uid="{751B26F9-67E7-4A92-8CD7-E700A267F079}"/>
    <cellStyle name="Currency 5 2 2 2 3 4 2 2 2 2" xfId="42695" xr:uid="{CA3775A6-CEFD-4022-8B3D-294844180E8F}"/>
    <cellStyle name="Currency 5 2 2 2 3 4 2 2 3" xfId="17354" xr:uid="{3F9198E0-4758-43F0-BC44-C439F7C924F4}"/>
    <cellStyle name="Currency 5 2 2 2 3 4 2 2 4" xfId="34248" xr:uid="{E4D827C2-CF7C-4FAF-9DEB-C3060AF7B219}"/>
    <cellStyle name="Currency 5 2 2 2 3 4 2 3" xfId="21584" xr:uid="{8782E197-8CA8-4210-A689-5469EA08832F}"/>
    <cellStyle name="Currency 5 2 2 2 3 4 2 3 2" xfId="38478" xr:uid="{B0EAF0CF-8202-430E-87D1-969528367AE8}"/>
    <cellStyle name="Currency 5 2 2 2 3 4 2 4" xfId="13137" xr:uid="{25A231FC-2B16-47F5-ABAE-6EAF3CEBAE9F}"/>
    <cellStyle name="Currency 5 2 2 2 3 4 2 5" xfId="30031" xr:uid="{1A3904F2-3CAC-4472-A8FE-884400772CE5}"/>
    <cellStyle name="Currency 5 2 2 2 3 4 3" xfId="5883" xr:uid="{00000000-0005-0000-0000-0000A70B0000}"/>
    <cellStyle name="Currency 5 2 2 2 3 4 3 2" xfId="23656" xr:uid="{BBF33FC9-B5EE-4FAC-8D69-7F5C7EE0BC2F}"/>
    <cellStyle name="Currency 5 2 2 2 3 4 3 2 2" xfId="40550" xr:uid="{D0B03BC2-5F3F-4AAC-B792-46129CBDB638}"/>
    <cellStyle name="Currency 5 2 2 2 3 4 3 3" xfId="15209" xr:uid="{8EB0207F-37CE-4363-B505-60DEDDE1A2B0}"/>
    <cellStyle name="Currency 5 2 2 2 3 4 3 4" xfId="32103" xr:uid="{4C3112D5-AA27-42BB-AF06-8584AC10AB6E}"/>
    <cellStyle name="Currency 5 2 2 2 3 4 4" xfId="19439" xr:uid="{52A445F0-6119-430B-A063-98B01B2DFA00}"/>
    <cellStyle name="Currency 5 2 2 2 3 4 4 2" xfId="36333" xr:uid="{334FD51A-BE3A-43B0-AC48-C60A5E6FB2ED}"/>
    <cellStyle name="Currency 5 2 2 2 3 4 5" xfId="10992" xr:uid="{CA08541D-C4DA-4ED1-BD80-24DAC9E2BB2F}"/>
    <cellStyle name="Currency 5 2 2 2 3 4 6" xfId="27886" xr:uid="{2072DF8F-3C64-4DA5-8D5A-C2A20361BC22}"/>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2 2 2" xfId="26214" xr:uid="{E1F7E248-6C4B-4A69-93E2-6190585CD7A0}"/>
    <cellStyle name="Currency 5 2 2 2 3 5 2 2 2 2" xfId="43108" xr:uid="{3B429270-6E94-4C32-BBDA-4E2F7A0F8C23}"/>
    <cellStyle name="Currency 5 2 2 2 3 5 2 2 3" xfId="17767" xr:uid="{751FA717-2B90-4CE3-BFFB-FD6A669D76F3}"/>
    <cellStyle name="Currency 5 2 2 2 3 5 2 2 4" xfId="34661" xr:uid="{584668B1-8D0C-48B2-BEB9-7751DC3B4AB8}"/>
    <cellStyle name="Currency 5 2 2 2 3 5 2 3" xfId="21997" xr:uid="{59DCA172-ABFF-43A2-BC9E-C79C464F6587}"/>
    <cellStyle name="Currency 5 2 2 2 3 5 2 3 2" xfId="38891" xr:uid="{8B56FDB7-7733-45E4-B8E1-A82C13742179}"/>
    <cellStyle name="Currency 5 2 2 2 3 5 2 4" xfId="13550" xr:uid="{68E1AE4E-5CA5-47A3-B893-9E436100F43A}"/>
    <cellStyle name="Currency 5 2 2 2 3 5 2 5" xfId="30444" xr:uid="{D5AA4B91-5E15-4E6F-B34B-DF16ABCE1BCC}"/>
    <cellStyle name="Currency 5 2 2 2 3 5 3" xfId="6296" xr:uid="{00000000-0005-0000-0000-0000AB0B0000}"/>
    <cellStyle name="Currency 5 2 2 2 3 5 3 2" xfId="24069" xr:uid="{74582875-3AB5-44BC-83BA-04F180149FBE}"/>
    <cellStyle name="Currency 5 2 2 2 3 5 3 2 2" xfId="40963" xr:uid="{7A8F3829-305B-4AEB-B3C4-BC99558467DF}"/>
    <cellStyle name="Currency 5 2 2 2 3 5 3 3" xfId="15622" xr:uid="{B00C86D6-B309-491F-A977-48F64754EBDE}"/>
    <cellStyle name="Currency 5 2 2 2 3 5 3 4" xfId="32516" xr:uid="{2030323B-B9FE-44F8-B827-E77AB0D21B69}"/>
    <cellStyle name="Currency 5 2 2 2 3 5 4" xfId="19852" xr:uid="{9CCDAEFC-7394-4269-904C-B81896ECD663}"/>
    <cellStyle name="Currency 5 2 2 2 3 5 4 2" xfId="36746" xr:uid="{8E666341-4E90-45A1-8B18-25B3547AEBF7}"/>
    <cellStyle name="Currency 5 2 2 2 3 5 5" xfId="11405" xr:uid="{C2DF69D0-2808-4722-9386-64F7A890520E}"/>
    <cellStyle name="Currency 5 2 2 2 3 5 6" xfId="28299" xr:uid="{92373560-B26C-4ED8-A11A-2A0E946288A9}"/>
    <cellStyle name="Currency 5 2 2 2 3 6" xfId="2425" xr:uid="{00000000-0005-0000-0000-0000AC0B0000}"/>
    <cellStyle name="Currency 5 2 2 2 3 6 2" xfId="6709" xr:uid="{00000000-0005-0000-0000-0000AD0B0000}"/>
    <cellStyle name="Currency 5 2 2 2 3 6 2 2" xfId="24482" xr:uid="{C527F056-DC78-46A9-85A2-F6C535487B37}"/>
    <cellStyle name="Currency 5 2 2 2 3 6 2 2 2" xfId="41376" xr:uid="{F17BCB92-9606-4A17-9E29-D007C7AF8DAA}"/>
    <cellStyle name="Currency 5 2 2 2 3 6 2 3" xfId="16035" xr:uid="{F162BD42-016B-432D-AB79-E4D6C11147C3}"/>
    <cellStyle name="Currency 5 2 2 2 3 6 2 4" xfId="32929" xr:uid="{528508AC-B2B0-4ADF-A3E3-2018899DED2D}"/>
    <cellStyle name="Currency 5 2 2 2 3 6 3" xfId="20265" xr:uid="{85648F2D-0BEE-4B12-8226-59ADF587E404}"/>
    <cellStyle name="Currency 5 2 2 2 3 6 3 2" xfId="37159" xr:uid="{AC4FBDBD-7CBA-4F2D-B7D1-96A01A8203FC}"/>
    <cellStyle name="Currency 5 2 2 2 3 6 4" xfId="11818" xr:uid="{D08EF4F8-E8C6-4101-AD6E-58DFF4EF3319}"/>
    <cellStyle name="Currency 5 2 2 2 3 6 5" xfId="28712" xr:uid="{DDDA28AC-9481-4F02-924B-6CAF6A69864F}"/>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8 2 2" xfId="24799" xr:uid="{3DB03B9A-4445-4B28-8933-A3F8D72E482E}"/>
    <cellStyle name="Currency 5 2 2 2 3 8 2 2 2" xfId="41693" xr:uid="{B6010BEE-DEDB-477F-AA04-DE842AA7C13E}"/>
    <cellStyle name="Currency 5 2 2 2 3 8 2 3" xfId="16352" xr:uid="{6AACA6DF-8C4C-4C8E-AB13-03E2858EFED3}"/>
    <cellStyle name="Currency 5 2 2 2 3 8 2 4" xfId="33246" xr:uid="{05979ABF-DC43-4E17-B13A-B6018EE4E3FF}"/>
    <cellStyle name="Currency 5 2 2 2 3 8 3" xfId="20582" xr:uid="{A14BCC25-4DA3-4985-9235-692C7F137689}"/>
    <cellStyle name="Currency 5 2 2 2 3 8 3 2" xfId="37476" xr:uid="{5001F5B7-4C91-476D-81EA-3E1BABA000EE}"/>
    <cellStyle name="Currency 5 2 2 2 3 8 4" xfId="12135" xr:uid="{F2580DDA-155F-4768-B664-7C566FC808E4}"/>
    <cellStyle name="Currency 5 2 2 2 3 8 5" xfId="29029" xr:uid="{CF7A7327-8521-4526-9E6D-9E2D974275E3}"/>
    <cellStyle name="Currency 5 2 2 2 3 9" xfId="4643" xr:uid="{00000000-0005-0000-0000-0000B10B0000}"/>
    <cellStyle name="Currency 5 2 2 2 3 9 2" xfId="22416" xr:uid="{9D43C2A1-D949-4390-AD33-11F1C405DB94}"/>
    <cellStyle name="Currency 5 2 2 2 3 9 2 2" xfId="39310" xr:uid="{BDD8D724-5413-47D3-BB68-1FFDF6A72707}"/>
    <cellStyle name="Currency 5 2 2 2 3 9 3" xfId="13969" xr:uid="{259BF663-2F0E-41EE-9EE9-CEE559B24BA7}"/>
    <cellStyle name="Currency 5 2 2 2 3 9 4" xfId="30863" xr:uid="{052F3A47-25EC-4901-AF26-265B3BECEC79}"/>
    <cellStyle name="Currency 5 2 2 2 4" xfId="723" xr:uid="{00000000-0005-0000-0000-0000B20B0000}"/>
    <cellStyle name="Currency 5 2 2 2 4 2" xfId="2977" xr:uid="{00000000-0005-0000-0000-0000B30B0000}"/>
    <cellStyle name="Currency 5 2 2 2 4 2 2" xfId="7199" xr:uid="{00000000-0005-0000-0000-0000B40B0000}"/>
    <cellStyle name="Currency 5 2 2 2 4 2 2 2" xfId="24972" xr:uid="{67298078-FA05-41D4-8762-73AC96BAC7A2}"/>
    <cellStyle name="Currency 5 2 2 2 4 2 2 2 2" xfId="41866" xr:uid="{93EC7321-090D-4228-8EB0-53FBBC9A648A}"/>
    <cellStyle name="Currency 5 2 2 2 4 2 2 3" xfId="16525" xr:uid="{1E8FFB7D-229D-4F71-97E0-9480E40D558C}"/>
    <cellStyle name="Currency 5 2 2 2 4 2 2 4" xfId="33419" xr:uid="{D8FAEA1A-561E-43AF-AFC4-5A6352175294}"/>
    <cellStyle name="Currency 5 2 2 2 4 2 3" xfId="20755" xr:uid="{38D085A6-B996-4521-AE12-B74AC55E9908}"/>
    <cellStyle name="Currency 5 2 2 2 4 2 3 2" xfId="37649" xr:uid="{BF6CB443-AAD1-47B6-A978-5EEB84BE7D9C}"/>
    <cellStyle name="Currency 5 2 2 2 4 2 4" xfId="12308" xr:uid="{1027444F-5F12-4E0E-A557-5D010D7AB673}"/>
    <cellStyle name="Currency 5 2 2 2 4 2 5" xfId="29202" xr:uid="{26EAF12A-2107-4847-9590-E99CA79C898A}"/>
    <cellStyle name="Currency 5 2 2 2 4 3" xfId="5054" xr:uid="{00000000-0005-0000-0000-0000B50B0000}"/>
    <cellStyle name="Currency 5 2 2 2 4 3 2" xfId="22827" xr:uid="{C5DFA22E-5413-4A77-B0C6-24F22E29A3B9}"/>
    <cellStyle name="Currency 5 2 2 2 4 3 2 2" xfId="39721" xr:uid="{5043730D-1D84-4539-A9D3-D31C34ECAC08}"/>
    <cellStyle name="Currency 5 2 2 2 4 3 3" xfId="14380" xr:uid="{5F18ED2D-6D99-4AB9-8E23-9D1EBD8E1056}"/>
    <cellStyle name="Currency 5 2 2 2 4 3 4" xfId="31274" xr:uid="{63361EF5-CFE5-4B58-BA37-C58B2CD2E4A6}"/>
    <cellStyle name="Currency 5 2 2 2 4 4" xfId="9234" xr:uid="{AAF147FE-13D8-48BD-A722-062B96166D61}"/>
    <cellStyle name="Currency 5 2 2 2 4 4 2" xfId="18610" xr:uid="{EA916222-24A9-4598-879C-00996448933D}"/>
    <cellStyle name="Currency 5 2 2 2 4 4 3" xfId="35504" xr:uid="{1C5B8051-6FD8-4D41-A5D2-265BFFE1B53B}"/>
    <cellStyle name="Currency 5 2 2 2 4 5" xfId="10163" xr:uid="{0B201C24-3756-40C7-8915-76A371556565}"/>
    <cellStyle name="Currency 5 2 2 2 4 6" xfId="27057" xr:uid="{6984CC41-C9A8-4C49-A54C-551AB942C20B}"/>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2 2 2" xfId="25385" xr:uid="{EDFD2218-EC01-46F4-BCAF-72E9E68F2070}"/>
    <cellStyle name="Currency 5 2 2 2 5 2 2 2 2" xfId="42279" xr:uid="{7AA98403-A2F4-4E67-AC0D-DD469FB19F9C}"/>
    <cellStyle name="Currency 5 2 2 2 5 2 2 3" xfId="16938" xr:uid="{E29480D4-AC88-45CB-930D-6D2BCDC67E15}"/>
    <cellStyle name="Currency 5 2 2 2 5 2 2 4" xfId="33832" xr:uid="{6DAA8C2B-F7F9-4B5C-B359-F770B3B8B465}"/>
    <cellStyle name="Currency 5 2 2 2 5 2 3" xfId="21168" xr:uid="{E308B95B-2239-495B-9781-FF0C42C2BF95}"/>
    <cellStyle name="Currency 5 2 2 2 5 2 3 2" xfId="38062" xr:uid="{A65834E0-8E3B-4CAC-9BD7-CC6FF506FA4A}"/>
    <cellStyle name="Currency 5 2 2 2 5 2 4" xfId="12721" xr:uid="{6F8C0ECE-58C9-4E79-9D45-B52C3D1A39E0}"/>
    <cellStyle name="Currency 5 2 2 2 5 2 5" xfId="29615" xr:uid="{B260E880-5FC9-4C8E-96E7-C2EC001A907F}"/>
    <cellStyle name="Currency 5 2 2 2 5 3" xfId="5467" xr:uid="{00000000-0005-0000-0000-0000B90B0000}"/>
    <cellStyle name="Currency 5 2 2 2 5 3 2" xfId="23240" xr:uid="{06DA3890-595E-4E4D-B159-B6039EE81F9B}"/>
    <cellStyle name="Currency 5 2 2 2 5 3 2 2" xfId="40134" xr:uid="{84565158-057C-4B94-BDE2-FA2121684BFB}"/>
    <cellStyle name="Currency 5 2 2 2 5 3 3" xfId="14793" xr:uid="{A4027F89-C8A0-48A3-A11D-9F49ED6CA8D2}"/>
    <cellStyle name="Currency 5 2 2 2 5 3 4" xfId="31687" xr:uid="{5A512EDB-68EF-412E-8B51-0FCEF47329B1}"/>
    <cellStyle name="Currency 5 2 2 2 5 4" xfId="19023" xr:uid="{55B4D440-10B7-42C4-A057-6F31B6EF7DF7}"/>
    <cellStyle name="Currency 5 2 2 2 5 4 2" xfId="35917" xr:uid="{57E254DA-FCBF-4417-8FC8-86AE98F23C9F}"/>
    <cellStyle name="Currency 5 2 2 2 5 5" xfId="10576" xr:uid="{A359A751-FACE-40F6-9556-5851082916B3}"/>
    <cellStyle name="Currency 5 2 2 2 5 6" xfId="27470" xr:uid="{7BAF75BA-5762-4998-8260-28FB72F31C7C}"/>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2 2 2" xfId="25798" xr:uid="{9A77AAF5-865B-4772-AC3F-9863DCD63E10}"/>
    <cellStyle name="Currency 5 2 2 2 6 2 2 2 2" xfId="42692" xr:uid="{4BE76D24-7A71-4C4B-83C0-8FCE54A8271F}"/>
    <cellStyle name="Currency 5 2 2 2 6 2 2 3" xfId="17351" xr:uid="{98A41B3A-DC66-4AAD-B13A-7BBB13703C2B}"/>
    <cellStyle name="Currency 5 2 2 2 6 2 2 4" xfId="34245" xr:uid="{E7ED2423-DA8A-43F4-9789-B00512EF2F35}"/>
    <cellStyle name="Currency 5 2 2 2 6 2 3" xfId="21581" xr:uid="{D2E0BCF2-4DE6-4F79-9E4F-F4D747D13465}"/>
    <cellStyle name="Currency 5 2 2 2 6 2 3 2" xfId="38475" xr:uid="{671707EA-3FD4-4FCE-BDCD-1304ADB1110F}"/>
    <cellStyle name="Currency 5 2 2 2 6 2 4" xfId="13134" xr:uid="{0CE23681-B692-4B45-A201-EACDC78794E4}"/>
    <cellStyle name="Currency 5 2 2 2 6 2 5" xfId="30028" xr:uid="{BB764B9D-E7C8-4053-BCFD-D9E8F13ADCCC}"/>
    <cellStyle name="Currency 5 2 2 2 6 3" xfId="5880" xr:uid="{00000000-0005-0000-0000-0000BD0B0000}"/>
    <cellStyle name="Currency 5 2 2 2 6 3 2" xfId="23653" xr:uid="{15A61E02-717B-4316-9E30-903FB4835190}"/>
    <cellStyle name="Currency 5 2 2 2 6 3 2 2" xfId="40547" xr:uid="{B072EC20-B6E8-4AD6-B3A1-D5CB21BF63C6}"/>
    <cellStyle name="Currency 5 2 2 2 6 3 3" xfId="15206" xr:uid="{4AA01518-7B3F-4641-901F-88C07ED11BEF}"/>
    <cellStyle name="Currency 5 2 2 2 6 3 4" xfId="32100" xr:uid="{FE6B0F10-A1F2-453B-B49F-E682FE553E1B}"/>
    <cellStyle name="Currency 5 2 2 2 6 4" xfId="19436" xr:uid="{207CAA6B-A48D-45C6-A44F-4B7262AABACC}"/>
    <cellStyle name="Currency 5 2 2 2 6 4 2" xfId="36330" xr:uid="{11975591-AD43-4D8C-A594-3732762BE019}"/>
    <cellStyle name="Currency 5 2 2 2 6 5" xfId="10989" xr:uid="{56F08351-F88C-4551-BD42-938E1682FAA3}"/>
    <cellStyle name="Currency 5 2 2 2 6 6" xfId="27883" xr:uid="{4A76282B-5136-44E1-AF9C-F500D2FA9A09}"/>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2 2 2" xfId="26211" xr:uid="{340019D0-90B9-4638-8062-29FC352AD61D}"/>
    <cellStyle name="Currency 5 2 2 2 7 2 2 2 2" xfId="43105" xr:uid="{7FCA3E93-8427-49D8-A69D-94362216AF6A}"/>
    <cellStyle name="Currency 5 2 2 2 7 2 2 3" xfId="17764" xr:uid="{DD3950F9-A94C-4B8C-A5BB-EC7974349D6D}"/>
    <cellStyle name="Currency 5 2 2 2 7 2 2 4" xfId="34658" xr:uid="{77ECEE9A-F736-405B-B87F-D1716B96AD39}"/>
    <cellStyle name="Currency 5 2 2 2 7 2 3" xfId="21994" xr:uid="{45559786-4FF6-4715-834E-C00CC9C84149}"/>
    <cellStyle name="Currency 5 2 2 2 7 2 3 2" xfId="38888" xr:uid="{91A94239-010A-43AD-A589-D22143F0B51C}"/>
    <cellStyle name="Currency 5 2 2 2 7 2 4" xfId="13547" xr:uid="{ED431456-D7D3-4AA3-AA23-C2E949382705}"/>
    <cellStyle name="Currency 5 2 2 2 7 2 5" xfId="30441" xr:uid="{EF672D5A-1096-4F1A-8FEC-1058F0658DB9}"/>
    <cellStyle name="Currency 5 2 2 2 7 3" xfId="6293" xr:uid="{00000000-0005-0000-0000-0000C10B0000}"/>
    <cellStyle name="Currency 5 2 2 2 7 3 2" xfId="24066" xr:uid="{13361482-1906-4887-9070-2B6B649BE887}"/>
    <cellStyle name="Currency 5 2 2 2 7 3 2 2" xfId="40960" xr:uid="{45D8008A-9443-4E26-985B-B7767E21B159}"/>
    <cellStyle name="Currency 5 2 2 2 7 3 3" xfId="15619" xr:uid="{4A703069-E9FA-4434-97C8-D09B9B715425}"/>
    <cellStyle name="Currency 5 2 2 2 7 3 4" xfId="32513" xr:uid="{35141607-6E0A-4753-BECD-E342C5A9C80C}"/>
    <cellStyle name="Currency 5 2 2 2 7 4" xfId="19849" xr:uid="{D8C5E0EE-80D8-47E6-9A76-A4222019B2F5}"/>
    <cellStyle name="Currency 5 2 2 2 7 4 2" xfId="36743" xr:uid="{E47DD36C-EFFF-43C0-B0E9-419FCA47E9F7}"/>
    <cellStyle name="Currency 5 2 2 2 7 5" xfId="11402" xr:uid="{50C219ED-4D54-4607-A56D-854A24ECAAA8}"/>
    <cellStyle name="Currency 5 2 2 2 7 6" xfId="28296" xr:uid="{20AE04B3-671B-4E0E-B5EC-8B58ADA2594D}"/>
    <cellStyle name="Currency 5 2 2 2 8" xfId="2422" xr:uid="{00000000-0005-0000-0000-0000C20B0000}"/>
    <cellStyle name="Currency 5 2 2 2 8 2" xfId="6706" xr:uid="{00000000-0005-0000-0000-0000C30B0000}"/>
    <cellStyle name="Currency 5 2 2 2 8 2 2" xfId="24479" xr:uid="{A9AEB0F6-7EE2-46CB-AF83-B337F675F008}"/>
    <cellStyle name="Currency 5 2 2 2 8 2 2 2" xfId="41373" xr:uid="{4178DE3E-49EE-4C4D-9356-EC4992CA30FD}"/>
    <cellStyle name="Currency 5 2 2 2 8 2 3" xfId="16032" xr:uid="{E04B38B4-55F5-4319-8483-BFB8499A3BC3}"/>
    <cellStyle name="Currency 5 2 2 2 8 2 4" xfId="32926" xr:uid="{08289F15-3425-4A4E-98A4-ECF09CA71CC6}"/>
    <cellStyle name="Currency 5 2 2 2 8 3" xfId="20262" xr:uid="{02018B7F-6013-444A-9DB7-5E4E48B604F7}"/>
    <cellStyle name="Currency 5 2 2 2 8 3 2" xfId="37156" xr:uid="{B13AC5B7-DFE3-4607-A614-B85319BC0A28}"/>
    <cellStyle name="Currency 5 2 2 2 8 4" xfId="11815" xr:uid="{14F9454C-79E3-49B5-95F7-1B9FB1617C05}"/>
    <cellStyle name="Currency 5 2 2 2 8 5" xfId="28709" xr:uid="{F503923C-C60E-4D23-B480-2AB31CF48178}"/>
    <cellStyle name="Currency 5 2 2 2 9" xfId="2719" xr:uid="{00000000-0005-0000-0000-0000C40B0000}"/>
    <cellStyle name="Currency 5 2 2 3" xfId="200" xr:uid="{00000000-0005-0000-0000-0000C50B0000}"/>
    <cellStyle name="Currency 5 2 2 3 10" xfId="4644" xr:uid="{00000000-0005-0000-0000-0000C60B0000}"/>
    <cellStyle name="Currency 5 2 2 3 10 2" xfId="22417" xr:uid="{561B0AE9-CCBE-47E0-BA32-554B7AA9E9DC}"/>
    <cellStyle name="Currency 5 2 2 3 10 2 2" xfId="39311" xr:uid="{B9D3B6C5-D73D-4D41-8901-13482FD778CA}"/>
    <cellStyle name="Currency 5 2 2 3 10 3" xfId="13970" xr:uid="{DF1C303B-E43C-4A84-91FA-886E91A2D857}"/>
    <cellStyle name="Currency 5 2 2 3 10 4" xfId="30864" xr:uid="{BC269313-A640-4058-A542-608DFCCBA222}"/>
    <cellStyle name="Currency 5 2 2 3 11" xfId="8890" xr:uid="{F313D4EC-7666-4BAA-9452-39176957C213}"/>
    <cellStyle name="Currency 5 2 2 3 11 2" xfId="18200" xr:uid="{9B7DD822-058B-4E48-8516-1E03E096BBF2}"/>
    <cellStyle name="Currency 5 2 2 3 11 3" xfId="35094" xr:uid="{859C1BD5-1BBE-422B-B485-A91890342E9C}"/>
    <cellStyle name="Currency 5 2 2 3 12" xfId="9753" xr:uid="{632F78C4-8AFA-4DC6-ABB7-B34951187D84}"/>
    <cellStyle name="Currency 5 2 2 3 13" xfId="26647" xr:uid="{32630F12-5CA9-4C47-A357-484E7D601482}"/>
    <cellStyle name="Currency 5 2 2 3 2" xfId="201" xr:uid="{00000000-0005-0000-0000-0000C70B0000}"/>
    <cellStyle name="Currency 5 2 2 3 2 10" xfId="9097" xr:uid="{74199D2F-F17A-42DD-AC8B-D958FBFFCA8B}"/>
    <cellStyle name="Currency 5 2 2 3 2 10 2" xfId="18201" xr:uid="{4D6ED215-E449-4D4A-8733-057BA189048D}"/>
    <cellStyle name="Currency 5 2 2 3 2 10 3" xfId="35095" xr:uid="{2CC53F81-61C0-49CB-9DF3-8C3F9B793AF6}"/>
    <cellStyle name="Currency 5 2 2 3 2 11" xfId="9754" xr:uid="{6BF6CD65-B6E9-446A-A473-A4FBE05E754F}"/>
    <cellStyle name="Currency 5 2 2 3 2 12" xfId="26648" xr:uid="{EF30C7CA-67FD-4C13-AC59-3C347D47EA60}"/>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2 2 2" xfId="24977" xr:uid="{85607396-8338-485F-B30D-CDE67CC977AD}"/>
    <cellStyle name="Currency 5 2 2 3 2 2 2 2 2 2" xfId="41871" xr:uid="{2FD589C4-89A2-4B27-A944-7A45E19491B0}"/>
    <cellStyle name="Currency 5 2 2 3 2 2 2 2 3" xfId="16530" xr:uid="{2EC40649-07B2-4D6A-AEA3-EB8ED69C9307}"/>
    <cellStyle name="Currency 5 2 2 3 2 2 2 2 4" xfId="33424" xr:uid="{76487F86-BBD1-4704-9EE4-A14B38D65461}"/>
    <cellStyle name="Currency 5 2 2 3 2 2 2 3" xfId="20760" xr:uid="{02D9F78A-B742-4CEC-881F-01643E0642F5}"/>
    <cellStyle name="Currency 5 2 2 3 2 2 2 3 2" xfId="37654" xr:uid="{E5D2C167-7CE5-47B5-8BFC-C929FD70A9E7}"/>
    <cellStyle name="Currency 5 2 2 3 2 2 2 4" xfId="12313" xr:uid="{CDCDBAA4-DCBF-49A4-BC28-AD74A382EE4A}"/>
    <cellStyle name="Currency 5 2 2 3 2 2 2 5" xfId="29207" xr:uid="{C727D17F-07E4-44C4-A68E-20624870B36D}"/>
    <cellStyle name="Currency 5 2 2 3 2 2 3" xfId="5059" xr:uid="{00000000-0005-0000-0000-0000CB0B0000}"/>
    <cellStyle name="Currency 5 2 2 3 2 2 3 2" xfId="22832" xr:uid="{8518B26F-7655-4624-AC92-83A8D6529624}"/>
    <cellStyle name="Currency 5 2 2 3 2 2 3 2 2" xfId="39726" xr:uid="{8A8DB4AE-2AEC-4366-9924-BECEEF121686}"/>
    <cellStyle name="Currency 5 2 2 3 2 2 3 3" xfId="14385" xr:uid="{C3C6DD0D-47F1-4078-A539-E926E796BE72}"/>
    <cellStyle name="Currency 5 2 2 3 2 2 3 4" xfId="31279" xr:uid="{D05E1D0E-650D-4334-B2A4-53809B51A7F9}"/>
    <cellStyle name="Currency 5 2 2 3 2 2 4" xfId="9522" xr:uid="{58EAFCD4-DA5B-47CB-A637-29DA003AA3FD}"/>
    <cellStyle name="Currency 5 2 2 3 2 2 4 2" xfId="18615" xr:uid="{8E252D0B-A955-4100-B0C6-D4932A750BDD}"/>
    <cellStyle name="Currency 5 2 2 3 2 2 4 3" xfId="35509" xr:uid="{786A29FE-5FB4-4E7E-A4AE-703479C6A080}"/>
    <cellStyle name="Currency 5 2 2 3 2 2 5" xfId="10168" xr:uid="{361E4CE2-AD96-438A-A9E7-E0653CED8015}"/>
    <cellStyle name="Currency 5 2 2 3 2 2 6" xfId="27062" xr:uid="{F70F33EA-10D8-43E1-93DA-A09AB301F2A2}"/>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2 2 2" xfId="25390" xr:uid="{566F2DAA-A573-4383-B168-EA38052CFF5D}"/>
    <cellStyle name="Currency 5 2 2 3 2 3 2 2 2 2" xfId="42284" xr:uid="{7B1C7D02-1D67-477A-B82A-966932736CAF}"/>
    <cellStyle name="Currency 5 2 2 3 2 3 2 2 3" xfId="16943" xr:uid="{9354DDCC-242E-4BF5-AB02-A2ACF23E87F1}"/>
    <cellStyle name="Currency 5 2 2 3 2 3 2 2 4" xfId="33837" xr:uid="{AB9A4958-18AB-487C-9D5A-374C9656116B}"/>
    <cellStyle name="Currency 5 2 2 3 2 3 2 3" xfId="21173" xr:uid="{B513587F-437F-4FB7-879F-DECCC601231F}"/>
    <cellStyle name="Currency 5 2 2 3 2 3 2 3 2" xfId="38067" xr:uid="{6412E76F-C6EB-423B-B793-6D7E0A810532}"/>
    <cellStyle name="Currency 5 2 2 3 2 3 2 4" xfId="12726" xr:uid="{1D0733DE-B2AD-42D1-A8C5-860E533CC8E4}"/>
    <cellStyle name="Currency 5 2 2 3 2 3 2 5" xfId="29620" xr:uid="{A0608CAF-FE6C-4573-B828-AD3406D6913D}"/>
    <cellStyle name="Currency 5 2 2 3 2 3 3" xfId="5472" xr:uid="{00000000-0005-0000-0000-0000CF0B0000}"/>
    <cellStyle name="Currency 5 2 2 3 2 3 3 2" xfId="23245" xr:uid="{02B793E2-5BD3-4AA5-B2E6-1A9EE24B836D}"/>
    <cellStyle name="Currency 5 2 2 3 2 3 3 2 2" xfId="40139" xr:uid="{9C09111B-4E8B-4525-AB77-247BDA8D9988}"/>
    <cellStyle name="Currency 5 2 2 3 2 3 3 3" xfId="14798" xr:uid="{10D7872A-E705-4541-A7A8-71728D534DCD}"/>
    <cellStyle name="Currency 5 2 2 3 2 3 3 4" xfId="31692" xr:uid="{96430CED-4375-45E0-ADC0-03E2803E6DEC}"/>
    <cellStyle name="Currency 5 2 2 3 2 3 4" xfId="19028" xr:uid="{2DFBD5FB-EDD1-4813-A437-4A4A1CED8D2C}"/>
    <cellStyle name="Currency 5 2 2 3 2 3 4 2" xfId="35922" xr:uid="{AFEF6E8D-D8D7-4341-9938-191DFEF1825C}"/>
    <cellStyle name="Currency 5 2 2 3 2 3 5" xfId="10581" xr:uid="{72C44367-51D2-4D5B-8B45-95EC5DBDAD3C}"/>
    <cellStyle name="Currency 5 2 2 3 2 3 6" xfId="27475" xr:uid="{98BD26A9-00D4-4ABC-8607-9C014A085594}"/>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2 2 2" xfId="25803" xr:uid="{561E0288-603F-45AC-8594-EF918FA629AD}"/>
    <cellStyle name="Currency 5 2 2 3 2 4 2 2 2 2" xfId="42697" xr:uid="{CA3FDDFE-338E-458B-B251-A71B5A6C91A1}"/>
    <cellStyle name="Currency 5 2 2 3 2 4 2 2 3" xfId="17356" xr:uid="{5EE8650E-DCE9-4848-9383-0581D8DF64DE}"/>
    <cellStyle name="Currency 5 2 2 3 2 4 2 2 4" xfId="34250" xr:uid="{AD542D2E-32FE-4548-93B1-EF42DEFD366F}"/>
    <cellStyle name="Currency 5 2 2 3 2 4 2 3" xfId="21586" xr:uid="{B248EE11-0022-4B39-A693-D8727BE5DD25}"/>
    <cellStyle name="Currency 5 2 2 3 2 4 2 3 2" xfId="38480" xr:uid="{60B49E02-E589-49C8-947B-5134CE494749}"/>
    <cellStyle name="Currency 5 2 2 3 2 4 2 4" xfId="13139" xr:uid="{2F45BF2E-CB85-4980-AA25-5F7BB53417B2}"/>
    <cellStyle name="Currency 5 2 2 3 2 4 2 5" xfId="30033" xr:uid="{9B8D2C10-E2DB-4428-B19C-87C4D562975E}"/>
    <cellStyle name="Currency 5 2 2 3 2 4 3" xfId="5885" xr:uid="{00000000-0005-0000-0000-0000D30B0000}"/>
    <cellStyle name="Currency 5 2 2 3 2 4 3 2" xfId="23658" xr:uid="{B33DAB0C-ADEB-4495-B88E-45D317D274AF}"/>
    <cellStyle name="Currency 5 2 2 3 2 4 3 2 2" xfId="40552" xr:uid="{9856FEE6-3E60-4E61-804D-33F0495CA80E}"/>
    <cellStyle name="Currency 5 2 2 3 2 4 3 3" xfId="15211" xr:uid="{B155C4D1-6414-44D9-886A-D8C9BE2A534E}"/>
    <cellStyle name="Currency 5 2 2 3 2 4 3 4" xfId="32105" xr:uid="{1D43202A-CDD6-41F0-8197-26DCEBCB59A7}"/>
    <cellStyle name="Currency 5 2 2 3 2 4 4" xfId="19441" xr:uid="{6479C83C-B139-48A8-9756-8B0CB95E68C7}"/>
    <cellStyle name="Currency 5 2 2 3 2 4 4 2" xfId="36335" xr:uid="{6865EA8C-F288-4F1F-A346-477CA66AEF1E}"/>
    <cellStyle name="Currency 5 2 2 3 2 4 5" xfId="10994" xr:uid="{91B7D492-2B5D-425F-96E3-5BCC45400A2A}"/>
    <cellStyle name="Currency 5 2 2 3 2 4 6" xfId="27888" xr:uid="{3ABE8630-9632-4662-BF9A-0432A39E0E86}"/>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2 2 2" xfId="26216" xr:uid="{8B936BCE-DBB6-4FA7-8430-49946E4C9FC9}"/>
    <cellStyle name="Currency 5 2 2 3 2 5 2 2 2 2" xfId="43110" xr:uid="{F7B81F4D-4AAE-4173-AD02-08FC88BB01F7}"/>
    <cellStyle name="Currency 5 2 2 3 2 5 2 2 3" xfId="17769" xr:uid="{75E02AAA-4EDE-4EBE-9361-D5C5FA2D2AE6}"/>
    <cellStyle name="Currency 5 2 2 3 2 5 2 2 4" xfId="34663" xr:uid="{628ED4DE-2218-474C-96CF-06F4B68DC064}"/>
    <cellStyle name="Currency 5 2 2 3 2 5 2 3" xfId="21999" xr:uid="{7D2BA34E-50E9-42EE-994D-EBE99AD6FF5E}"/>
    <cellStyle name="Currency 5 2 2 3 2 5 2 3 2" xfId="38893" xr:uid="{108F59A6-DD3F-4CE2-AC2C-6B809B459EDB}"/>
    <cellStyle name="Currency 5 2 2 3 2 5 2 4" xfId="13552" xr:uid="{8B235E64-8203-4A7E-A1AA-B3124B7C5945}"/>
    <cellStyle name="Currency 5 2 2 3 2 5 2 5" xfId="30446" xr:uid="{07012914-ADFC-4AF7-809D-563AE804FD36}"/>
    <cellStyle name="Currency 5 2 2 3 2 5 3" xfId="6298" xr:uid="{00000000-0005-0000-0000-0000D70B0000}"/>
    <cellStyle name="Currency 5 2 2 3 2 5 3 2" xfId="24071" xr:uid="{21D23CB3-7F8E-48EC-B813-FD2DA0DC6EA5}"/>
    <cellStyle name="Currency 5 2 2 3 2 5 3 2 2" xfId="40965" xr:uid="{06642CD1-1429-4828-B423-71C4541AFB42}"/>
    <cellStyle name="Currency 5 2 2 3 2 5 3 3" xfId="15624" xr:uid="{2DF586D9-6C10-4A0A-995C-A907AFBB8BD5}"/>
    <cellStyle name="Currency 5 2 2 3 2 5 3 4" xfId="32518" xr:uid="{395554B2-597E-45F9-B764-A5C7094E5DAD}"/>
    <cellStyle name="Currency 5 2 2 3 2 5 4" xfId="19854" xr:uid="{FBCF8A26-9C77-4C36-A65E-73C223130A39}"/>
    <cellStyle name="Currency 5 2 2 3 2 5 4 2" xfId="36748" xr:uid="{D9D8E01E-D259-4288-85B0-453FAC05F0D5}"/>
    <cellStyle name="Currency 5 2 2 3 2 5 5" xfId="11407" xr:uid="{6BCC0131-AFDE-4001-94ED-DA598C406CE7}"/>
    <cellStyle name="Currency 5 2 2 3 2 5 6" xfId="28301" xr:uid="{17D4DD18-29D5-4D5B-9262-B70B58AAAA0A}"/>
    <cellStyle name="Currency 5 2 2 3 2 6" xfId="2427" xr:uid="{00000000-0005-0000-0000-0000D80B0000}"/>
    <cellStyle name="Currency 5 2 2 3 2 6 2" xfId="6711" xr:uid="{00000000-0005-0000-0000-0000D90B0000}"/>
    <cellStyle name="Currency 5 2 2 3 2 6 2 2" xfId="24484" xr:uid="{2C381724-BE1B-475B-866A-A690312F62AD}"/>
    <cellStyle name="Currency 5 2 2 3 2 6 2 2 2" xfId="41378" xr:uid="{1889DE8B-04E3-4A6C-9C4A-06EE5815C4C7}"/>
    <cellStyle name="Currency 5 2 2 3 2 6 2 3" xfId="16037" xr:uid="{4D7C970E-46FF-4E7C-AB00-13BD9923788A}"/>
    <cellStyle name="Currency 5 2 2 3 2 6 2 4" xfId="32931" xr:uid="{0765E51A-E87E-42EA-8AC3-8D1DCB91FFE8}"/>
    <cellStyle name="Currency 5 2 2 3 2 6 3" xfId="20267" xr:uid="{B444A3D7-08ED-44DF-903D-B222F2FB0CD8}"/>
    <cellStyle name="Currency 5 2 2 3 2 6 3 2" xfId="37161" xr:uid="{5D8E18E7-03EC-4A66-BED4-88D871043AB1}"/>
    <cellStyle name="Currency 5 2 2 3 2 6 4" xfId="11820" xr:uid="{5F813DDA-8810-4CA7-AF92-C67B0D67AEBD}"/>
    <cellStyle name="Currency 5 2 2 3 2 6 5" xfId="28714" xr:uid="{34D7CB5D-A8BE-434F-9C3D-32A17281D3FB}"/>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8 2 2" xfId="24801" xr:uid="{6EFA5BB2-5B13-4719-817C-B02C987674B9}"/>
    <cellStyle name="Currency 5 2 2 3 2 8 2 2 2" xfId="41695" xr:uid="{1C29FD94-F119-47D6-8762-CDAC5CD25A84}"/>
    <cellStyle name="Currency 5 2 2 3 2 8 2 3" xfId="16354" xr:uid="{BB062B19-6E64-4D6B-93A5-05417DA4D9A2}"/>
    <cellStyle name="Currency 5 2 2 3 2 8 2 4" xfId="33248" xr:uid="{F2FFFF52-078B-4CC8-AF77-477EBCD6603D}"/>
    <cellStyle name="Currency 5 2 2 3 2 8 3" xfId="20584" xr:uid="{0DB59900-7DE2-4A6E-B7F7-3E6526E599E6}"/>
    <cellStyle name="Currency 5 2 2 3 2 8 3 2" xfId="37478" xr:uid="{CF145350-F41A-4022-8E0E-D00A8B648E24}"/>
    <cellStyle name="Currency 5 2 2 3 2 8 4" xfId="12137" xr:uid="{833323E9-8607-4BC0-8461-EC4E4AAD98E0}"/>
    <cellStyle name="Currency 5 2 2 3 2 8 5" xfId="29031" xr:uid="{4C693CC3-F51C-4245-A604-CC87010B6654}"/>
    <cellStyle name="Currency 5 2 2 3 2 9" xfId="4645" xr:uid="{00000000-0005-0000-0000-0000DD0B0000}"/>
    <cellStyle name="Currency 5 2 2 3 2 9 2" xfId="22418" xr:uid="{FAAAEF24-7F98-43B1-95D0-96BA7B0227F2}"/>
    <cellStyle name="Currency 5 2 2 3 2 9 2 2" xfId="39312" xr:uid="{99BC07EA-BD00-4A0A-BC1D-84C2A98F12F5}"/>
    <cellStyle name="Currency 5 2 2 3 2 9 3" xfId="13971" xr:uid="{9F24912E-6EE2-4007-A9C8-20ADC72B15D0}"/>
    <cellStyle name="Currency 5 2 2 3 2 9 4" xfId="30865" xr:uid="{3F5FC485-7459-4770-90B9-A07FFB0950A3}"/>
    <cellStyle name="Currency 5 2 2 3 3" xfId="727" xr:uid="{00000000-0005-0000-0000-0000DE0B0000}"/>
    <cellStyle name="Currency 5 2 2 3 3 2" xfId="2981" xr:uid="{00000000-0005-0000-0000-0000DF0B0000}"/>
    <cellStyle name="Currency 5 2 2 3 3 2 2" xfId="7203" xr:uid="{00000000-0005-0000-0000-0000E00B0000}"/>
    <cellStyle name="Currency 5 2 2 3 3 2 2 2" xfId="24976" xr:uid="{E81A425F-5817-469E-B5A2-5FE5D7E62836}"/>
    <cellStyle name="Currency 5 2 2 3 3 2 2 2 2" xfId="41870" xr:uid="{7B246B5F-41C8-4E2D-8BCF-7EF98CC55CCC}"/>
    <cellStyle name="Currency 5 2 2 3 3 2 2 3" xfId="16529" xr:uid="{67D9A50F-E31E-4047-9D82-754F8DB13702}"/>
    <cellStyle name="Currency 5 2 2 3 3 2 2 4" xfId="33423" xr:uid="{149760A0-BE6F-43EE-BAAC-672041C55EFE}"/>
    <cellStyle name="Currency 5 2 2 3 3 2 3" xfId="20759" xr:uid="{DE401BE2-1F94-4FC1-823C-73E76DAB149B}"/>
    <cellStyle name="Currency 5 2 2 3 3 2 3 2" xfId="37653" xr:uid="{C8A5BD1C-5E93-4398-A7B0-0F9D0B2BC14C}"/>
    <cellStyle name="Currency 5 2 2 3 3 2 4" xfId="12312" xr:uid="{56F325DA-79B2-4E58-A9EE-F94279E240AB}"/>
    <cellStyle name="Currency 5 2 2 3 3 2 5" xfId="29206" xr:uid="{0D0C4690-573D-4D99-8D1C-CDBE8EC97458}"/>
    <cellStyle name="Currency 5 2 2 3 3 3" xfId="5058" xr:uid="{00000000-0005-0000-0000-0000E10B0000}"/>
    <cellStyle name="Currency 5 2 2 3 3 3 2" xfId="22831" xr:uid="{479433EA-A718-4E6D-AA73-6D7715EECBEE}"/>
    <cellStyle name="Currency 5 2 2 3 3 3 2 2" xfId="39725" xr:uid="{CB33A30F-11D7-462E-ACC6-46539BD450F2}"/>
    <cellStyle name="Currency 5 2 2 3 3 3 3" xfId="14384" xr:uid="{76F9B45A-C037-42E8-868B-4DAAC4314B7C}"/>
    <cellStyle name="Currency 5 2 2 3 3 3 4" xfId="31278" xr:uid="{A93CA504-8F1C-4649-9919-F057433D4768}"/>
    <cellStyle name="Currency 5 2 2 3 3 4" xfId="9315" xr:uid="{A76EC348-1CDB-41C1-B9B8-9215FF30C619}"/>
    <cellStyle name="Currency 5 2 2 3 3 4 2" xfId="18614" xr:uid="{91E38E08-740F-41E7-B187-16B4BEB4A7B4}"/>
    <cellStyle name="Currency 5 2 2 3 3 4 3" xfId="35508" xr:uid="{E9F1AB71-B656-41F1-8CFA-B0EC9E786A1C}"/>
    <cellStyle name="Currency 5 2 2 3 3 5" xfId="10167" xr:uid="{963A0D34-0073-42EA-8D78-19C43BE53B79}"/>
    <cellStyle name="Currency 5 2 2 3 3 6" xfId="27061" xr:uid="{018C833C-C1F7-4165-B0C4-D5EA537A8431}"/>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2 2 2" xfId="25389" xr:uid="{2D246490-437E-4F70-B571-31D0537285C3}"/>
    <cellStyle name="Currency 5 2 2 3 4 2 2 2 2" xfId="42283" xr:uid="{A06955C4-4FBB-4C84-A4EC-2F2825BD2C81}"/>
    <cellStyle name="Currency 5 2 2 3 4 2 2 3" xfId="16942" xr:uid="{98F4B4C3-07C8-40E3-84DE-CB03E974D2AB}"/>
    <cellStyle name="Currency 5 2 2 3 4 2 2 4" xfId="33836" xr:uid="{A7A2F213-F8E1-4435-92B6-4BA6FAE7DE68}"/>
    <cellStyle name="Currency 5 2 2 3 4 2 3" xfId="21172" xr:uid="{BFE72AF3-85E6-4BE9-AFB5-6EFE5CD97C4E}"/>
    <cellStyle name="Currency 5 2 2 3 4 2 3 2" xfId="38066" xr:uid="{DE391536-0C63-4006-B497-7F210B68FB11}"/>
    <cellStyle name="Currency 5 2 2 3 4 2 4" xfId="12725" xr:uid="{47B428BA-096E-4642-B7F9-3AF0425502A5}"/>
    <cellStyle name="Currency 5 2 2 3 4 2 5" xfId="29619" xr:uid="{C404B652-1FD3-482A-A448-2E0EAC856BA0}"/>
    <cellStyle name="Currency 5 2 2 3 4 3" xfId="5471" xr:uid="{00000000-0005-0000-0000-0000E50B0000}"/>
    <cellStyle name="Currency 5 2 2 3 4 3 2" xfId="23244" xr:uid="{DAF5F5EC-94E0-4CF0-B4CD-193C1057C753}"/>
    <cellStyle name="Currency 5 2 2 3 4 3 2 2" xfId="40138" xr:uid="{D653ADD0-CC42-49BD-BB4F-99983E0E71C2}"/>
    <cellStyle name="Currency 5 2 2 3 4 3 3" xfId="14797" xr:uid="{5552DF7E-C409-42F6-8116-BFBCD0DBEA9C}"/>
    <cellStyle name="Currency 5 2 2 3 4 3 4" xfId="31691" xr:uid="{3DEBF8CE-49BF-4424-AFEC-CD4086CBDD1B}"/>
    <cellStyle name="Currency 5 2 2 3 4 4" xfId="19027" xr:uid="{7D424618-B3B4-4C04-94DE-E44FB3605507}"/>
    <cellStyle name="Currency 5 2 2 3 4 4 2" xfId="35921" xr:uid="{79D30EBF-36A4-43FE-9DBF-0A5155B52628}"/>
    <cellStyle name="Currency 5 2 2 3 4 5" xfId="10580" xr:uid="{39A4B929-8D0D-4125-9AD6-4FDFC2F00602}"/>
    <cellStyle name="Currency 5 2 2 3 4 6" xfId="27474" xr:uid="{1E94CC0D-82CC-4152-A54F-C56E40EF5795}"/>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2 2 2" xfId="25802" xr:uid="{A47161C0-4FB9-40E7-A494-46C7942E5A81}"/>
    <cellStyle name="Currency 5 2 2 3 5 2 2 2 2" xfId="42696" xr:uid="{1B3D87F6-B4A1-4E45-91F6-5194A5B02977}"/>
    <cellStyle name="Currency 5 2 2 3 5 2 2 3" xfId="17355" xr:uid="{0C832A6A-6A6F-4313-A4C6-026DA31BBF02}"/>
    <cellStyle name="Currency 5 2 2 3 5 2 2 4" xfId="34249" xr:uid="{23B26FE4-E6D3-4867-BC9F-A9B5897D577A}"/>
    <cellStyle name="Currency 5 2 2 3 5 2 3" xfId="21585" xr:uid="{2B9914A2-C1F9-4BCF-8A00-CF2DFE1489F4}"/>
    <cellStyle name="Currency 5 2 2 3 5 2 3 2" xfId="38479" xr:uid="{1F3C4DDC-BFB6-45F2-9F93-51F8C6D079A2}"/>
    <cellStyle name="Currency 5 2 2 3 5 2 4" xfId="13138" xr:uid="{9C8B1047-98AC-45F6-B8B5-8FD93331124F}"/>
    <cellStyle name="Currency 5 2 2 3 5 2 5" xfId="30032" xr:uid="{7726C9AE-7C06-4319-821B-E2D126BA3640}"/>
    <cellStyle name="Currency 5 2 2 3 5 3" xfId="5884" xr:uid="{00000000-0005-0000-0000-0000E90B0000}"/>
    <cellStyle name="Currency 5 2 2 3 5 3 2" xfId="23657" xr:uid="{1B79D172-1C5C-4043-AEF6-9C183F35F4C0}"/>
    <cellStyle name="Currency 5 2 2 3 5 3 2 2" xfId="40551" xr:uid="{23647890-494B-428B-BF61-912E7A19BCF9}"/>
    <cellStyle name="Currency 5 2 2 3 5 3 3" xfId="15210" xr:uid="{3B7B3CF9-8E12-4FB8-9909-D77DA8F8B462}"/>
    <cellStyle name="Currency 5 2 2 3 5 3 4" xfId="32104" xr:uid="{8957BD29-2B68-4A2D-B12F-FAFE42776EB3}"/>
    <cellStyle name="Currency 5 2 2 3 5 4" xfId="19440" xr:uid="{6A12616F-431E-49D7-9988-ED4A4B9E7EA0}"/>
    <cellStyle name="Currency 5 2 2 3 5 4 2" xfId="36334" xr:uid="{6CD0A34F-E4CE-4AC0-820C-3A62AA74EE05}"/>
    <cellStyle name="Currency 5 2 2 3 5 5" xfId="10993" xr:uid="{13B151E8-7822-4BC6-87D3-0A9AB1A7550F}"/>
    <cellStyle name="Currency 5 2 2 3 5 6" xfId="27887" xr:uid="{150EBF51-D053-44A1-A53D-C8A17344E5D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2 2 2" xfId="26215" xr:uid="{4518C539-786B-45D0-8FF2-7023C1E1D6F4}"/>
    <cellStyle name="Currency 5 2 2 3 6 2 2 2 2" xfId="43109" xr:uid="{1A3668F0-D761-4A98-9931-0CCF72CD3D8F}"/>
    <cellStyle name="Currency 5 2 2 3 6 2 2 3" xfId="17768" xr:uid="{065182C1-F587-4E95-AFD0-0A8E018E6E59}"/>
    <cellStyle name="Currency 5 2 2 3 6 2 2 4" xfId="34662" xr:uid="{CA7158B2-8092-4E63-8FC0-152E7978CABB}"/>
    <cellStyle name="Currency 5 2 2 3 6 2 3" xfId="21998" xr:uid="{1B9EC326-D181-45B4-A5F0-43B66F096816}"/>
    <cellStyle name="Currency 5 2 2 3 6 2 3 2" xfId="38892" xr:uid="{1E4A8F6D-73B2-448C-B791-FAEB19880066}"/>
    <cellStyle name="Currency 5 2 2 3 6 2 4" xfId="13551" xr:uid="{55838461-34EA-4F7F-8741-2AC173227FDD}"/>
    <cellStyle name="Currency 5 2 2 3 6 2 5" xfId="30445" xr:uid="{3B74FB7B-9ADA-4F59-BB73-0026D467CE90}"/>
    <cellStyle name="Currency 5 2 2 3 6 3" xfId="6297" xr:uid="{00000000-0005-0000-0000-0000ED0B0000}"/>
    <cellStyle name="Currency 5 2 2 3 6 3 2" xfId="24070" xr:uid="{201E0CF5-43B4-4F69-A44A-058A2D398292}"/>
    <cellStyle name="Currency 5 2 2 3 6 3 2 2" xfId="40964" xr:uid="{072D0C54-1D17-48E4-83DB-F9D9A9E133C7}"/>
    <cellStyle name="Currency 5 2 2 3 6 3 3" xfId="15623" xr:uid="{9769A65F-2E49-4826-A506-E86E2B54F49C}"/>
    <cellStyle name="Currency 5 2 2 3 6 3 4" xfId="32517" xr:uid="{B5C83E18-D488-444C-9FB7-3A9B58134F48}"/>
    <cellStyle name="Currency 5 2 2 3 6 4" xfId="19853" xr:uid="{F95935E0-92A2-48AB-9138-181F75CD5506}"/>
    <cellStyle name="Currency 5 2 2 3 6 4 2" xfId="36747" xr:uid="{BE96CBF6-F3E3-4C20-AABE-00E0EFB2D018}"/>
    <cellStyle name="Currency 5 2 2 3 6 5" xfId="11406" xr:uid="{76DC9E60-4B8F-40B3-ADBB-4BB95A8B12EC}"/>
    <cellStyle name="Currency 5 2 2 3 6 6" xfId="28300" xr:uid="{0DEE511F-4F6B-4DBD-BE40-A77DAE7FE495}"/>
    <cellStyle name="Currency 5 2 2 3 7" xfId="2426" xr:uid="{00000000-0005-0000-0000-0000EE0B0000}"/>
    <cellStyle name="Currency 5 2 2 3 7 2" xfId="6710" xr:uid="{00000000-0005-0000-0000-0000EF0B0000}"/>
    <cellStyle name="Currency 5 2 2 3 7 2 2" xfId="24483" xr:uid="{B25189FE-D298-438E-AAF6-D2E9AA09117C}"/>
    <cellStyle name="Currency 5 2 2 3 7 2 2 2" xfId="41377" xr:uid="{634734B9-73F8-4B19-888F-FB30EEA90AB5}"/>
    <cellStyle name="Currency 5 2 2 3 7 2 3" xfId="16036" xr:uid="{4E4906A4-1A77-4D75-8F70-B32EDCCE14DE}"/>
    <cellStyle name="Currency 5 2 2 3 7 2 4" xfId="32930" xr:uid="{614916A7-33B9-4904-BE7B-2B56528B5D43}"/>
    <cellStyle name="Currency 5 2 2 3 7 3" xfId="20266" xr:uid="{1D3F0E06-0AFD-4F18-86B7-D397BBAA5C09}"/>
    <cellStyle name="Currency 5 2 2 3 7 3 2" xfId="37160" xr:uid="{45B686A4-B1D3-4365-AC67-86B1D8EBE5DC}"/>
    <cellStyle name="Currency 5 2 2 3 7 4" xfId="11819" xr:uid="{8DDC5AF3-F14D-4E6B-A949-4D8BF9D99D50}"/>
    <cellStyle name="Currency 5 2 2 3 7 5" xfId="28713" xr:uid="{37B5C2D4-ED88-4B2D-8826-FB8120BC5E26}"/>
    <cellStyle name="Currency 5 2 2 3 8" xfId="2723" xr:uid="{00000000-0005-0000-0000-0000F00B0000}"/>
    <cellStyle name="Currency 5 2 2 3 9" xfId="2804" xr:uid="{00000000-0005-0000-0000-0000F10B0000}"/>
    <cellStyle name="Currency 5 2 2 3 9 2" xfId="7027" xr:uid="{00000000-0005-0000-0000-0000F20B0000}"/>
    <cellStyle name="Currency 5 2 2 3 9 2 2" xfId="24800" xr:uid="{D976218E-B664-4EE0-9172-984D69863AA4}"/>
    <cellStyle name="Currency 5 2 2 3 9 2 2 2" xfId="41694" xr:uid="{1F65BA38-A0AC-4B15-A2AC-DCD54ADEC44E}"/>
    <cellStyle name="Currency 5 2 2 3 9 2 3" xfId="16353" xr:uid="{959E4162-B760-4604-9722-96318F3AAF42}"/>
    <cellStyle name="Currency 5 2 2 3 9 2 4" xfId="33247" xr:uid="{DCC08472-14F7-48FF-8D36-41326FA5B047}"/>
    <cellStyle name="Currency 5 2 2 3 9 3" xfId="20583" xr:uid="{CBCD02E3-09FC-4062-AA52-B531661DA7F7}"/>
    <cellStyle name="Currency 5 2 2 3 9 3 2" xfId="37477" xr:uid="{DBB46DA7-4133-458C-9A3F-589E4B3E34CF}"/>
    <cellStyle name="Currency 5 2 2 3 9 4" xfId="12136" xr:uid="{A876A25B-1037-45CC-896A-538BA19AE4A4}"/>
    <cellStyle name="Currency 5 2 2 3 9 5" xfId="29030" xr:uid="{5D4313C8-8160-450D-ACD7-C99A7332A1B4}"/>
    <cellStyle name="Currency 5 2 2 4" xfId="202" xr:uid="{00000000-0005-0000-0000-0000F30B0000}"/>
    <cellStyle name="Currency 5 2 2 4 10" xfId="8994" xr:uid="{484CCE7A-1288-4C7F-ABD6-C45948DC4EC0}"/>
    <cellStyle name="Currency 5 2 2 4 10 2" xfId="18202" xr:uid="{86F68B60-198E-4868-AEF2-20FB99413822}"/>
    <cellStyle name="Currency 5 2 2 4 10 3" xfId="35096" xr:uid="{9F759931-54A2-4D7B-9314-F904CDE5897E}"/>
    <cellStyle name="Currency 5 2 2 4 11" xfId="9755" xr:uid="{71A6597C-61DD-4B94-B50C-FC79D7B22771}"/>
    <cellStyle name="Currency 5 2 2 4 12" xfId="26649" xr:uid="{6AC04720-5272-4EB7-AB44-C55010A2BFBA}"/>
    <cellStyle name="Currency 5 2 2 4 2" xfId="729" xr:uid="{00000000-0005-0000-0000-0000F40B0000}"/>
    <cellStyle name="Currency 5 2 2 4 2 2" xfId="2983" xr:uid="{00000000-0005-0000-0000-0000F50B0000}"/>
    <cellStyle name="Currency 5 2 2 4 2 2 2" xfId="7205" xr:uid="{00000000-0005-0000-0000-0000F60B0000}"/>
    <cellStyle name="Currency 5 2 2 4 2 2 2 2" xfId="24978" xr:uid="{48A0C9B3-F8B7-4CAF-8862-4591DE701424}"/>
    <cellStyle name="Currency 5 2 2 4 2 2 2 2 2" xfId="41872" xr:uid="{1FAD8FFC-1E7C-42F0-ACDC-305B74450BAD}"/>
    <cellStyle name="Currency 5 2 2 4 2 2 2 3" xfId="16531" xr:uid="{1A12B17E-1473-4955-B5E9-90CC9F681729}"/>
    <cellStyle name="Currency 5 2 2 4 2 2 2 4" xfId="33425" xr:uid="{384127C2-A9A6-4F54-8761-430F120DB21D}"/>
    <cellStyle name="Currency 5 2 2 4 2 2 3" xfId="20761" xr:uid="{4E426EEE-6C8D-4D1B-B5A3-D571506326BD}"/>
    <cellStyle name="Currency 5 2 2 4 2 2 3 2" xfId="37655" xr:uid="{675E3D82-5BB7-4DBC-BBF4-8DB73AECC340}"/>
    <cellStyle name="Currency 5 2 2 4 2 2 4" xfId="12314" xr:uid="{36C6BE6D-3617-4D5D-9D22-7E90D8709553}"/>
    <cellStyle name="Currency 5 2 2 4 2 2 5" xfId="29208" xr:uid="{6A105757-6FF4-4021-A8A5-B40E5E450F38}"/>
    <cellStyle name="Currency 5 2 2 4 2 3" xfId="5060" xr:uid="{00000000-0005-0000-0000-0000F70B0000}"/>
    <cellStyle name="Currency 5 2 2 4 2 3 2" xfId="22833" xr:uid="{770D0B44-6700-40FE-BB92-698A237129E2}"/>
    <cellStyle name="Currency 5 2 2 4 2 3 2 2" xfId="39727" xr:uid="{994AF881-296F-4FE1-BA30-8A13DEA089A9}"/>
    <cellStyle name="Currency 5 2 2 4 2 3 3" xfId="14386" xr:uid="{275F7B2D-8E3F-4E36-AAFA-1ABBEE2D6CB9}"/>
    <cellStyle name="Currency 5 2 2 4 2 3 4" xfId="31280" xr:uid="{1A77CF55-9D45-4ED7-9CBA-A814EC122871}"/>
    <cellStyle name="Currency 5 2 2 4 2 4" xfId="9419" xr:uid="{F03E4D2E-3BA9-4D5B-9C35-959DB128CBAE}"/>
    <cellStyle name="Currency 5 2 2 4 2 4 2" xfId="18616" xr:uid="{81B0CFDB-3D69-489C-9F29-FFE372DD965B}"/>
    <cellStyle name="Currency 5 2 2 4 2 4 3" xfId="35510" xr:uid="{5EFD146D-A2EC-4949-AF2C-43C29BF359E4}"/>
    <cellStyle name="Currency 5 2 2 4 2 5" xfId="10169" xr:uid="{7EDDF6A7-1891-4732-8843-3A557FE6F132}"/>
    <cellStyle name="Currency 5 2 2 4 2 6" xfId="27063" xr:uid="{7370AF27-143D-47B3-8E3D-35CC7C8378C7}"/>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2 2 2" xfId="25391" xr:uid="{6295D699-1BDD-44B6-BC2C-45F3AD771E62}"/>
    <cellStyle name="Currency 5 2 2 4 3 2 2 2 2" xfId="42285" xr:uid="{5547C8A2-6754-4020-818D-4DD43099E48E}"/>
    <cellStyle name="Currency 5 2 2 4 3 2 2 3" xfId="16944" xr:uid="{E4D9A7FF-D48C-40EE-B5D8-AF9D51FD5146}"/>
    <cellStyle name="Currency 5 2 2 4 3 2 2 4" xfId="33838" xr:uid="{1767E580-1110-476C-985F-ABC21F0C2302}"/>
    <cellStyle name="Currency 5 2 2 4 3 2 3" xfId="21174" xr:uid="{CA27E8B6-5D8F-43C5-AD02-DBBEA65C8108}"/>
    <cellStyle name="Currency 5 2 2 4 3 2 3 2" xfId="38068" xr:uid="{D5DDA211-A893-48DB-B191-0336715279E2}"/>
    <cellStyle name="Currency 5 2 2 4 3 2 4" xfId="12727" xr:uid="{6768CAC8-0A43-4506-AAFB-F71183F9E51A}"/>
    <cellStyle name="Currency 5 2 2 4 3 2 5" xfId="29621" xr:uid="{F951E821-2C58-40E4-A4B1-387AC07D1387}"/>
    <cellStyle name="Currency 5 2 2 4 3 3" xfId="5473" xr:uid="{00000000-0005-0000-0000-0000FB0B0000}"/>
    <cellStyle name="Currency 5 2 2 4 3 3 2" xfId="23246" xr:uid="{44A2E094-96C0-45C5-972A-77BB9219E91D}"/>
    <cellStyle name="Currency 5 2 2 4 3 3 2 2" xfId="40140" xr:uid="{F4ED6FCA-ED77-4453-AC6E-69A24363644A}"/>
    <cellStyle name="Currency 5 2 2 4 3 3 3" xfId="14799" xr:uid="{967A8576-69C3-404E-9FB6-9B5F2C0478DC}"/>
    <cellStyle name="Currency 5 2 2 4 3 3 4" xfId="31693" xr:uid="{29EB31AA-D623-45B4-9339-6138B3CBE22F}"/>
    <cellStyle name="Currency 5 2 2 4 3 4" xfId="19029" xr:uid="{2DCA6D1A-52FF-4A1F-9BDB-8DC586FC3FD0}"/>
    <cellStyle name="Currency 5 2 2 4 3 4 2" xfId="35923" xr:uid="{DC226AC7-8504-4A5E-A448-D814C1EB6EB8}"/>
    <cellStyle name="Currency 5 2 2 4 3 5" xfId="10582" xr:uid="{6391AD44-A8A6-4EBB-96B4-54D1911E4789}"/>
    <cellStyle name="Currency 5 2 2 4 3 6" xfId="27476" xr:uid="{C0A2B7F2-7728-4578-865C-E80AE03895EE}"/>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2 2 2" xfId="25804" xr:uid="{B0B3AC60-80BF-4D55-A332-02F7E3331EF4}"/>
    <cellStyle name="Currency 5 2 2 4 4 2 2 2 2" xfId="42698" xr:uid="{25D10ECB-F084-46E1-8592-74539ED0EE1F}"/>
    <cellStyle name="Currency 5 2 2 4 4 2 2 3" xfId="17357" xr:uid="{386D361B-CA02-4ACE-BE66-78B7B0B73CEA}"/>
    <cellStyle name="Currency 5 2 2 4 4 2 2 4" xfId="34251" xr:uid="{DF04272B-7F38-4B01-BFDA-45A7CC86494B}"/>
    <cellStyle name="Currency 5 2 2 4 4 2 3" xfId="21587" xr:uid="{2D394D5F-138E-456E-BD74-40C7C2248411}"/>
    <cellStyle name="Currency 5 2 2 4 4 2 3 2" xfId="38481" xr:uid="{BCB7FD43-E9E0-439B-96F2-695404907667}"/>
    <cellStyle name="Currency 5 2 2 4 4 2 4" xfId="13140" xr:uid="{54CC2632-CD67-409A-A953-926AC4FA91BE}"/>
    <cellStyle name="Currency 5 2 2 4 4 2 5" xfId="30034" xr:uid="{DFB5EA33-6069-4D1E-8876-4A219631E16C}"/>
    <cellStyle name="Currency 5 2 2 4 4 3" xfId="5886" xr:uid="{00000000-0005-0000-0000-0000FF0B0000}"/>
    <cellStyle name="Currency 5 2 2 4 4 3 2" xfId="23659" xr:uid="{672AB7FA-D7CE-489B-BB3F-361804784FEC}"/>
    <cellStyle name="Currency 5 2 2 4 4 3 2 2" xfId="40553" xr:uid="{E9807528-64D9-44BC-91C5-DF5B26CC8A88}"/>
    <cellStyle name="Currency 5 2 2 4 4 3 3" xfId="15212" xr:uid="{CAE1521F-CA5A-46DC-A6CA-21892A22A08E}"/>
    <cellStyle name="Currency 5 2 2 4 4 3 4" xfId="32106" xr:uid="{BCF6D16A-B74D-4262-BEAC-23A7731DE40F}"/>
    <cellStyle name="Currency 5 2 2 4 4 4" xfId="19442" xr:uid="{0AA95AA7-A65D-4FA6-972E-F5B0B2D5E53C}"/>
    <cellStyle name="Currency 5 2 2 4 4 4 2" xfId="36336" xr:uid="{2FB0C65E-AE4B-40CF-9B44-9CBC67DB1116}"/>
    <cellStyle name="Currency 5 2 2 4 4 5" xfId="10995" xr:uid="{D22775CA-C4CB-4651-9CD9-642FEEBBE767}"/>
    <cellStyle name="Currency 5 2 2 4 4 6" xfId="27889" xr:uid="{E4108EE4-3DD0-4D45-AEC1-53E7677D4FB4}"/>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2 2 2" xfId="26217" xr:uid="{1681A6AF-9293-4F6F-B19F-BA809C470FA9}"/>
    <cellStyle name="Currency 5 2 2 4 5 2 2 2 2" xfId="43111" xr:uid="{38BE815F-BC5B-4F14-B94F-DB55B40AD40C}"/>
    <cellStyle name="Currency 5 2 2 4 5 2 2 3" xfId="17770" xr:uid="{DDC2B25A-B7CE-4847-AD23-E10B81EEE502}"/>
    <cellStyle name="Currency 5 2 2 4 5 2 2 4" xfId="34664" xr:uid="{BFBF7AA2-1EBF-42B2-B21C-400864D1D404}"/>
    <cellStyle name="Currency 5 2 2 4 5 2 3" xfId="22000" xr:uid="{56B2EF3E-16BF-4B62-80F3-A4D88884678F}"/>
    <cellStyle name="Currency 5 2 2 4 5 2 3 2" xfId="38894" xr:uid="{66CFA86F-782F-4151-A7A0-1CFED3E3C1C2}"/>
    <cellStyle name="Currency 5 2 2 4 5 2 4" xfId="13553" xr:uid="{0B5AF2D7-FB73-4F6D-B08F-D1472F646913}"/>
    <cellStyle name="Currency 5 2 2 4 5 2 5" xfId="30447" xr:uid="{96966788-FFDC-40E7-B992-604387479657}"/>
    <cellStyle name="Currency 5 2 2 4 5 3" xfId="6299" xr:uid="{00000000-0005-0000-0000-0000030C0000}"/>
    <cellStyle name="Currency 5 2 2 4 5 3 2" xfId="24072" xr:uid="{204B62AC-3277-41D6-AC09-505FD97E2417}"/>
    <cellStyle name="Currency 5 2 2 4 5 3 2 2" xfId="40966" xr:uid="{6DB7BA17-CE57-4F8D-843B-8A018F80B3D6}"/>
    <cellStyle name="Currency 5 2 2 4 5 3 3" xfId="15625" xr:uid="{1C84A1F8-2C3B-4578-A2A7-311A55395B4F}"/>
    <cellStyle name="Currency 5 2 2 4 5 3 4" xfId="32519" xr:uid="{8B0BC08C-03D7-45AF-ACB5-DF711A9D826A}"/>
    <cellStyle name="Currency 5 2 2 4 5 4" xfId="19855" xr:uid="{B36EBCEA-C896-454C-9A9F-F3E901B6A5A7}"/>
    <cellStyle name="Currency 5 2 2 4 5 4 2" xfId="36749" xr:uid="{E209A761-EBEB-4A84-A4AA-D51F9EDBB5B5}"/>
    <cellStyle name="Currency 5 2 2 4 5 5" xfId="11408" xr:uid="{DF474E89-170D-4399-B900-083D2EF322D2}"/>
    <cellStyle name="Currency 5 2 2 4 5 6" xfId="28302" xr:uid="{C4DA103D-7F67-47B6-9B4A-5C86EEA75F1F}"/>
    <cellStyle name="Currency 5 2 2 4 6" xfId="2428" xr:uid="{00000000-0005-0000-0000-0000040C0000}"/>
    <cellStyle name="Currency 5 2 2 4 6 2" xfId="6712" xr:uid="{00000000-0005-0000-0000-0000050C0000}"/>
    <cellStyle name="Currency 5 2 2 4 6 2 2" xfId="24485" xr:uid="{E24702A2-FCAA-45F2-B8EF-3671AA5DF080}"/>
    <cellStyle name="Currency 5 2 2 4 6 2 2 2" xfId="41379" xr:uid="{F4741CA5-86FA-4F54-B3A6-B1B054BD0779}"/>
    <cellStyle name="Currency 5 2 2 4 6 2 3" xfId="16038" xr:uid="{0AC19DA8-850C-414E-B900-3CB60A62BCB2}"/>
    <cellStyle name="Currency 5 2 2 4 6 2 4" xfId="32932" xr:uid="{2E28C32A-654E-44FB-8C47-B040F1E9177E}"/>
    <cellStyle name="Currency 5 2 2 4 6 3" xfId="20268" xr:uid="{501B25EC-AD57-4067-8849-6A987E126D15}"/>
    <cellStyle name="Currency 5 2 2 4 6 3 2" xfId="37162" xr:uid="{90B791FC-289D-4F0B-A4E5-09E3C9E004ED}"/>
    <cellStyle name="Currency 5 2 2 4 6 4" xfId="11821" xr:uid="{BCFD139F-EB35-4D68-A4F3-AAC8CDFDB0D3}"/>
    <cellStyle name="Currency 5 2 2 4 6 5" xfId="28715" xr:uid="{6B4DEC82-9544-461F-8B68-804F4A218F43}"/>
    <cellStyle name="Currency 5 2 2 4 7" xfId="2725" xr:uid="{00000000-0005-0000-0000-0000060C0000}"/>
    <cellStyle name="Currency 5 2 2 4 8" xfId="2806" xr:uid="{00000000-0005-0000-0000-0000070C0000}"/>
    <cellStyle name="Currency 5 2 2 4 8 2" xfId="7029" xr:uid="{00000000-0005-0000-0000-0000080C0000}"/>
    <cellStyle name="Currency 5 2 2 4 8 2 2" xfId="24802" xr:uid="{5AE9481D-5156-4D6C-AD55-786F3E9191F4}"/>
    <cellStyle name="Currency 5 2 2 4 8 2 2 2" xfId="41696" xr:uid="{CB52AB55-F473-4E78-B7D9-090822135BDD}"/>
    <cellStyle name="Currency 5 2 2 4 8 2 3" xfId="16355" xr:uid="{D65713AA-9623-4731-97DF-77A529773CB9}"/>
    <cellStyle name="Currency 5 2 2 4 8 2 4" xfId="33249" xr:uid="{8EAA9486-55E5-4A25-889F-46C511741086}"/>
    <cellStyle name="Currency 5 2 2 4 8 3" xfId="20585" xr:uid="{348E5B4A-069F-4FC8-90C1-02D3BAEF5B6E}"/>
    <cellStyle name="Currency 5 2 2 4 8 3 2" xfId="37479" xr:uid="{614A752B-35E0-49C6-BD61-7F1B1BEE579F}"/>
    <cellStyle name="Currency 5 2 2 4 8 4" xfId="12138" xr:uid="{F681326F-AB49-48DF-B940-50DB8F971847}"/>
    <cellStyle name="Currency 5 2 2 4 8 5" xfId="29032" xr:uid="{0A2BD18D-081B-4B30-B233-A6F1FD8DC450}"/>
    <cellStyle name="Currency 5 2 2 4 9" xfId="4646" xr:uid="{00000000-0005-0000-0000-0000090C0000}"/>
    <cellStyle name="Currency 5 2 2 4 9 2" xfId="22419" xr:uid="{B54C4E3D-2E14-4FB3-9719-514541D8A69B}"/>
    <cellStyle name="Currency 5 2 2 4 9 2 2" xfId="39313" xr:uid="{EBA0FA06-D5BE-4A28-A70A-FAA7F8FB9498}"/>
    <cellStyle name="Currency 5 2 2 4 9 3" xfId="13972" xr:uid="{A8255DE8-00AA-4D66-9D88-DD79F8A2C4F2}"/>
    <cellStyle name="Currency 5 2 2 4 9 4" xfId="30866" xr:uid="{DD528655-F938-47F9-A66A-9BAB94768B57}"/>
    <cellStyle name="Currency 5 2 2 5" xfId="203" xr:uid="{00000000-0005-0000-0000-00000A0C0000}"/>
    <cellStyle name="Currency 5 2 2 5 10" xfId="9211" xr:uid="{586E1D8D-A72F-44A2-BAB5-A0BAD4827F6D}"/>
    <cellStyle name="Currency 5 2 2 5 10 2" xfId="18203" xr:uid="{47DF958B-C2E8-4967-A030-9B2B9D705226}"/>
    <cellStyle name="Currency 5 2 2 5 10 3" xfId="35097" xr:uid="{CCE126F4-939B-466E-A23C-5D5D997F1321}"/>
    <cellStyle name="Currency 5 2 2 5 11" xfId="9756" xr:uid="{A456D11D-DD51-4C2F-916C-A844130BE3BC}"/>
    <cellStyle name="Currency 5 2 2 5 12" xfId="26650" xr:uid="{5FF000CE-5585-44AC-B319-37F14EA176CC}"/>
    <cellStyle name="Currency 5 2 2 5 2" xfId="730" xr:uid="{00000000-0005-0000-0000-00000B0C0000}"/>
    <cellStyle name="Currency 5 2 2 5 2 2" xfId="2984" xr:uid="{00000000-0005-0000-0000-00000C0C0000}"/>
    <cellStyle name="Currency 5 2 2 5 2 2 2" xfId="7206" xr:uid="{00000000-0005-0000-0000-00000D0C0000}"/>
    <cellStyle name="Currency 5 2 2 5 2 2 2 2" xfId="24979" xr:uid="{F0FE370A-0548-4CEC-B315-F603C24974DD}"/>
    <cellStyle name="Currency 5 2 2 5 2 2 2 2 2" xfId="41873" xr:uid="{D5E34C8C-8935-46C9-AC92-35A4AE6DB2F2}"/>
    <cellStyle name="Currency 5 2 2 5 2 2 2 3" xfId="16532" xr:uid="{5487407A-12FA-4F5B-B833-ADC21BCFC84B}"/>
    <cellStyle name="Currency 5 2 2 5 2 2 2 4" xfId="33426" xr:uid="{58999762-A371-4FB0-9113-DDE36CEA09D1}"/>
    <cellStyle name="Currency 5 2 2 5 2 2 3" xfId="20762" xr:uid="{A023F4A1-BBE9-46FD-AB72-4E6861DBB2B8}"/>
    <cellStyle name="Currency 5 2 2 5 2 2 3 2" xfId="37656" xr:uid="{0BBAF352-E773-4881-9F5E-5008D4F28716}"/>
    <cellStyle name="Currency 5 2 2 5 2 2 4" xfId="12315" xr:uid="{588F11C1-174B-4303-A1D7-9F3A7F31C669}"/>
    <cellStyle name="Currency 5 2 2 5 2 2 5" xfId="29209" xr:uid="{2F7F8CFB-0D88-4B1B-9941-7768D7D4EC45}"/>
    <cellStyle name="Currency 5 2 2 5 2 3" xfId="5061" xr:uid="{00000000-0005-0000-0000-00000E0C0000}"/>
    <cellStyle name="Currency 5 2 2 5 2 3 2" xfId="22834" xr:uid="{9D5E38E9-2047-452E-9FFA-C4068A7EA2DE}"/>
    <cellStyle name="Currency 5 2 2 5 2 3 2 2" xfId="39728" xr:uid="{7BA93F64-1909-4D84-A96B-6C0F9765AC15}"/>
    <cellStyle name="Currency 5 2 2 5 2 3 3" xfId="14387" xr:uid="{8940B983-A3F8-4344-90AF-4B0AF22C35B6}"/>
    <cellStyle name="Currency 5 2 2 5 2 3 4" xfId="31281" xr:uid="{9E6F0ECE-7727-49B8-BC4D-CBE91BAF482A}"/>
    <cellStyle name="Currency 5 2 2 5 2 4" xfId="9598" xr:uid="{EBD3270B-608E-49E1-8A20-C5ADF81FBC1B}"/>
    <cellStyle name="Currency 5 2 2 5 2 4 2" xfId="18617" xr:uid="{469D7515-2343-401A-9A8A-2907EE50279F}"/>
    <cellStyle name="Currency 5 2 2 5 2 4 3" xfId="35511" xr:uid="{8DFB44D4-2D83-4AD7-B40C-94515F550D59}"/>
    <cellStyle name="Currency 5 2 2 5 2 5" xfId="10170" xr:uid="{DA1BC865-2231-40B4-8E97-8DDE9F09ED23}"/>
    <cellStyle name="Currency 5 2 2 5 2 6" xfId="27064" xr:uid="{33D9394B-DD3E-43BD-B13C-ADFEC20C7C49}"/>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2 2 2" xfId="25392" xr:uid="{137B871F-71F1-4B7F-83E4-911FF8FE96B7}"/>
    <cellStyle name="Currency 5 2 2 5 3 2 2 2 2" xfId="42286" xr:uid="{1544A3DD-E9C3-4924-98F9-371EC58C6FC6}"/>
    <cellStyle name="Currency 5 2 2 5 3 2 2 3" xfId="16945" xr:uid="{94DFC2A5-AE6D-40A3-A1D4-24447DB8BB92}"/>
    <cellStyle name="Currency 5 2 2 5 3 2 2 4" xfId="33839" xr:uid="{084F3C1C-9666-4652-8D0F-45DDBC6E4669}"/>
    <cellStyle name="Currency 5 2 2 5 3 2 3" xfId="21175" xr:uid="{89F97CC9-9E8D-459C-BBA6-FD7C31EF990C}"/>
    <cellStyle name="Currency 5 2 2 5 3 2 3 2" xfId="38069" xr:uid="{124E93F9-25DC-4E7F-A02F-3389BE8F26FF}"/>
    <cellStyle name="Currency 5 2 2 5 3 2 4" xfId="12728" xr:uid="{D1D552F5-E937-4F79-B137-7BE646D917AB}"/>
    <cellStyle name="Currency 5 2 2 5 3 2 5" xfId="29622" xr:uid="{682F34A9-AE72-42EB-AF54-A48E1704644C}"/>
    <cellStyle name="Currency 5 2 2 5 3 3" xfId="5474" xr:uid="{00000000-0005-0000-0000-0000120C0000}"/>
    <cellStyle name="Currency 5 2 2 5 3 3 2" xfId="23247" xr:uid="{4ECA21F0-3F27-48F4-8F54-6A497CADB030}"/>
    <cellStyle name="Currency 5 2 2 5 3 3 2 2" xfId="40141" xr:uid="{10E9256A-4A61-4FEF-802A-23876AFC5BB7}"/>
    <cellStyle name="Currency 5 2 2 5 3 3 3" xfId="14800" xr:uid="{55806D33-B20B-4750-923E-AF65DF5F09A3}"/>
    <cellStyle name="Currency 5 2 2 5 3 3 4" xfId="31694" xr:uid="{4BF283DD-A580-4EDF-999C-C01EC50A1C16}"/>
    <cellStyle name="Currency 5 2 2 5 3 4" xfId="19030" xr:uid="{0A36AAEB-9182-432C-A761-26057D4CBB4C}"/>
    <cellStyle name="Currency 5 2 2 5 3 4 2" xfId="35924" xr:uid="{41BAC674-E9C5-4E0A-882A-7B330794F03D}"/>
    <cellStyle name="Currency 5 2 2 5 3 5" xfId="10583" xr:uid="{ECAEE613-E89F-4232-8ABE-B82B03B84EAF}"/>
    <cellStyle name="Currency 5 2 2 5 3 6" xfId="27477" xr:uid="{BE38C9A1-E73B-480F-9EA9-739D77F85FE4}"/>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2 2 2" xfId="25805" xr:uid="{AAFAEBD2-76D9-4063-AB4E-9A69BD44C410}"/>
    <cellStyle name="Currency 5 2 2 5 4 2 2 2 2" xfId="42699" xr:uid="{E71E6348-A354-4062-8E54-89FA833170E7}"/>
    <cellStyle name="Currency 5 2 2 5 4 2 2 3" xfId="17358" xr:uid="{9209033E-67F4-41A2-A123-5EF741EDF6A2}"/>
    <cellStyle name="Currency 5 2 2 5 4 2 2 4" xfId="34252" xr:uid="{8DBC3DE2-79C3-40BB-B80F-24AF8D65C252}"/>
    <cellStyle name="Currency 5 2 2 5 4 2 3" xfId="21588" xr:uid="{9D0B3DE9-231F-4B03-BAA5-3BECCC9A131D}"/>
    <cellStyle name="Currency 5 2 2 5 4 2 3 2" xfId="38482" xr:uid="{938C3F00-BAD9-4720-924D-6DEF476B8B55}"/>
    <cellStyle name="Currency 5 2 2 5 4 2 4" xfId="13141" xr:uid="{29E2AEFE-E66F-4F18-A342-81B434134D2C}"/>
    <cellStyle name="Currency 5 2 2 5 4 2 5" xfId="30035" xr:uid="{D7FEFB77-11FE-47B5-8693-155A39BAC7D8}"/>
    <cellStyle name="Currency 5 2 2 5 4 3" xfId="5887" xr:uid="{00000000-0005-0000-0000-0000160C0000}"/>
    <cellStyle name="Currency 5 2 2 5 4 3 2" xfId="23660" xr:uid="{17C1B605-F65A-4F1B-940B-17B0AFD8771A}"/>
    <cellStyle name="Currency 5 2 2 5 4 3 2 2" xfId="40554" xr:uid="{E9D6316E-092D-4657-9A71-C21DA56C4CFD}"/>
    <cellStyle name="Currency 5 2 2 5 4 3 3" xfId="15213" xr:uid="{83CCAB36-BFB9-448B-8936-6AD3D8C79233}"/>
    <cellStyle name="Currency 5 2 2 5 4 3 4" xfId="32107" xr:uid="{B96DBA38-6ECE-4877-B8F4-DF08742D21F6}"/>
    <cellStyle name="Currency 5 2 2 5 4 4" xfId="19443" xr:uid="{836E6398-9747-4890-8593-B0B5FD21F7FA}"/>
    <cellStyle name="Currency 5 2 2 5 4 4 2" xfId="36337" xr:uid="{70E7CDAD-4238-462C-9D71-700E57F0823F}"/>
    <cellStyle name="Currency 5 2 2 5 4 5" xfId="10996" xr:uid="{C9CC6549-D257-4614-B29D-09FDA8AAC171}"/>
    <cellStyle name="Currency 5 2 2 5 4 6" xfId="27890" xr:uid="{567A37FE-6E4E-4D37-80AE-5CE2FC018F02}"/>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2 2 2" xfId="26218" xr:uid="{26A7FD88-047F-4FA7-95E2-48B70C47D9C9}"/>
    <cellStyle name="Currency 5 2 2 5 5 2 2 2 2" xfId="43112" xr:uid="{55A3BBD9-1ACD-42E5-B8F5-3400FCC59C1B}"/>
    <cellStyle name="Currency 5 2 2 5 5 2 2 3" xfId="17771" xr:uid="{C426AB80-F7C9-422B-B7D0-81FF61B4A002}"/>
    <cellStyle name="Currency 5 2 2 5 5 2 2 4" xfId="34665" xr:uid="{CA8977E2-BB59-45E0-8370-7D90233B1CFB}"/>
    <cellStyle name="Currency 5 2 2 5 5 2 3" xfId="22001" xr:uid="{F3A8C262-B505-4400-B5E1-A25388AFAEDD}"/>
    <cellStyle name="Currency 5 2 2 5 5 2 3 2" xfId="38895" xr:uid="{EB46B950-2C1F-43BD-8C5D-2D63FBD9241C}"/>
    <cellStyle name="Currency 5 2 2 5 5 2 4" xfId="13554" xr:uid="{5B3767B0-30D4-41A8-905F-0FA8CF5EF172}"/>
    <cellStyle name="Currency 5 2 2 5 5 2 5" xfId="30448" xr:uid="{A060E8DE-1B7B-464D-AF45-5201A4C85CC1}"/>
    <cellStyle name="Currency 5 2 2 5 5 3" xfId="6300" xr:uid="{00000000-0005-0000-0000-00001A0C0000}"/>
    <cellStyle name="Currency 5 2 2 5 5 3 2" xfId="24073" xr:uid="{A38F816E-114B-49BF-B513-B31E42FD0657}"/>
    <cellStyle name="Currency 5 2 2 5 5 3 2 2" xfId="40967" xr:uid="{B8760427-ECC1-42E2-A617-2AA7D34EDEF6}"/>
    <cellStyle name="Currency 5 2 2 5 5 3 3" xfId="15626" xr:uid="{D638E053-6D16-4B22-B8CC-84C2566BE069}"/>
    <cellStyle name="Currency 5 2 2 5 5 3 4" xfId="32520" xr:uid="{00FF3782-9A1F-4232-BF77-139E05A7CD8C}"/>
    <cellStyle name="Currency 5 2 2 5 5 4" xfId="19856" xr:uid="{D60C2B94-DD1A-445D-9859-DDB7F4265DB5}"/>
    <cellStyle name="Currency 5 2 2 5 5 4 2" xfId="36750" xr:uid="{D38A3DC8-9A8C-4E1E-AB56-2392BFC0B55A}"/>
    <cellStyle name="Currency 5 2 2 5 5 5" xfId="11409" xr:uid="{5C821E66-325C-4C40-A2E6-C3439B2BC982}"/>
    <cellStyle name="Currency 5 2 2 5 5 6" xfId="28303" xr:uid="{CA5D3F8A-2AE5-4B19-9838-BCD0B91F969A}"/>
    <cellStyle name="Currency 5 2 2 5 6" xfId="2429" xr:uid="{00000000-0005-0000-0000-00001B0C0000}"/>
    <cellStyle name="Currency 5 2 2 5 6 2" xfId="6713" xr:uid="{00000000-0005-0000-0000-00001C0C0000}"/>
    <cellStyle name="Currency 5 2 2 5 6 2 2" xfId="24486" xr:uid="{56FCB46C-8761-475C-A453-95B700C1ECB6}"/>
    <cellStyle name="Currency 5 2 2 5 6 2 2 2" xfId="41380" xr:uid="{804C2913-42F8-44B2-8F81-2F601814A132}"/>
    <cellStyle name="Currency 5 2 2 5 6 2 3" xfId="16039" xr:uid="{38255298-13B7-4492-BA66-348179947BA0}"/>
    <cellStyle name="Currency 5 2 2 5 6 2 4" xfId="32933" xr:uid="{92F7CF9E-67C5-4B3F-B34A-15A2CC2E33C6}"/>
    <cellStyle name="Currency 5 2 2 5 6 3" xfId="20269" xr:uid="{526BB0D2-2591-496A-82AA-0C545C7B62AB}"/>
    <cellStyle name="Currency 5 2 2 5 6 3 2" xfId="37163" xr:uid="{B51D6968-9DD6-428E-85BE-59975B273EB1}"/>
    <cellStyle name="Currency 5 2 2 5 6 4" xfId="11822" xr:uid="{6998C848-ADBB-4A5B-90C1-9882CBD87920}"/>
    <cellStyle name="Currency 5 2 2 5 6 5" xfId="28716" xr:uid="{7ED5AF7E-0163-4458-8AFB-642F15242025}"/>
    <cellStyle name="Currency 5 2 2 5 7" xfId="2726" xr:uid="{00000000-0005-0000-0000-00001D0C0000}"/>
    <cellStyle name="Currency 5 2 2 5 8" xfId="2807" xr:uid="{00000000-0005-0000-0000-00001E0C0000}"/>
    <cellStyle name="Currency 5 2 2 5 8 2" xfId="7030" xr:uid="{00000000-0005-0000-0000-00001F0C0000}"/>
    <cellStyle name="Currency 5 2 2 5 8 2 2" xfId="24803" xr:uid="{FEF9C906-8BF6-4C32-AE35-EDB3BD4482C1}"/>
    <cellStyle name="Currency 5 2 2 5 8 2 2 2" xfId="41697" xr:uid="{DCDB21C0-8CBC-43F2-B155-A2B82E703C75}"/>
    <cellStyle name="Currency 5 2 2 5 8 2 3" xfId="16356" xr:uid="{3B8F777A-B778-495D-B4EC-AFE660ABD74F}"/>
    <cellStyle name="Currency 5 2 2 5 8 2 4" xfId="33250" xr:uid="{DA080CA6-77C8-46B0-AAE1-64E465730EA8}"/>
    <cellStyle name="Currency 5 2 2 5 8 3" xfId="20586" xr:uid="{4029C2E3-C99C-4BE0-8181-5BDCAA0CE77F}"/>
    <cellStyle name="Currency 5 2 2 5 8 3 2" xfId="37480" xr:uid="{6EBF3E4A-4A59-4F81-A389-5ED8AAFE6CE6}"/>
    <cellStyle name="Currency 5 2 2 5 8 4" xfId="12139" xr:uid="{453FE68F-CF62-44D1-9FC3-343F06BAD29C}"/>
    <cellStyle name="Currency 5 2 2 5 8 5" xfId="29033" xr:uid="{0232DF54-5ECE-4B2C-93FE-B689852DCC41}"/>
    <cellStyle name="Currency 5 2 2 5 9" xfId="4647" xr:uid="{00000000-0005-0000-0000-0000200C0000}"/>
    <cellStyle name="Currency 5 2 2 5 9 2" xfId="22420" xr:uid="{0F233C9B-7498-4FEA-BB09-3EA8D932B900}"/>
    <cellStyle name="Currency 5 2 2 5 9 2 2" xfId="39314" xr:uid="{3E9D32A3-CB74-46B8-9333-D39272813991}"/>
    <cellStyle name="Currency 5 2 2 5 9 3" xfId="13973" xr:uid="{6E54144E-CBCB-4E4F-98CE-DBE107D98F44}"/>
    <cellStyle name="Currency 5 2 2 5 9 4" xfId="30867" xr:uid="{F821CF2A-7F6E-4582-9510-D0F094A23845}"/>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0 2" xfId="22421" xr:uid="{389E3D86-C507-46A8-9BB6-D398C8732A2B}"/>
    <cellStyle name="Currency 5 2 4 10 2 2" xfId="39315" xr:uid="{D259B49D-AA58-4034-B21E-667B727B1E36}"/>
    <cellStyle name="Currency 5 2 4 10 3" xfId="13974" xr:uid="{AC95D6A5-4544-44B0-B50A-06A2AA239228}"/>
    <cellStyle name="Currency 5 2 4 10 4" xfId="30868" xr:uid="{20421192-1560-4311-B8E8-8788A2D98571}"/>
    <cellStyle name="Currency 5 2 4 11" xfId="8859" xr:uid="{D3A5F8AD-5F4E-4BEA-A9B4-9A705A015524}"/>
    <cellStyle name="Currency 5 2 4 11 2" xfId="18204" xr:uid="{5CE5FB9B-15E9-47CD-B5FB-4F315AC185A3}"/>
    <cellStyle name="Currency 5 2 4 11 3" xfId="35098" xr:uid="{1E9E8535-E8FD-4525-8A2D-934C0F5EF8F3}"/>
    <cellStyle name="Currency 5 2 4 12" xfId="9757" xr:uid="{42B7E035-C211-4FA8-9B3A-8701F0C17CE4}"/>
    <cellStyle name="Currency 5 2 4 13" xfId="26651" xr:uid="{CA8EA37C-8C5E-4DEB-A595-FD098358B69A}"/>
    <cellStyle name="Currency 5 2 4 2" xfId="206" xr:uid="{00000000-0005-0000-0000-0000250C0000}"/>
    <cellStyle name="Currency 5 2 4 2 10" xfId="9066" xr:uid="{2F7A28AF-2120-4AAF-A58B-33C2E07F597D}"/>
    <cellStyle name="Currency 5 2 4 2 10 2" xfId="18205" xr:uid="{12403975-5F17-4476-A1CB-0E5147033763}"/>
    <cellStyle name="Currency 5 2 4 2 10 3" xfId="35099" xr:uid="{C2ECE215-1763-4783-A87F-59DA05ECAA6F}"/>
    <cellStyle name="Currency 5 2 4 2 11" xfId="9758" xr:uid="{2CE069CD-2662-4B8B-8595-402E8E152002}"/>
    <cellStyle name="Currency 5 2 4 2 12" xfId="26652" xr:uid="{EE0D29AE-D9F0-405F-B5C1-62C7231C103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2 2 2" xfId="24981" xr:uid="{BE41D831-9EA1-4F16-A1D3-FAA8E1E68ADB}"/>
    <cellStyle name="Currency 5 2 4 2 2 2 2 2 2" xfId="41875" xr:uid="{A1084899-7B76-4CDC-8314-31605793CCFA}"/>
    <cellStyle name="Currency 5 2 4 2 2 2 2 3" xfId="16534" xr:uid="{CB1D7B47-360F-4A21-B8FF-532DB4099E45}"/>
    <cellStyle name="Currency 5 2 4 2 2 2 2 4" xfId="33428" xr:uid="{1D2D97B7-402C-4973-8EB1-2A4FCE0267A4}"/>
    <cellStyle name="Currency 5 2 4 2 2 2 3" xfId="20764" xr:uid="{1448CED8-10BC-4BE9-ACB4-0598390BB755}"/>
    <cellStyle name="Currency 5 2 4 2 2 2 3 2" xfId="37658" xr:uid="{A41072BE-D298-4BCC-AB11-916827BB4E3E}"/>
    <cellStyle name="Currency 5 2 4 2 2 2 4" xfId="12317" xr:uid="{17255384-B848-4202-AF32-C1E06CFD6140}"/>
    <cellStyle name="Currency 5 2 4 2 2 2 5" xfId="29211" xr:uid="{028028C7-89A9-461F-BD8B-6421EC4658F8}"/>
    <cellStyle name="Currency 5 2 4 2 2 3" xfId="5063" xr:uid="{00000000-0005-0000-0000-0000290C0000}"/>
    <cellStyle name="Currency 5 2 4 2 2 3 2" xfId="22836" xr:uid="{09CFAB57-A119-4DE0-889A-ECEBB924F887}"/>
    <cellStyle name="Currency 5 2 4 2 2 3 2 2" xfId="39730" xr:uid="{2B9F3D96-E15B-4B98-A3E3-78E3E860D72A}"/>
    <cellStyle name="Currency 5 2 4 2 2 3 3" xfId="14389" xr:uid="{76DDFDD5-771D-4A4F-AD1E-5A4DC58E4AC0}"/>
    <cellStyle name="Currency 5 2 4 2 2 3 4" xfId="31283" xr:uid="{20F763A8-EB1A-4219-AC5B-EC41A506C98D}"/>
    <cellStyle name="Currency 5 2 4 2 2 4" xfId="9491" xr:uid="{64B868C7-9024-4970-9E74-7DF82417BD7A}"/>
    <cellStyle name="Currency 5 2 4 2 2 4 2" xfId="18619" xr:uid="{BBADB828-3B4E-406D-B357-D550E27BF800}"/>
    <cellStyle name="Currency 5 2 4 2 2 4 3" xfId="35513" xr:uid="{FF0469F1-91E8-4CA8-AAC2-516BEFD65B90}"/>
    <cellStyle name="Currency 5 2 4 2 2 5" xfId="10172" xr:uid="{5AEF6E2F-1548-497C-A447-18B58A906D78}"/>
    <cellStyle name="Currency 5 2 4 2 2 6" xfId="27066" xr:uid="{9F23C063-4624-4EF7-A39B-F675F6B3BF1D}"/>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2 2 2" xfId="25394" xr:uid="{2E0D4078-720C-4AC1-B1E5-28451DDC525F}"/>
    <cellStyle name="Currency 5 2 4 2 3 2 2 2 2" xfId="42288" xr:uid="{40FC50A4-9897-4A32-91D4-FE836297ED5D}"/>
    <cellStyle name="Currency 5 2 4 2 3 2 2 3" xfId="16947" xr:uid="{BD18ED8C-B387-4712-A32D-E74D9FF10E38}"/>
    <cellStyle name="Currency 5 2 4 2 3 2 2 4" xfId="33841" xr:uid="{681B28F4-E237-40CA-878C-02AF7F7B0D8C}"/>
    <cellStyle name="Currency 5 2 4 2 3 2 3" xfId="21177" xr:uid="{4BCBB048-6EE3-48B9-89BA-F642B1020DDE}"/>
    <cellStyle name="Currency 5 2 4 2 3 2 3 2" xfId="38071" xr:uid="{0F86D38A-4CE1-41C1-A942-A3BB103E9E8D}"/>
    <cellStyle name="Currency 5 2 4 2 3 2 4" xfId="12730" xr:uid="{3DD1A395-23FC-4EE7-9846-E2630E44DE63}"/>
    <cellStyle name="Currency 5 2 4 2 3 2 5" xfId="29624" xr:uid="{F029004E-956A-483D-B25D-7DF2B2809896}"/>
    <cellStyle name="Currency 5 2 4 2 3 3" xfId="5476" xr:uid="{00000000-0005-0000-0000-00002D0C0000}"/>
    <cellStyle name="Currency 5 2 4 2 3 3 2" xfId="23249" xr:uid="{218FE980-F48C-4367-BF95-D1B85526D6E6}"/>
    <cellStyle name="Currency 5 2 4 2 3 3 2 2" xfId="40143" xr:uid="{41D7CBC9-3ECB-4B13-9CA0-E696BE7C84FF}"/>
    <cellStyle name="Currency 5 2 4 2 3 3 3" xfId="14802" xr:uid="{B9DC3D8A-D2BC-4443-BCC3-6D25A6063661}"/>
    <cellStyle name="Currency 5 2 4 2 3 3 4" xfId="31696" xr:uid="{7A36DB96-4BE3-49E7-9E20-55DB58E55780}"/>
    <cellStyle name="Currency 5 2 4 2 3 4" xfId="19032" xr:uid="{E143CB78-3961-49F8-BC59-AE703496BB8C}"/>
    <cellStyle name="Currency 5 2 4 2 3 4 2" xfId="35926" xr:uid="{A501F326-088F-4FB5-957E-2410BFE1F8C3}"/>
    <cellStyle name="Currency 5 2 4 2 3 5" xfId="10585" xr:uid="{EA636C94-FAC3-4E3F-9FF8-05D436A3C30D}"/>
    <cellStyle name="Currency 5 2 4 2 3 6" xfId="27479" xr:uid="{FBE41B8E-8653-430C-B4C9-B45701759C0D}"/>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2 2 2" xfId="25807" xr:uid="{373440F2-89BF-463E-AE3E-01850DC3AD22}"/>
    <cellStyle name="Currency 5 2 4 2 4 2 2 2 2" xfId="42701" xr:uid="{0720525E-463C-4290-BECD-7DEA396A6BD6}"/>
    <cellStyle name="Currency 5 2 4 2 4 2 2 3" xfId="17360" xr:uid="{CEAD32A4-B458-457E-A362-AC9B7A5D5BB9}"/>
    <cellStyle name="Currency 5 2 4 2 4 2 2 4" xfId="34254" xr:uid="{DC65BD80-B3F8-4ECB-9B6D-F67FCB37D02E}"/>
    <cellStyle name="Currency 5 2 4 2 4 2 3" xfId="21590" xr:uid="{610A1F92-AFF4-4B73-A116-E56127974A27}"/>
    <cellStyle name="Currency 5 2 4 2 4 2 3 2" xfId="38484" xr:uid="{A76199A2-E103-472F-84FB-4DA15930911B}"/>
    <cellStyle name="Currency 5 2 4 2 4 2 4" xfId="13143" xr:uid="{EE1D3D93-5BE9-4C81-8604-1A9D1AF16960}"/>
    <cellStyle name="Currency 5 2 4 2 4 2 5" xfId="30037" xr:uid="{9A8195D3-8C0E-4F4A-9154-901846F228B8}"/>
    <cellStyle name="Currency 5 2 4 2 4 3" xfId="5889" xr:uid="{00000000-0005-0000-0000-0000310C0000}"/>
    <cellStyle name="Currency 5 2 4 2 4 3 2" xfId="23662" xr:uid="{3B565712-DC31-49B5-98CB-61951301118D}"/>
    <cellStyle name="Currency 5 2 4 2 4 3 2 2" xfId="40556" xr:uid="{36B73D32-E286-40B6-9DF4-A6FDEDBC40F7}"/>
    <cellStyle name="Currency 5 2 4 2 4 3 3" xfId="15215" xr:uid="{D1C3835A-11DD-49C5-A54A-A06DAF06107F}"/>
    <cellStyle name="Currency 5 2 4 2 4 3 4" xfId="32109" xr:uid="{5AF623CF-B0CC-4CC8-8216-FEF9B1427856}"/>
    <cellStyle name="Currency 5 2 4 2 4 4" xfId="19445" xr:uid="{78249391-38BC-4C7F-8B58-4EE71A4CF938}"/>
    <cellStyle name="Currency 5 2 4 2 4 4 2" xfId="36339" xr:uid="{CF40B7FE-C1D2-47A8-8D07-97A9C0337D36}"/>
    <cellStyle name="Currency 5 2 4 2 4 5" xfId="10998" xr:uid="{620329DB-91C7-4FB3-8335-DDAA8B1408AB}"/>
    <cellStyle name="Currency 5 2 4 2 4 6" xfId="27892" xr:uid="{847BB3E1-A675-4944-A598-F2D1BB8D602F}"/>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2 2 2" xfId="26220" xr:uid="{FA6F9EA4-7FE8-4B2D-8FDB-319DBAF8EA07}"/>
    <cellStyle name="Currency 5 2 4 2 5 2 2 2 2" xfId="43114" xr:uid="{7E8FC95F-2C1E-4A5B-8714-DB75A9EA0FD8}"/>
    <cellStyle name="Currency 5 2 4 2 5 2 2 3" xfId="17773" xr:uid="{DE1138A4-D993-4A48-88CD-8CC402308401}"/>
    <cellStyle name="Currency 5 2 4 2 5 2 2 4" xfId="34667" xr:uid="{C3318639-4898-4943-B377-9EA47A0E432F}"/>
    <cellStyle name="Currency 5 2 4 2 5 2 3" xfId="22003" xr:uid="{6CB3ECB0-8E89-402C-B6A4-226FE2BC650A}"/>
    <cellStyle name="Currency 5 2 4 2 5 2 3 2" xfId="38897" xr:uid="{F068A701-59DD-4652-9202-0887344BE29C}"/>
    <cellStyle name="Currency 5 2 4 2 5 2 4" xfId="13556" xr:uid="{609DF545-B7BE-4A67-8956-E333E6FF486F}"/>
    <cellStyle name="Currency 5 2 4 2 5 2 5" xfId="30450" xr:uid="{8D4ECE77-B4D3-4E94-B9D7-34F132EF0354}"/>
    <cellStyle name="Currency 5 2 4 2 5 3" xfId="6302" xr:uid="{00000000-0005-0000-0000-0000350C0000}"/>
    <cellStyle name="Currency 5 2 4 2 5 3 2" xfId="24075" xr:uid="{9F268B6C-A926-42BD-9001-7ADA0F9E101A}"/>
    <cellStyle name="Currency 5 2 4 2 5 3 2 2" xfId="40969" xr:uid="{86A7B91F-5DCE-4447-8665-CB89C14684A9}"/>
    <cellStyle name="Currency 5 2 4 2 5 3 3" xfId="15628" xr:uid="{47FFCBE5-6782-41FA-A4BA-C7AC82A3D502}"/>
    <cellStyle name="Currency 5 2 4 2 5 3 4" xfId="32522" xr:uid="{1139817B-4680-4D43-BBF5-18632F4A6E51}"/>
    <cellStyle name="Currency 5 2 4 2 5 4" xfId="19858" xr:uid="{B3BC823D-B481-44B3-8EE0-FDE3D565970F}"/>
    <cellStyle name="Currency 5 2 4 2 5 4 2" xfId="36752" xr:uid="{42B803BC-6BB9-47C2-BB6D-D12B412F8351}"/>
    <cellStyle name="Currency 5 2 4 2 5 5" xfId="11411" xr:uid="{D32A8C08-B610-437B-92B4-E82F526EE567}"/>
    <cellStyle name="Currency 5 2 4 2 5 6" xfId="28305" xr:uid="{EAE8E71A-E45F-4E98-95E1-0E3576395A05}"/>
    <cellStyle name="Currency 5 2 4 2 6" xfId="2431" xr:uid="{00000000-0005-0000-0000-0000360C0000}"/>
    <cellStyle name="Currency 5 2 4 2 6 2" xfId="6715" xr:uid="{00000000-0005-0000-0000-0000370C0000}"/>
    <cellStyle name="Currency 5 2 4 2 6 2 2" xfId="24488" xr:uid="{5D84F4E3-26D9-4CD4-9342-CA6562548B20}"/>
    <cellStyle name="Currency 5 2 4 2 6 2 2 2" xfId="41382" xr:uid="{E73FA140-28A2-4953-B022-C82F2D441628}"/>
    <cellStyle name="Currency 5 2 4 2 6 2 3" xfId="16041" xr:uid="{08F796B4-9D4C-4C48-AEEC-8E0EBD03822C}"/>
    <cellStyle name="Currency 5 2 4 2 6 2 4" xfId="32935" xr:uid="{811F5380-0AD0-4753-A3E7-05642F3DFE2C}"/>
    <cellStyle name="Currency 5 2 4 2 6 3" xfId="20271" xr:uid="{0A773F3C-A497-41B5-8EDD-A720ADF6D6FB}"/>
    <cellStyle name="Currency 5 2 4 2 6 3 2" xfId="37165" xr:uid="{705D6318-7687-4FA9-AED3-43B45DA41591}"/>
    <cellStyle name="Currency 5 2 4 2 6 4" xfId="11824" xr:uid="{C71815EA-90E5-4C89-B29B-8FA1D255BAA6}"/>
    <cellStyle name="Currency 5 2 4 2 6 5" xfId="28718" xr:uid="{16177C58-3F2A-4CBC-A43A-964C4DD762F0}"/>
    <cellStyle name="Currency 5 2 4 2 7" xfId="2728" xr:uid="{00000000-0005-0000-0000-0000380C0000}"/>
    <cellStyle name="Currency 5 2 4 2 8" xfId="2809" xr:uid="{00000000-0005-0000-0000-0000390C0000}"/>
    <cellStyle name="Currency 5 2 4 2 8 2" xfId="7032" xr:uid="{00000000-0005-0000-0000-00003A0C0000}"/>
    <cellStyle name="Currency 5 2 4 2 8 2 2" xfId="24805" xr:uid="{9B6CA44F-8E20-4362-9F65-EA5730774D20}"/>
    <cellStyle name="Currency 5 2 4 2 8 2 2 2" xfId="41699" xr:uid="{8975572C-88CC-4AB1-8B9C-583F7FB23B1B}"/>
    <cellStyle name="Currency 5 2 4 2 8 2 3" xfId="16358" xr:uid="{35BC325A-BC22-4C76-B1DA-3FAE4A1CD735}"/>
    <cellStyle name="Currency 5 2 4 2 8 2 4" xfId="33252" xr:uid="{6E0A3A63-7FB3-4894-8297-3885E6425F1A}"/>
    <cellStyle name="Currency 5 2 4 2 8 3" xfId="20588" xr:uid="{62BB9AD4-31A2-46FC-AB1D-1E5B7C7A46B4}"/>
    <cellStyle name="Currency 5 2 4 2 8 3 2" xfId="37482" xr:uid="{6D7D841A-FED7-4717-859F-0BB702DCC318}"/>
    <cellStyle name="Currency 5 2 4 2 8 4" xfId="12141" xr:uid="{FDF69292-0414-44EB-A312-97D9F2FF9EC8}"/>
    <cellStyle name="Currency 5 2 4 2 8 5" xfId="29035" xr:uid="{6DDB75FC-8D91-46D3-8D2D-084431D5FB5B}"/>
    <cellStyle name="Currency 5 2 4 2 9" xfId="4649" xr:uid="{00000000-0005-0000-0000-00003B0C0000}"/>
    <cellStyle name="Currency 5 2 4 2 9 2" xfId="22422" xr:uid="{874FCDDD-7B43-4928-99B3-D44836E887F0}"/>
    <cellStyle name="Currency 5 2 4 2 9 2 2" xfId="39316" xr:uid="{34F74527-8AAB-4533-8CB6-C0EF91971455}"/>
    <cellStyle name="Currency 5 2 4 2 9 3" xfId="13975" xr:uid="{E47F71A6-3FFA-419F-98B7-F22789BE9FB8}"/>
    <cellStyle name="Currency 5 2 4 2 9 4" xfId="30869" xr:uid="{B0268653-EEE2-4808-BE10-E3B09DFF3576}"/>
    <cellStyle name="Currency 5 2 4 3" xfId="732" xr:uid="{00000000-0005-0000-0000-00003C0C0000}"/>
    <cellStyle name="Currency 5 2 4 3 2" xfId="2985" xr:uid="{00000000-0005-0000-0000-00003D0C0000}"/>
    <cellStyle name="Currency 5 2 4 3 2 2" xfId="7207" xr:uid="{00000000-0005-0000-0000-00003E0C0000}"/>
    <cellStyle name="Currency 5 2 4 3 2 2 2" xfId="24980" xr:uid="{DEE42F96-F177-459A-ADAF-102BA226C3C9}"/>
    <cellStyle name="Currency 5 2 4 3 2 2 2 2" xfId="41874" xr:uid="{21BA9E53-B5D9-40AB-A3B1-EA9875C1CA81}"/>
    <cellStyle name="Currency 5 2 4 3 2 2 3" xfId="16533" xr:uid="{766A3B89-61F3-4B86-AF1D-F29769AE6D6B}"/>
    <cellStyle name="Currency 5 2 4 3 2 2 4" xfId="33427" xr:uid="{0749421E-67AD-48CB-922B-E94F3C204BFC}"/>
    <cellStyle name="Currency 5 2 4 3 2 3" xfId="20763" xr:uid="{F6DD6665-490E-4D76-A1F8-7DC9A11E8FBF}"/>
    <cellStyle name="Currency 5 2 4 3 2 3 2" xfId="37657" xr:uid="{2F97C437-E85E-4F2F-B110-F493B599F74E}"/>
    <cellStyle name="Currency 5 2 4 3 2 4" xfId="12316" xr:uid="{E07A0B94-A07B-4D3C-812E-6958A94F4E6D}"/>
    <cellStyle name="Currency 5 2 4 3 2 5" xfId="29210" xr:uid="{5AEFAE88-AF10-453C-80EC-31C9D0300508}"/>
    <cellStyle name="Currency 5 2 4 3 3" xfId="5062" xr:uid="{00000000-0005-0000-0000-00003F0C0000}"/>
    <cellStyle name="Currency 5 2 4 3 3 2" xfId="22835" xr:uid="{8EE4CC1D-EA72-4965-9756-8F77967FB719}"/>
    <cellStyle name="Currency 5 2 4 3 3 2 2" xfId="39729" xr:uid="{6C485D7D-DF7F-4DF6-AC07-F9D9897B273B}"/>
    <cellStyle name="Currency 5 2 4 3 3 3" xfId="14388" xr:uid="{13AC311E-CE32-40CB-A90F-74081870971B}"/>
    <cellStyle name="Currency 5 2 4 3 3 4" xfId="31282" xr:uid="{F4B1D358-F100-40F4-995E-B5EB6FBFCA97}"/>
    <cellStyle name="Currency 5 2 4 3 4" xfId="9284" xr:uid="{1D0B72AC-AFAC-428F-8BF0-6DFF9565613D}"/>
    <cellStyle name="Currency 5 2 4 3 4 2" xfId="18618" xr:uid="{6DCCFC1E-64AF-46D9-A126-F640B7FA49F0}"/>
    <cellStyle name="Currency 5 2 4 3 4 3" xfId="35512" xr:uid="{2262A68A-7891-4BAD-927B-8E19ED7B621A}"/>
    <cellStyle name="Currency 5 2 4 3 5" xfId="10171" xr:uid="{BE84D737-4E6F-4155-AEF4-F30FA613C20B}"/>
    <cellStyle name="Currency 5 2 4 3 6" xfId="27065" xr:uid="{2084959B-D1F5-45ED-A00A-4969EDAD9810}"/>
    <cellStyle name="Currency 5 2 4 4" xfId="1167" xr:uid="{00000000-0005-0000-0000-0000400C0000}"/>
    <cellStyle name="Currency 5 2 4 4 2" xfId="3398" xr:uid="{00000000-0005-0000-0000-0000410C0000}"/>
    <cellStyle name="Currency 5 2 4 4 2 2" xfId="7620" xr:uid="{00000000-0005-0000-0000-0000420C0000}"/>
    <cellStyle name="Currency 5 2 4 4 2 2 2" xfId="25393" xr:uid="{FA964404-8C23-42CA-BF9F-4E857ABCC719}"/>
    <cellStyle name="Currency 5 2 4 4 2 2 2 2" xfId="42287" xr:uid="{5347062F-32C7-4233-896B-F1C459C0908E}"/>
    <cellStyle name="Currency 5 2 4 4 2 2 3" xfId="16946" xr:uid="{61AF5231-8DF9-4C44-98F5-D9C2F77D64C5}"/>
    <cellStyle name="Currency 5 2 4 4 2 2 4" xfId="33840" xr:uid="{2A8D56B9-0CCB-4C9F-818A-4E364897A2F2}"/>
    <cellStyle name="Currency 5 2 4 4 2 3" xfId="21176" xr:uid="{AB7DE0AE-4F83-4B99-8F01-AFDE5E9B240A}"/>
    <cellStyle name="Currency 5 2 4 4 2 3 2" xfId="38070" xr:uid="{8516051F-34D1-4A3E-A6EF-1095B932AB96}"/>
    <cellStyle name="Currency 5 2 4 4 2 4" xfId="12729" xr:uid="{EF7F1D73-EAF2-414E-BE73-833CC6B964B1}"/>
    <cellStyle name="Currency 5 2 4 4 2 5" xfId="29623" xr:uid="{88719318-A5F7-47DA-9DD1-B39392B7FDC9}"/>
    <cellStyle name="Currency 5 2 4 4 3" xfId="5475" xr:uid="{00000000-0005-0000-0000-0000430C0000}"/>
    <cellStyle name="Currency 5 2 4 4 3 2" xfId="23248" xr:uid="{875A0A1A-7647-4C95-81B2-728CD69A5A1C}"/>
    <cellStyle name="Currency 5 2 4 4 3 2 2" xfId="40142" xr:uid="{A6A456A7-D03E-4C8E-ACC5-D0BAD8BB39C7}"/>
    <cellStyle name="Currency 5 2 4 4 3 3" xfId="14801" xr:uid="{6E6C2721-8A72-4215-AF59-7081CA7D1A0D}"/>
    <cellStyle name="Currency 5 2 4 4 3 4" xfId="31695" xr:uid="{CEBE22FA-7EE4-43F4-8F6D-C1775A6051A3}"/>
    <cellStyle name="Currency 5 2 4 4 4" xfId="19031" xr:uid="{F55D6149-6064-4DAF-9260-B48C9DDD3921}"/>
    <cellStyle name="Currency 5 2 4 4 4 2" xfId="35925" xr:uid="{3C95224E-CB3F-4336-AFFF-B9B86DEDA1AC}"/>
    <cellStyle name="Currency 5 2 4 4 5" xfId="10584" xr:uid="{01560B95-7E12-44C6-B109-B02DCF4040A8}"/>
    <cellStyle name="Currency 5 2 4 4 6" xfId="27478" xr:uid="{28AA5A31-361A-495D-8282-48E18913CD3B}"/>
    <cellStyle name="Currency 5 2 4 5" xfId="1581" xr:uid="{00000000-0005-0000-0000-0000440C0000}"/>
    <cellStyle name="Currency 5 2 4 5 2" xfId="3811" xr:uid="{00000000-0005-0000-0000-0000450C0000}"/>
    <cellStyle name="Currency 5 2 4 5 2 2" xfId="8033" xr:uid="{00000000-0005-0000-0000-0000460C0000}"/>
    <cellStyle name="Currency 5 2 4 5 2 2 2" xfId="25806" xr:uid="{EAF4DCEF-AE68-4890-AAA1-3DC8CA63D92B}"/>
    <cellStyle name="Currency 5 2 4 5 2 2 2 2" xfId="42700" xr:uid="{C949B2FF-65ED-457D-8A57-BA702DCE49AE}"/>
    <cellStyle name="Currency 5 2 4 5 2 2 3" xfId="17359" xr:uid="{F8CDFE43-8221-472A-B5C9-98A4F1F99DD5}"/>
    <cellStyle name="Currency 5 2 4 5 2 2 4" xfId="34253" xr:uid="{70BCAC17-21FC-4D51-8086-A3D83384A9F5}"/>
    <cellStyle name="Currency 5 2 4 5 2 3" xfId="21589" xr:uid="{746E7547-41D7-4CF7-A59F-114CB947FF8E}"/>
    <cellStyle name="Currency 5 2 4 5 2 3 2" xfId="38483" xr:uid="{6BD1737F-513F-4D33-85FB-7BB4B0372EC5}"/>
    <cellStyle name="Currency 5 2 4 5 2 4" xfId="13142" xr:uid="{ADA3D6F5-5739-464F-A954-5D65F75AB758}"/>
    <cellStyle name="Currency 5 2 4 5 2 5" xfId="30036" xr:uid="{4FED59C9-65BE-4CD0-B5E6-B803806F49AC}"/>
    <cellStyle name="Currency 5 2 4 5 3" xfId="5888" xr:uid="{00000000-0005-0000-0000-0000470C0000}"/>
    <cellStyle name="Currency 5 2 4 5 3 2" xfId="23661" xr:uid="{42E13BE2-2A59-4023-9889-9D378C2B32A6}"/>
    <cellStyle name="Currency 5 2 4 5 3 2 2" xfId="40555" xr:uid="{5FDE0555-504B-413F-ACF6-95D912D240F1}"/>
    <cellStyle name="Currency 5 2 4 5 3 3" xfId="15214" xr:uid="{4509D991-B8E9-4D1E-888E-D3EF0DE8F5B9}"/>
    <cellStyle name="Currency 5 2 4 5 3 4" xfId="32108" xr:uid="{F0B3327C-68C1-492F-9E92-679F0BA97B6E}"/>
    <cellStyle name="Currency 5 2 4 5 4" xfId="19444" xr:uid="{631F730C-84A1-4FB6-A461-E5495A0B0DF4}"/>
    <cellStyle name="Currency 5 2 4 5 4 2" xfId="36338" xr:uid="{811F351D-52D3-4851-8D1F-549B7BBCA1DB}"/>
    <cellStyle name="Currency 5 2 4 5 5" xfId="10997" xr:uid="{88E576A2-B85B-457E-81AB-79A7CE3DC5C8}"/>
    <cellStyle name="Currency 5 2 4 5 6" xfId="27891" xr:uid="{5B3B6D56-C9AA-457F-9DD3-F4504216F8FA}"/>
    <cellStyle name="Currency 5 2 4 6" xfId="1995" xr:uid="{00000000-0005-0000-0000-0000480C0000}"/>
    <cellStyle name="Currency 5 2 4 6 2" xfId="4224" xr:uid="{00000000-0005-0000-0000-0000490C0000}"/>
    <cellStyle name="Currency 5 2 4 6 2 2" xfId="8446" xr:uid="{00000000-0005-0000-0000-00004A0C0000}"/>
    <cellStyle name="Currency 5 2 4 6 2 2 2" xfId="26219" xr:uid="{94B6CC07-7560-4F46-8A61-805F9838BF3A}"/>
    <cellStyle name="Currency 5 2 4 6 2 2 2 2" xfId="43113" xr:uid="{B234134E-7655-4EF1-8C8B-F8BC955578DF}"/>
    <cellStyle name="Currency 5 2 4 6 2 2 3" xfId="17772" xr:uid="{192600AB-0E19-43AD-AA4A-7865A4B682B3}"/>
    <cellStyle name="Currency 5 2 4 6 2 2 4" xfId="34666" xr:uid="{00C18B68-4D2C-4A73-99A2-2894A5E4CDED}"/>
    <cellStyle name="Currency 5 2 4 6 2 3" xfId="22002" xr:uid="{7145554A-29C8-4925-B486-6A80D326AD44}"/>
    <cellStyle name="Currency 5 2 4 6 2 3 2" xfId="38896" xr:uid="{3A356E90-FB94-4E24-B7E3-458F3C587A35}"/>
    <cellStyle name="Currency 5 2 4 6 2 4" xfId="13555" xr:uid="{77488A83-D966-4F71-9820-EA8FE17A468F}"/>
    <cellStyle name="Currency 5 2 4 6 2 5" xfId="30449" xr:uid="{49725014-FA92-4088-A802-926D909D94B6}"/>
    <cellStyle name="Currency 5 2 4 6 3" xfId="6301" xr:uid="{00000000-0005-0000-0000-00004B0C0000}"/>
    <cellStyle name="Currency 5 2 4 6 3 2" xfId="24074" xr:uid="{B4AD5D16-AD0F-4154-B002-F9FAD5FF6B4F}"/>
    <cellStyle name="Currency 5 2 4 6 3 2 2" xfId="40968" xr:uid="{0F2BCF4D-A4A3-4663-980E-1E012C4D028C}"/>
    <cellStyle name="Currency 5 2 4 6 3 3" xfId="15627" xr:uid="{9135BD4D-A04A-4C28-BB17-63A4DAEA2B42}"/>
    <cellStyle name="Currency 5 2 4 6 3 4" xfId="32521" xr:uid="{47E14B27-9FFB-4783-8EA2-67BC18E8CF4C}"/>
    <cellStyle name="Currency 5 2 4 6 4" xfId="19857" xr:uid="{2BF3D269-67E2-4181-85EF-2B5ACAC84373}"/>
    <cellStyle name="Currency 5 2 4 6 4 2" xfId="36751" xr:uid="{95C9ED9B-AF80-4E85-91F7-39C106C3F403}"/>
    <cellStyle name="Currency 5 2 4 6 5" xfId="11410" xr:uid="{4586831B-9E00-4291-9FB2-23B39A447D86}"/>
    <cellStyle name="Currency 5 2 4 6 6" xfId="28304" xr:uid="{8A1E5F1F-FF74-4A6C-BDDD-DB4D4F653848}"/>
    <cellStyle name="Currency 5 2 4 7" xfId="2430" xr:uid="{00000000-0005-0000-0000-00004C0C0000}"/>
    <cellStyle name="Currency 5 2 4 7 2" xfId="6714" xr:uid="{00000000-0005-0000-0000-00004D0C0000}"/>
    <cellStyle name="Currency 5 2 4 7 2 2" xfId="24487" xr:uid="{6716B813-7A9B-49FD-9518-0B235D545CEE}"/>
    <cellStyle name="Currency 5 2 4 7 2 2 2" xfId="41381" xr:uid="{F1639CB8-ADFE-44D2-BB3D-8392138DC5B2}"/>
    <cellStyle name="Currency 5 2 4 7 2 3" xfId="16040" xr:uid="{3677F836-2819-4366-B9AC-6ABFBA9F085B}"/>
    <cellStyle name="Currency 5 2 4 7 2 4" xfId="32934" xr:uid="{BC5D0A11-48F4-4F6F-98E2-567CC57B2599}"/>
    <cellStyle name="Currency 5 2 4 7 3" xfId="20270" xr:uid="{58DBE954-9E2C-47CB-9D75-82920CE20D4F}"/>
    <cellStyle name="Currency 5 2 4 7 3 2" xfId="37164" xr:uid="{579B95BF-4810-46B0-89D2-A87663ED04CF}"/>
    <cellStyle name="Currency 5 2 4 7 4" xfId="11823" xr:uid="{E6A30AD4-406F-4BF7-B23C-F4FAB1F56C04}"/>
    <cellStyle name="Currency 5 2 4 7 5" xfId="28717" xr:uid="{8C03FAA5-DBC6-49DC-8870-4D18D5E3F2F9}"/>
    <cellStyle name="Currency 5 2 4 8" xfId="2727" xr:uid="{00000000-0005-0000-0000-00004E0C0000}"/>
    <cellStyle name="Currency 5 2 4 9" xfId="2808" xr:uid="{00000000-0005-0000-0000-00004F0C0000}"/>
    <cellStyle name="Currency 5 2 4 9 2" xfId="7031" xr:uid="{00000000-0005-0000-0000-0000500C0000}"/>
    <cellStyle name="Currency 5 2 4 9 2 2" xfId="24804" xr:uid="{39C6E685-9FB4-4EBA-BBAB-F8A579718587}"/>
    <cellStyle name="Currency 5 2 4 9 2 2 2" xfId="41698" xr:uid="{95659B1F-16CD-402D-B756-3526BA211106}"/>
    <cellStyle name="Currency 5 2 4 9 2 3" xfId="16357" xr:uid="{E40A4F3D-40CE-4549-8F83-5CB348017DFF}"/>
    <cellStyle name="Currency 5 2 4 9 2 4" xfId="33251" xr:uid="{F5175E03-233C-4C83-9C6F-9C24E2BA42BC}"/>
    <cellStyle name="Currency 5 2 4 9 3" xfId="20587" xr:uid="{47622FF4-BEEF-4AD4-920C-DC59F54A98FA}"/>
    <cellStyle name="Currency 5 2 4 9 3 2" xfId="37481" xr:uid="{725EE464-2820-41A5-B13B-ACD8030005F7}"/>
    <cellStyle name="Currency 5 2 4 9 4" xfId="12140" xr:uid="{F910CB9B-2DF5-478B-9753-F514902748E3}"/>
    <cellStyle name="Currency 5 2 4 9 5" xfId="29034" xr:uid="{3F82F1D0-C812-432A-95DC-9A7BA4AF5578}"/>
    <cellStyle name="Currency 5 2 5" xfId="207" xr:uid="{00000000-0005-0000-0000-0000510C0000}"/>
    <cellStyle name="Currency 5 2 5 10" xfId="8975" xr:uid="{3422EC31-C47F-46E0-A50C-FE05B1979387}"/>
    <cellStyle name="Currency 5 2 5 10 2" xfId="18206" xr:uid="{FA6320E4-F2F8-40D6-A6B7-095C025F4410}"/>
    <cellStyle name="Currency 5 2 5 10 3" xfId="35100" xr:uid="{670330EA-F95E-4822-9BCF-AB009CF70267}"/>
    <cellStyle name="Currency 5 2 5 11" xfId="9759" xr:uid="{B2E0B7FC-1AAF-42CF-BC31-76AD8A756D2C}"/>
    <cellStyle name="Currency 5 2 5 12" xfId="26653" xr:uid="{320B1B02-3DE6-4A29-9FEB-5BB42867B113}"/>
    <cellStyle name="Currency 5 2 5 2" xfId="734" xr:uid="{00000000-0005-0000-0000-0000520C0000}"/>
    <cellStyle name="Currency 5 2 5 2 2" xfId="2987" xr:uid="{00000000-0005-0000-0000-0000530C0000}"/>
    <cellStyle name="Currency 5 2 5 2 2 2" xfId="7209" xr:uid="{00000000-0005-0000-0000-0000540C0000}"/>
    <cellStyle name="Currency 5 2 5 2 2 2 2" xfId="24982" xr:uid="{25ABD4C7-180A-4A26-B11B-2B05CE522218}"/>
    <cellStyle name="Currency 5 2 5 2 2 2 2 2" xfId="41876" xr:uid="{45FA7B69-16A2-4F62-8964-03DF4650208C}"/>
    <cellStyle name="Currency 5 2 5 2 2 2 3" xfId="16535" xr:uid="{92E7A76C-1F07-4CEB-895F-3754A52FFE1A}"/>
    <cellStyle name="Currency 5 2 5 2 2 2 4" xfId="33429" xr:uid="{07105690-82F5-4BD3-8857-AB106B75EEBC}"/>
    <cellStyle name="Currency 5 2 5 2 2 3" xfId="20765" xr:uid="{66309520-97E0-4B52-B626-053802DB8C90}"/>
    <cellStyle name="Currency 5 2 5 2 2 3 2" xfId="37659" xr:uid="{A45CB9F8-29F5-47B5-A910-097C7B97CCAC}"/>
    <cellStyle name="Currency 5 2 5 2 2 4" xfId="12318" xr:uid="{B8E5BE07-B1F2-4DE4-A52E-CF1E659831FC}"/>
    <cellStyle name="Currency 5 2 5 2 2 5" xfId="29212" xr:uid="{5AFABAA1-7F2D-4B6C-BCCD-4E8C854A37F3}"/>
    <cellStyle name="Currency 5 2 5 2 3" xfId="5064" xr:uid="{00000000-0005-0000-0000-0000550C0000}"/>
    <cellStyle name="Currency 5 2 5 2 3 2" xfId="22837" xr:uid="{961A523F-6AC7-4CCF-8C58-48CBF83C0BD7}"/>
    <cellStyle name="Currency 5 2 5 2 3 2 2" xfId="39731" xr:uid="{FBE3DA5D-C28A-4B01-A674-08E644E393F3}"/>
    <cellStyle name="Currency 5 2 5 2 3 3" xfId="14390" xr:uid="{1FF8DFD0-72D9-4FA8-A72E-758284AA3CCC}"/>
    <cellStyle name="Currency 5 2 5 2 3 4" xfId="31284" xr:uid="{7C323C11-22A1-4C95-BE6A-EC33F0230BE4}"/>
    <cellStyle name="Currency 5 2 5 2 4" xfId="9400" xr:uid="{6620DDCD-05C0-4AFD-8A83-F1190101CCB3}"/>
    <cellStyle name="Currency 5 2 5 2 4 2" xfId="18620" xr:uid="{AEA14811-1F21-4409-B4DF-E1081F1D3BF2}"/>
    <cellStyle name="Currency 5 2 5 2 4 3" xfId="35514" xr:uid="{CCBDD8D6-FA89-4FA3-9284-61D96DB811B1}"/>
    <cellStyle name="Currency 5 2 5 2 5" xfId="10173" xr:uid="{924423D8-2B0D-4E81-95CE-397FB54EA7BE}"/>
    <cellStyle name="Currency 5 2 5 2 6" xfId="27067" xr:uid="{8C5FB99B-10CB-4187-A691-6D107AAAF0C9}"/>
    <cellStyle name="Currency 5 2 5 3" xfId="1169" xr:uid="{00000000-0005-0000-0000-0000560C0000}"/>
    <cellStyle name="Currency 5 2 5 3 2" xfId="3400" xr:uid="{00000000-0005-0000-0000-0000570C0000}"/>
    <cellStyle name="Currency 5 2 5 3 2 2" xfId="7622" xr:uid="{00000000-0005-0000-0000-0000580C0000}"/>
    <cellStyle name="Currency 5 2 5 3 2 2 2" xfId="25395" xr:uid="{4B60D503-D147-4C1C-87BD-E25AC98F41D1}"/>
    <cellStyle name="Currency 5 2 5 3 2 2 2 2" xfId="42289" xr:uid="{872BDE1D-882B-4F54-B8B1-C0348D8118E0}"/>
    <cellStyle name="Currency 5 2 5 3 2 2 3" xfId="16948" xr:uid="{DB369A76-BB8C-4C09-9BD5-39E90F3FDF9C}"/>
    <cellStyle name="Currency 5 2 5 3 2 2 4" xfId="33842" xr:uid="{F60D609D-CD05-417D-A48A-FA1F6CB01222}"/>
    <cellStyle name="Currency 5 2 5 3 2 3" xfId="21178" xr:uid="{1E92086D-884F-47DE-8645-53566A2474BC}"/>
    <cellStyle name="Currency 5 2 5 3 2 3 2" xfId="38072" xr:uid="{BD86A0BC-50A6-4FC3-A99A-C7B82CD3DAC9}"/>
    <cellStyle name="Currency 5 2 5 3 2 4" xfId="12731" xr:uid="{4D853D03-76E0-4252-B52F-B6C2AB99FEFD}"/>
    <cellStyle name="Currency 5 2 5 3 2 5" xfId="29625" xr:uid="{14C707DC-3A5A-4D16-8AF4-39C5EB5648E8}"/>
    <cellStyle name="Currency 5 2 5 3 3" xfId="5477" xr:uid="{00000000-0005-0000-0000-0000590C0000}"/>
    <cellStyle name="Currency 5 2 5 3 3 2" xfId="23250" xr:uid="{654C5B42-730A-4420-A01A-DECC9807BCFB}"/>
    <cellStyle name="Currency 5 2 5 3 3 2 2" xfId="40144" xr:uid="{C3A53A21-4980-4C18-B458-6B9AA5FC1B1D}"/>
    <cellStyle name="Currency 5 2 5 3 3 3" xfId="14803" xr:uid="{0B663F51-451A-475A-B8F5-E578C44435E1}"/>
    <cellStyle name="Currency 5 2 5 3 3 4" xfId="31697" xr:uid="{1371F696-0511-4DC4-91CC-4A455F793F1D}"/>
    <cellStyle name="Currency 5 2 5 3 4" xfId="19033" xr:uid="{B3953D10-89E5-472C-AE14-BA79C27D34F3}"/>
    <cellStyle name="Currency 5 2 5 3 4 2" xfId="35927" xr:uid="{6F5B7FD4-38AD-4059-9563-19C174B2E72D}"/>
    <cellStyle name="Currency 5 2 5 3 5" xfId="10586" xr:uid="{AF7E5EBA-4D98-4E4B-AF42-94EBFA99BD58}"/>
    <cellStyle name="Currency 5 2 5 3 6" xfId="27480" xr:uid="{2665AE42-BDEA-4334-81CA-925E0ECCE484}"/>
    <cellStyle name="Currency 5 2 5 4" xfId="1583" xr:uid="{00000000-0005-0000-0000-00005A0C0000}"/>
    <cellStyle name="Currency 5 2 5 4 2" xfId="3813" xr:uid="{00000000-0005-0000-0000-00005B0C0000}"/>
    <cellStyle name="Currency 5 2 5 4 2 2" xfId="8035" xr:uid="{00000000-0005-0000-0000-00005C0C0000}"/>
    <cellStyle name="Currency 5 2 5 4 2 2 2" xfId="25808" xr:uid="{84FF53E1-64A3-46F0-9D0B-C389AD598E2C}"/>
    <cellStyle name="Currency 5 2 5 4 2 2 2 2" xfId="42702" xr:uid="{36516A6C-98B5-424B-89B3-5FCA03D4FCD3}"/>
    <cellStyle name="Currency 5 2 5 4 2 2 3" xfId="17361" xr:uid="{B6F3BCA9-0482-415E-9DA7-F0265A1CC6E9}"/>
    <cellStyle name="Currency 5 2 5 4 2 2 4" xfId="34255" xr:uid="{1A95DBEB-6D92-43AA-8876-D4CF28B46972}"/>
    <cellStyle name="Currency 5 2 5 4 2 3" xfId="21591" xr:uid="{13E6014A-F923-473E-9BB5-77BCB952C420}"/>
    <cellStyle name="Currency 5 2 5 4 2 3 2" xfId="38485" xr:uid="{D1213A90-8364-43B5-B20B-C1AB458B5539}"/>
    <cellStyle name="Currency 5 2 5 4 2 4" xfId="13144" xr:uid="{E3E65CA0-2576-4503-B791-589907AB0AA4}"/>
    <cellStyle name="Currency 5 2 5 4 2 5" xfId="30038" xr:uid="{1079E1FD-20CB-44EC-9206-A5D4CD4BC4BB}"/>
    <cellStyle name="Currency 5 2 5 4 3" xfId="5890" xr:uid="{00000000-0005-0000-0000-00005D0C0000}"/>
    <cellStyle name="Currency 5 2 5 4 3 2" xfId="23663" xr:uid="{D65D120B-596E-480F-8A34-5DA004C583B8}"/>
    <cellStyle name="Currency 5 2 5 4 3 2 2" xfId="40557" xr:uid="{5D5BB2AD-7E28-4B1A-83AD-A300CCEFEB9C}"/>
    <cellStyle name="Currency 5 2 5 4 3 3" xfId="15216" xr:uid="{B7547866-4486-4F2D-AC60-79209BEEBF11}"/>
    <cellStyle name="Currency 5 2 5 4 3 4" xfId="32110" xr:uid="{E253C5AC-0109-438B-A300-2FB83330177D}"/>
    <cellStyle name="Currency 5 2 5 4 4" xfId="19446" xr:uid="{78C8C9C8-8720-46BD-B485-53CE709F1729}"/>
    <cellStyle name="Currency 5 2 5 4 4 2" xfId="36340" xr:uid="{C6B0CFE3-BD9A-484A-B9C7-E53DD6F41E64}"/>
    <cellStyle name="Currency 5 2 5 4 5" xfId="10999" xr:uid="{7FC54F83-2EAA-4A8B-BE3C-2075D66B0E5F}"/>
    <cellStyle name="Currency 5 2 5 4 6" xfId="27893" xr:uid="{D71CD5EE-9CCD-4CAA-B994-BFD57F0D4DDD}"/>
    <cellStyle name="Currency 5 2 5 5" xfId="1997" xr:uid="{00000000-0005-0000-0000-00005E0C0000}"/>
    <cellStyle name="Currency 5 2 5 5 2" xfId="4226" xr:uid="{00000000-0005-0000-0000-00005F0C0000}"/>
    <cellStyle name="Currency 5 2 5 5 2 2" xfId="8448" xr:uid="{00000000-0005-0000-0000-0000600C0000}"/>
    <cellStyle name="Currency 5 2 5 5 2 2 2" xfId="26221" xr:uid="{9FE286DE-4B5D-401B-B68E-BA6C914BC7E9}"/>
    <cellStyle name="Currency 5 2 5 5 2 2 2 2" xfId="43115" xr:uid="{855C6F4D-9769-49A8-A0A4-ECF88680FCD4}"/>
    <cellStyle name="Currency 5 2 5 5 2 2 3" xfId="17774" xr:uid="{7F45AA25-6B4D-434D-8C74-33F0A2987DB8}"/>
    <cellStyle name="Currency 5 2 5 5 2 2 4" xfId="34668" xr:uid="{B6448C36-893A-4605-ADFD-13D3EDF67C37}"/>
    <cellStyle name="Currency 5 2 5 5 2 3" xfId="22004" xr:uid="{E32981C5-2914-404A-A92D-99A1BD423C5E}"/>
    <cellStyle name="Currency 5 2 5 5 2 3 2" xfId="38898" xr:uid="{E0063A95-CF3E-4619-A2C1-A4F85D5D289E}"/>
    <cellStyle name="Currency 5 2 5 5 2 4" xfId="13557" xr:uid="{6200E748-F5F7-4705-BC8D-7E9A0B06EF90}"/>
    <cellStyle name="Currency 5 2 5 5 2 5" xfId="30451" xr:uid="{BC4CBC6D-905F-4AF5-8CAA-C29EED014C60}"/>
    <cellStyle name="Currency 5 2 5 5 3" xfId="6303" xr:uid="{00000000-0005-0000-0000-0000610C0000}"/>
    <cellStyle name="Currency 5 2 5 5 3 2" xfId="24076" xr:uid="{705661B3-10DE-426B-8CB6-8B84373AE9E5}"/>
    <cellStyle name="Currency 5 2 5 5 3 2 2" xfId="40970" xr:uid="{596A2C65-6739-4863-92D6-40BE44EC9E51}"/>
    <cellStyle name="Currency 5 2 5 5 3 3" xfId="15629" xr:uid="{F5E8F0F0-187F-4D43-A615-3D7C9B9FFD47}"/>
    <cellStyle name="Currency 5 2 5 5 3 4" xfId="32523" xr:uid="{66990F82-3B72-4255-94C6-C3E492C6997B}"/>
    <cellStyle name="Currency 5 2 5 5 4" xfId="19859" xr:uid="{D5DAE514-08B5-4BB8-B124-459658BCF96E}"/>
    <cellStyle name="Currency 5 2 5 5 4 2" xfId="36753" xr:uid="{2A557007-3B73-494A-A488-A8930B551BB9}"/>
    <cellStyle name="Currency 5 2 5 5 5" xfId="11412" xr:uid="{E38B68F2-D69D-49D2-855F-88A037F1EF90}"/>
    <cellStyle name="Currency 5 2 5 5 6" xfId="28306" xr:uid="{F3972C12-07D1-42CE-B3FF-AEBB037E54AF}"/>
    <cellStyle name="Currency 5 2 5 6" xfId="2432" xr:uid="{00000000-0005-0000-0000-0000620C0000}"/>
    <cellStyle name="Currency 5 2 5 6 2" xfId="6716" xr:uid="{00000000-0005-0000-0000-0000630C0000}"/>
    <cellStyle name="Currency 5 2 5 6 2 2" xfId="24489" xr:uid="{FC5ABAF1-CEB1-4AB8-A887-46F65B0394E6}"/>
    <cellStyle name="Currency 5 2 5 6 2 2 2" xfId="41383" xr:uid="{970B6F23-76C5-4D9C-98E0-DF960771E664}"/>
    <cellStyle name="Currency 5 2 5 6 2 3" xfId="16042" xr:uid="{6E60EDAD-9980-4A97-8556-1557E25FC75C}"/>
    <cellStyle name="Currency 5 2 5 6 2 4" xfId="32936" xr:uid="{AE8582CD-5261-47CF-A2B5-BE9CE8B82AD9}"/>
    <cellStyle name="Currency 5 2 5 6 3" xfId="20272" xr:uid="{AFB2BF2F-0A15-4FA9-8C02-6CBC1DE9819D}"/>
    <cellStyle name="Currency 5 2 5 6 3 2" xfId="37166" xr:uid="{63E0C505-DC13-4148-8255-7DEF821954C3}"/>
    <cellStyle name="Currency 5 2 5 6 4" xfId="11825" xr:uid="{3A38CEEB-527C-4680-ADE8-CC095F483D69}"/>
    <cellStyle name="Currency 5 2 5 6 5" xfId="28719" xr:uid="{6F3B972C-404C-4E9A-9619-6280E5FD1146}"/>
    <cellStyle name="Currency 5 2 5 7" xfId="2729" xr:uid="{00000000-0005-0000-0000-0000640C0000}"/>
    <cellStyle name="Currency 5 2 5 8" xfId="2810" xr:uid="{00000000-0005-0000-0000-0000650C0000}"/>
    <cellStyle name="Currency 5 2 5 8 2" xfId="7033" xr:uid="{00000000-0005-0000-0000-0000660C0000}"/>
    <cellStyle name="Currency 5 2 5 8 2 2" xfId="24806" xr:uid="{E12E3560-6C36-45B0-B659-BA72373978E7}"/>
    <cellStyle name="Currency 5 2 5 8 2 2 2" xfId="41700" xr:uid="{E47AF8D8-0EDB-4B52-96B3-647745B3B379}"/>
    <cellStyle name="Currency 5 2 5 8 2 3" xfId="16359" xr:uid="{9854D1BC-FAC2-405C-BCD1-44DA06D07C17}"/>
    <cellStyle name="Currency 5 2 5 8 2 4" xfId="33253" xr:uid="{4F7AB0E7-73B3-4D7E-A821-A6B3FD8D7AD8}"/>
    <cellStyle name="Currency 5 2 5 8 3" xfId="20589" xr:uid="{5AB87959-89E1-4187-A09A-B298D6792817}"/>
    <cellStyle name="Currency 5 2 5 8 3 2" xfId="37483" xr:uid="{E7317811-4212-47E3-9F98-546942700384}"/>
    <cellStyle name="Currency 5 2 5 8 4" xfId="12142" xr:uid="{F628CE51-60C8-44FF-BA50-B6E6464C3A25}"/>
    <cellStyle name="Currency 5 2 5 8 5" xfId="29036" xr:uid="{C534F594-AA87-4AD2-9AA2-328E96A861A6}"/>
    <cellStyle name="Currency 5 2 5 9" xfId="4650" xr:uid="{00000000-0005-0000-0000-0000670C0000}"/>
    <cellStyle name="Currency 5 2 5 9 2" xfId="22423" xr:uid="{7FD2E56A-6C62-4815-BFFC-A181BDFF7DF7}"/>
    <cellStyle name="Currency 5 2 5 9 2 2" xfId="39317" xr:uid="{C72C82C3-6D8A-469C-AAB2-DF9C07B76419}"/>
    <cellStyle name="Currency 5 2 5 9 3" xfId="13976" xr:uid="{D34A5F3D-504D-4469-9604-D77777FA3F0C}"/>
    <cellStyle name="Currency 5 2 5 9 4" xfId="30870" xr:uid="{3C5292B0-F314-4388-9792-A238943E5209}"/>
    <cellStyle name="Currency 5 2 6" xfId="208" xr:uid="{00000000-0005-0000-0000-0000680C0000}"/>
    <cellStyle name="Currency 5 2 6 10" xfId="9178" xr:uid="{19F6D70E-88E4-4E39-A1A9-3FF3D840E2F9}"/>
    <cellStyle name="Currency 5 2 6 10 2" xfId="18207" xr:uid="{54D4EB02-9F2F-409B-9CFA-B26E3857CC64}"/>
    <cellStyle name="Currency 5 2 6 10 3" xfId="35101" xr:uid="{59A008DC-27A5-49BB-809E-67F8237A2F7D}"/>
    <cellStyle name="Currency 5 2 6 11" xfId="9760" xr:uid="{2C6BE688-0B68-4D31-B30F-CCB20F88C720}"/>
    <cellStyle name="Currency 5 2 6 12" xfId="26654" xr:uid="{3794C75A-FA90-4276-AA31-D42CEF1B1FF8}"/>
    <cellStyle name="Currency 5 2 6 2" xfId="735" xr:uid="{00000000-0005-0000-0000-0000690C0000}"/>
    <cellStyle name="Currency 5 2 6 2 2" xfId="2988" xr:uid="{00000000-0005-0000-0000-00006A0C0000}"/>
    <cellStyle name="Currency 5 2 6 2 2 2" xfId="7210" xr:uid="{00000000-0005-0000-0000-00006B0C0000}"/>
    <cellStyle name="Currency 5 2 6 2 2 2 2" xfId="24983" xr:uid="{88D1AEDD-CCA1-44F1-8649-33FAB45F1513}"/>
    <cellStyle name="Currency 5 2 6 2 2 2 2 2" xfId="41877" xr:uid="{B663CEE2-F353-4DD1-96B3-FB482F785A5D}"/>
    <cellStyle name="Currency 5 2 6 2 2 2 3" xfId="16536" xr:uid="{6C409DD4-6648-454D-9551-CF31DE270ABD}"/>
    <cellStyle name="Currency 5 2 6 2 2 2 4" xfId="33430" xr:uid="{0254BDF4-FD2F-4E26-8ECC-8783D8C46D74}"/>
    <cellStyle name="Currency 5 2 6 2 2 3" xfId="20766" xr:uid="{7D1AC80E-93E4-48A4-B3A2-50CDD90B5D1B}"/>
    <cellStyle name="Currency 5 2 6 2 2 3 2" xfId="37660" xr:uid="{C01A5271-1565-4160-A3CF-8C5BDFCAA738}"/>
    <cellStyle name="Currency 5 2 6 2 2 4" xfId="12319" xr:uid="{4F2DDB8C-86DC-49A9-A460-1836A5A45C62}"/>
    <cellStyle name="Currency 5 2 6 2 2 5" xfId="29213" xr:uid="{5EE6E0B4-CE2B-4D53-8CAC-30FA7D9B54BE}"/>
    <cellStyle name="Currency 5 2 6 2 3" xfId="5065" xr:uid="{00000000-0005-0000-0000-00006C0C0000}"/>
    <cellStyle name="Currency 5 2 6 2 3 2" xfId="22838" xr:uid="{6E7FD5B4-90A5-45AE-BC5D-BB80E8B7792D}"/>
    <cellStyle name="Currency 5 2 6 2 3 2 2" xfId="39732" xr:uid="{B490092B-6025-4ECB-9471-A1FEDE116D3B}"/>
    <cellStyle name="Currency 5 2 6 2 3 3" xfId="14391" xr:uid="{178AB484-0894-4220-AA75-96E64284D102}"/>
    <cellStyle name="Currency 5 2 6 2 3 4" xfId="31285" xr:uid="{34715102-8C8A-4C70-B901-D8E88C6CA199}"/>
    <cellStyle name="Currency 5 2 6 2 4" xfId="9599" xr:uid="{C2EE182C-D73D-4E6C-9671-0484CB4E8D68}"/>
    <cellStyle name="Currency 5 2 6 2 4 2" xfId="18621" xr:uid="{2B2CABF0-57C4-4643-9500-F5B5EA2F833F}"/>
    <cellStyle name="Currency 5 2 6 2 4 3" xfId="35515" xr:uid="{0A5CB279-68DD-4105-BC1B-40FE1C39FB1C}"/>
    <cellStyle name="Currency 5 2 6 2 5" xfId="10174" xr:uid="{83EC4D42-A0B5-4339-8C61-6BB1F8F56E38}"/>
    <cellStyle name="Currency 5 2 6 2 6" xfId="27068" xr:uid="{39A47621-6343-4B6A-943A-003D1F7FB24A}"/>
    <cellStyle name="Currency 5 2 6 3" xfId="1170" xr:uid="{00000000-0005-0000-0000-00006D0C0000}"/>
    <cellStyle name="Currency 5 2 6 3 2" xfId="3401" xr:uid="{00000000-0005-0000-0000-00006E0C0000}"/>
    <cellStyle name="Currency 5 2 6 3 2 2" xfId="7623" xr:uid="{00000000-0005-0000-0000-00006F0C0000}"/>
    <cellStyle name="Currency 5 2 6 3 2 2 2" xfId="25396" xr:uid="{ADD7E4FA-AD0C-4AC5-8343-75DBBFD0E67C}"/>
    <cellStyle name="Currency 5 2 6 3 2 2 2 2" xfId="42290" xr:uid="{8E1898F5-82A2-427C-9BB5-59A6EE5DDE13}"/>
    <cellStyle name="Currency 5 2 6 3 2 2 3" xfId="16949" xr:uid="{812D0F35-7A72-4A34-AC1A-739D7217CB64}"/>
    <cellStyle name="Currency 5 2 6 3 2 2 4" xfId="33843" xr:uid="{80CEA3C5-4BE8-44C3-ADFA-936520D13D85}"/>
    <cellStyle name="Currency 5 2 6 3 2 3" xfId="21179" xr:uid="{0D8E319E-D9CD-4AA5-B680-C00FD977AF1F}"/>
    <cellStyle name="Currency 5 2 6 3 2 3 2" xfId="38073" xr:uid="{E0B64270-E2F7-4F8F-A3BD-EC3A3A8DF046}"/>
    <cellStyle name="Currency 5 2 6 3 2 4" xfId="12732" xr:uid="{953AEE47-3C71-4881-B7FA-7B113B3A04B7}"/>
    <cellStyle name="Currency 5 2 6 3 2 5" xfId="29626" xr:uid="{170DEEB4-6533-4E7A-8A69-D8952FCA9F93}"/>
    <cellStyle name="Currency 5 2 6 3 3" xfId="5478" xr:uid="{00000000-0005-0000-0000-0000700C0000}"/>
    <cellStyle name="Currency 5 2 6 3 3 2" xfId="23251" xr:uid="{B89987DA-07B7-4A16-8115-08E3122F6764}"/>
    <cellStyle name="Currency 5 2 6 3 3 2 2" xfId="40145" xr:uid="{5751ABD6-DF04-4AFD-93D7-ACF89E376B69}"/>
    <cellStyle name="Currency 5 2 6 3 3 3" xfId="14804" xr:uid="{67D3B637-3E7A-4427-A743-11288CAB87AA}"/>
    <cellStyle name="Currency 5 2 6 3 3 4" xfId="31698" xr:uid="{C55EE7BC-1B9E-4264-A713-4D95DC4A406E}"/>
    <cellStyle name="Currency 5 2 6 3 4" xfId="19034" xr:uid="{AF6DC0F9-9E0A-441B-BB35-215FD4D9F1E2}"/>
    <cellStyle name="Currency 5 2 6 3 4 2" xfId="35928" xr:uid="{8167170B-3CD8-4881-BA78-BDB46D149AC8}"/>
    <cellStyle name="Currency 5 2 6 3 5" xfId="10587" xr:uid="{A4EBD3CB-6132-4315-B411-3161A76E5367}"/>
    <cellStyle name="Currency 5 2 6 3 6" xfId="27481" xr:uid="{7D0DDF10-9B79-40CE-9540-479E46CBBCF6}"/>
    <cellStyle name="Currency 5 2 6 4" xfId="1584" xr:uid="{00000000-0005-0000-0000-0000710C0000}"/>
    <cellStyle name="Currency 5 2 6 4 2" xfId="3814" xr:uid="{00000000-0005-0000-0000-0000720C0000}"/>
    <cellStyle name="Currency 5 2 6 4 2 2" xfId="8036" xr:uid="{00000000-0005-0000-0000-0000730C0000}"/>
    <cellStyle name="Currency 5 2 6 4 2 2 2" xfId="25809" xr:uid="{01FD9BF4-828E-45EC-BE92-20DC9CB2484A}"/>
    <cellStyle name="Currency 5 2 6 4 2 2 2 2" xfId="42703" xr:uid="{7CC10844-52ED-49BC-89EB-1B3B43F72257}"/>
    <cellStyle name="Currency 5 2 6 4 2 2 3" xfId="17362" xr:uid="{1F56EABE-2609-4C32-BD1B-7B8F26766E6A}"/>
    <cellStyle name="Currency 5 2 6 4 2 2 4" xfId="34256" xr:uid="{143C4C91-ECFF-4279-BFB5-3F72014FBEA0}"/>
    <cellStyle name="Currency 5 2 6 4 2 3" xfId="21592" xr:uid="{AC3DA496-E5E2-492A-9223-E6C605DF607D}"/>
    <cellStyle name="Currency 5 2 6 4 2 3 2" xfId="38486" xr:uid="{BCBA3FE9-713A-4C4E-8D8E-F35A8ED72166}"/>
    <cellStyle name="Currency 5 2 6 4 2 4" xfId="13145" xr:uid="{72BAEC3C-3C30-4AA4-BD79-1FB02190011D}"/>
    <cellStyle name="Currency 5 2 6 4 2 5" xfId="30039" xr:uid="{B669213E-41EB-4C7D-986D-BF48B9449D2F}"/>
    <cellStyle name="Currency 5 2 6 4 3" xfId="5891" xr:uid="{00000000-0005-0000-0000-0000740C0000}"/>
    <cellStyle name="Currency 5 2 6 4 3 2" xfId="23664" xr:uid="{B64D7544-BA6F-462A-A076-5BD77A4EC8AC}"/>
    <cellStyle name="Currency 5 2 6 4 3 2 2" xfId="40558" xr:uid="{74E77D7E-8FAE-4DC7-A416-E73B3A44F339}"/>
    <cellStyle name="Currency 5 2 6 4 3 3" xfId="15217" xr:uid="{76DFC26B-FD10-49B4-B92D-EE30AFDC0331}"/>
    <cellStyle name="Currency 5 2 6 4 3 4" xfId="32111" xr:uid="{AEE37AED-1629-4B93-B00F-AC3FDBDDE7AD}"/>
    <cellStyle name="Currency 5 2 6 4 4" xfId="19447" xr:uid="{B518C11E-A80A-4DD9-8E9F-4565AA524978}"/>
    <cellStyle name="Currency 5 2 6 4 4 2" xfId="36341" xr:uid="{2F2F9FDE-A2A7-4331-AF15-36FDCCAE756E}"/>
    <cellStyle name="Currency 5 2 6 4 5" xfId="11000" xr:uid="{FEEBBC9F-999C-4F20-A567-E37D89E9BD9C}"/>
    <cellStyle name="Currency 5 2 6 4 6" xfId="27894" xr:uid="{CAF2660B-2B93-416F-95A3-DBCD660A6165}"/>
    <cellStyle name="Currency 5 2 6 5" xfId="1998" xr:uid="{00000000-0005-0000-0000-0000750C0000}"/>
    <cellStyle name="Currency 5 2 6 5 2" xfId="4227" xr:uid="{00000000-0005-0000-0000-0000760C0000}"/>
    <cellStyle name="Currency 5 2 6 5 2 2" xfId="8449" xr:uid="{00000000-0005-0000-0000-0000770C0000}"/>
    <cellStyle name="Currency 5 2 6 5 2 2 2" xfId="26222" xr:uid="{F876F090-9AB0-451C-8A93-C3EC00541CFA}"/>
    <cellStyle name="Currency 5 2 6 5 2 2 2 2" xfId="43116" xr:uid="{A46B0B22-57B7-4C9D-978C-D5AB45EB5681}"/>
    <cellStyle name="Currency 5 2 6 5 2 2 3" xfId="17775" xr:uid="{62E97CA8-16AF-4478-A840-731225CADAAC}"/>
    <cellStyle name="Currency 5 2 6 5 2 2 4" xfId="34669" xr:uid="{575DD3E8-46F6-4354-886B-DE57F20B9A16}"/>
    <cellStyle name="Currency 5 2 6 5 2 3" xfId="22005" xr:uid="{F5032685-B273-4E59-A02F-3D2F3C86581C}"/>
    <cellStyle name="Currency 5 2 6 5 2 3 2" xfId="38899" xr:uid="{684013EE-9FD0-495D-9564-EBD1C54E0DDB}"/>
    <cellStyle name="Currency 5 2 6 5 2 4" xfId="13558" xr:uid="{78D9D6A7-55CD-4AB1-AA74-0C7776F14192}"/>
    <cellStyle name="Currency 5 2 6 5 2 5" xfId="30452" xr:uid="{4C27A951-A097-403F-B5EA-3B8C1446C22C}"/>
    <cellStyle name="Currency 5 2 6 5 3" xfId="6304" xr:uid="{00000000-0005-0000-0000-0000780C0000}"/>
    <cellStyle name="Currency 5 2 6 5 3 2" xfId="24077" xr:uid="{D09BEE64-6C06-481B-8067-E93B8623A0E1}"/>
    <cellStyle name="Currency 5 2 6 5 3 2 2" xfId="40971" xr:uid="{EA2E9070-E3B4-4F24-80DF-22798020D588}"/>
    <cellStyle name="Currency 5 2 6 5 3 3" xfId="15630" xr:uid="{F3C73794-9037-4CDE-879F-0F8AA6E080C7}"/>
    <cellStyle name="Currency 5 2 6 5 3 4" xfId="32524" xr:uid="{17862875-1474-427F-89BB-AE7B1FFF641D}"/>
    <cellStyle name="Currency 5 2 6 5 4" xfId="19860" xr:uid="{AC93D423-F1EC-40DE-A4C4-1BBB79D9B34C}"/>
    <cellStyle name="Currency 5 2 6 5 4 2" xfId="36754" xr:uid="{E6AC26BA-A2D7-4504-BCE5-59BB8620CA01}"/>
    <cellStyle name="Currency 5 2 6 5 5" xfId="11413" xr:uid="{0DC3EA04-265D-4BE1-9B08-C6432EFBE839}"/>
    <cellStyle name="Currency 5 2 6 5 6" xfId="28307" xr:uid="{D2838A2F-D9CD-4598-9FAC-D7166DCAE26F}"/>
    <cellStyle name="Currency 5 2 6 6" xfId="2433" xr:uid="{00000000-0005-0000-0000-0000790C0000}"/>
    <cellStyle name="Currency 5 2 6 6 2" xfId="6717" xr:uid="{00000000-0005-0000-0000-00007A0C0000}"/>
    <cellStyle name="Currency 5 2 6 6 2 2" xfId="24490" xr:uid="{316D6FF8-A9D7-4236-BFAD-03C6A6486469}"/>
    <cellStyle name="Currency 5 2 6 6 2 2 2" xfId="41384" xr:uid="{F9AD32FF-0760-44A0-A53B-668FFD2B5613}"/>
    <cellStyle name="Currency 5 2 6 6 2 3" xfId="16043" xr:uid="{42FB99E9-5869-48E0-A214-9CED1EA4536A}"/>
    <cellStyle name="Currency 5 2 6 6 2 4" xfId="32937" xr:uid="{F34F1B85-B033-46CE-A183-A44C7CBB5950}"/>
    <cellStyle name="Currency 5 2 6 6 3" xfId="20273" xr:uid="{72CB998C-0E42-4312-BD87-4C498ACB4D2B}"/>
    <cellStyle name="Currency 5 2 6 6 3 2" xfId="37167" xr:uid="{95135610-FF39-4BB6-8CC5-AB98C17ED50B}"/>
    <cellStyle name="Currency 5 2 6 6 4" xfId="11826" xr:uid="{1045EBB8-AC56-4FCC-915B-7A27C385580E}"/>
    <cellStyle name="Currency 5 2 6 6 5" xfId="28720" xr:uid="{9F19CF18-E624-4306-9DA8-EB3158330CDE}"/>
    <cellStyle name="Currency 5 2 6 7" xfId="2730" xr:uid="{00000000-0005-0000-0000-00007B0C0000}"/>
    <cellStyle name="Currency 5 2 6 8" xfId="2811" xr:uid="{00000000-0005-0000-0000-00007C0C0000}"/>
    <cellStyle name="Currency 5 2 6 8 2" xfId="7034" xr:uid="{00000000-0005-0000-0000-00007D0C0000}"/>
    <cellStyle name="Currency 5 2 6 8 2 2" xfId="24807" xr:uid="{50375412-989C-4D62-91AC-D55EFCACAC78}"/>
    <cellStyle name="Currency 5 2 6 8 2 2 2" xfId="41701" xr:uid="{A2B08708-9BAC-4A1B-8B2D-1B7F445C48F3}"/>
    <cellStyle name="Currency 5 2 6 8 2 3" xfId="16360" xr:uid="{B4D148C6-71BB-49C3-B3D1-7829A3F5B0D6}"/>
    <cellStyle name="Currency 5 2 6 8 2 4" xfId="33254" xr:uid="{5DE33B74-928E-44E6-A72F-40ED0F701AD3}"/>
    <cellStyle name="Currency 5 2 6 8 3" xfId="20590" xr:uid="{861A5D9E-6A4A-4812-98B0-67494F864663}"/>
    <cellStyle name="Currency 5 2 6 8 3 2" xfId="37484" xr:uid="{E3EFB808-AD54-4A28-865A-0242AC5E4ED0}"/>
    <cellStyle name="Currency 5 2 6 8 4" xfId="12143" xr:uid="{F9ADB4D9-1966-4AF2-9A06-7FDB56E0F2F5}"/>
    <cellStyle name="Currency 5 2 6 8 5" xfId="29037" xr:uid="{D4C7C780-B299-4A38-A29A-55B2E767CBD7}"/>
    <cellStyle name="Currency 5 2 6 9" xfId="4651" xr:uid="{00000000-0005-0000-0000-00007E0C0000}"/>
    <cellStyle name="Currency 5 2 6 9 2" xfId="22424" xr:uid="{9EAD02AC-3086-4573-BD07-9D639370473D}"/>
    <cellStyle name="Currency 5 2 6 9 2 2" xfId="39318" xr:uid="{C5915C8A-B8E2-48B5-BD0F-90EA0B1E5BEE}"/>
    <cellStyle name="Currency 5 2 6 9 3" xfId="13977" xr:uid="{A9B00958-EC5E-441E-A407-CFDD626640DD}"/>
    <cellStyle name="Currency 5 2 6 9 4" xfId="30871" xr:uid="{FF68BB57-0739-4A80-9E72-CFCBDD0B0738}"/>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0 2 2" xfId="24808" xr:uid="{E43F2F79-6ADA-4BB5-83BC-C10202869FD5}"/>
    <cellStyle name="Currency 5 3 2 10 2 2 2" xfId="41702" xr:uid="{7F3DC6FB-6CA2-474C-A9C8-721C03E64653}"/>
    <cellStyle name="Currency 5 3 2 10 2 3" xfId="16361" xr:uid="{3966D22B-A070-4C56-B24F-A6964D7EA370}"/>
    <cellStyle name="Currency 5 3 2 10 2 4" xfId="33255" xr:uid="{606DB87F-40F9-4C55-8AB2-0F2E357C8189}"/>
    <cellStyle name="Currency 5 3 2 10 3" xfId="20591" xr:uid="{07D41917-8056-4C1A-B241-79C8AA7B0107}"/>
    <cellStyle name="Currency 5 3 2 10 3 2" xfId="37485" xr:uid="{4494B526-B9A0-45EA-960B-72C66302C532}"/>
    <cellStyle name="Currency 5 3 2 10 4" xfId="12144" xr:uid="{265723F8-C10C-4089-AE93-93603EA9180A}"/>
    <cellStyle name="Currency 5 3 2 10 5" xfId="29038" xr:uid="{53B73548-89A2-400A-B887-E0247BB5E8B9}"/>
    <cellStyle name="Currency 5 3 2 11" xfId="4652" xr:uid="{00000000-0005-0000-0000-0000840C0000}"/>
    <cellStyle name="Currency 5 3 2 11 2" xfId="22425" xr:uid="{1B37133E-1177-4F04-AEB9-66C36491C0A2}"/>
    <cellStyle name="Currency 5 3 2 11 2 2" xfId="39319" xr:uid="{4DA619A4-0850-43F7-A8FA-9D5720053E76}"/>
    <cellStyle name="Currency 5 3 2 11 3" xfId="13978" xr:uid="{94DFC3D2-9328-4155-AB97-0F378FC0917B}"/>
    <cellStyle name="Currency 5 3 2 11 4" xfId="30872" xr:uid="{B875B66D-69CA-4E33-914A-06AC5855F6C0}"/>
    <cellStyle name="Currency 5 3 2 12" xfId="8810" xr:uid="{C5234FF9-D509-4CD8-ADA1-D3604CCF3D1F}"/>
    <cellStyle name="Currency 5 3 2 12 2" xfId="18208" xr:uid="{3A302988-0CAF-4A16-B9C5-6A660AD0590E}"/>
    <cellStyle name="Currency 5 3 2 12 3" xfId="35102" xr:uid="{7E805F74-17A8-4AFE-B8C5-938C64A8B902}"/>
    <cellStyle name="Currency 5 3 2 13" xfId="9761" xr:uid="{FD4507AC-3D25-4749-883D-BC3D5BCF6D2D}"/>
    <cellStyle name="Currency 5 3 2 14" xfId="26655" xr:uid="{879977E8-C49A-461F-A41C-6D3462820069}"/>
    <cellStyle name="Currency 5 3 2 2" xfId="211" xr:uid="{00000000-0005-0000-0000-0000850C0000}"/>
    <cellStyle name="Currency 5 3 2 2 10" xfId="4653" xr:uid="{00000000-0005-0000-0000-0000860C0000}"/>
    <cellStyle name="Currency 5 3 2 2 10 2" xfId="22426" xr:uid="{1134DE86-6207-44C8-A1CF-EB7ED04B3023}"/>
    <cellStyle name="Currency 5 3 2 2 10 2 2" xfId="39320" xr:uid="{6B68E1B4-D2D7-4104-9491-CB156F035426}"/>
    <cellStyle name="Currency 5 3 2 2 10 3" xfId="13979" xr:uid="{4CF6AD10-7E86-48E3-A541-9E338D42D6B9}"/>
    <cellStyle name="Currency 5 3 2 2 10 4" xfId="30873" xr:uid="{565FE9AC-4822-4D30-B040-967DB4BA88FD}"/>
    <cellStyle name="Currency 5 3 2 2 11" xfId="8913" xr:uid="{FE033F82-2F16-4925-9899-F927AB9AA612}"/>
    <cellStyle name="Currency 5 3 2 2 11 2" xfId="18209" xr:uid="{20339E93-F72E-4762-A36D-03B7D4144EFD}"/>
    <cellStyle name="Currency 5 3 2 2 11 3" xfId="35103" xr:uid="{C0F681C6-BA51-404D-A92D-2FDA0230D502}"/>
    <cellStyle name="Currency 5 3 2 2 12" xfId="9762" xr:uid="{14A0BF7C-7A70-4E39-B815-6D9624C93041}"/>
    <cellStyle name="Currency 5 3 2 2 13" xfId="26656" xr:uid="{C488309C-2D14-4AE1-880C-16FEF688FFE8}"/>
    <cellStyle name="Currency 5 3 2 2 2" xfId="212" xr:uid="{00000000-0005-0000-0000-0000870C0000}"/>
    <cellStyle name="Currency 5 3 2 2 2 10" xfId="9120" xr:uid="{D5536A1F-8418-4CB5-B1E0-470AD716374A}"/>
    <cellStyle name="Currency 5 3 2 2 2 10 2" xfId="18210" xr:uid="{FFBD4449-033E-48B1-8D02-C03BFB7A3828}"/>
    <cellStyle name="Currency 5 3 2 2 2 10 3" xfId="35104" xr:uid="{17A0EDDA-9C8C-4DE8-80E6-3B73D6B6E40D}"/>
    <cellStyle name="Currency 5 3 2 2 2 11" xfId="9763" xr:uid="{EDA599F6-4E80-488A-971E-53DE11902003}"/>
    <cellStyle name="Currency 5 3 2 2 2 12" xfId="26657" xr:uid="{771FEF63-46DC-40EF-B4C1-6C5786919C78}"/>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2 2 2" xfId="24986" xr:uid="{1DB64DE9-300B-4CBE-8EEE-F4D1B2C6A360}"/>
    <cellStyle name="Currency 5 3 2 2 2 2 2 2 2 2" xfId="41880" xr:uid="{9BCCAF6F-63E8-42E9-A87C-C3A200627778}"/>
    <cellStyle name="Currency 5 3 2 2 2 2 2 2 3" xfId="16539" xr:uid="{2A233742-3667-49CA-AFDF-937C2CA081BC}"/>
    <cellStyle name="Currency 5 3 2 2 2 2 2 2 4" xfId="33433" xr:uid="{D1635467-76BA-49F4-8C87-79A6CA7EF41B}"/>
    <cellStyle name="Currency 5 3 2 2 2 2 2 3" xfId="20769" xr:uid="{2637B22F-42EA-4DE7-8449-A857733DFD60}"/>
    <cellStyle name="Currency 5 3 2 2 2 2 2 3 2" xfId="37663" xr:uid="{C58EC744-3CF6-4D63-B475-6BAAF8A78E29}"/>
    <cellStyle name="Currency 5 3 2 2 2 2 2 4" xfId="12322" xr:uid="{93974B6B-3F1C-45A9-8387-D2732EC64C26}"/>
    <cellStyle name="Currency 5 3 2 2 2 2 2 5" xfId="29216" xr:uid="{9FED015C-2AC3-488D-8F06-4401A70B5D9B}"/>
    <cellStyle name="Currency 5 3 2 2 2 2 3" xfId="5068" xr:uid="{00000000-0005-0000-0000-00008B0C0000}"/>
    <cellStyle name="Currency 5 3 2 2 2 2 3 2" xfId="22841" xr:uid="{AB0F7689-3A49-42D0-B569-B66B37F954F1}"/>
    <cellStyle name="Currency 5 3 2 2 2 2 3 2 2" xfId="39735" xr:uid="{94990778-45ED-4770-A32C-6401E572D2F0}"/>
    <cellStyle name="Currency 5 3 2 2 2 2 3 3" xfId="14394" xr:uid="{1AF063AA-4AA5-4A92-A33B-52C02610D7EA}"/>
    <cellStyle name="Currency 5 3 2 2 2 2 3 4" xfId="31288" xr:uid="{81630901-8FE9-416B-8DF4-03F122E7B9DC}"/>
    <cellStyle name="Currency 5 3 2 2 2 2 4" xfId="9545" xr:uid="{F6C268D6-0334-42F7-AE4F-535ADD09B625}"/>
    <cellStyle name="Currency 5 3 2 2 2 2 4 2" xfId="18624" xr:uid="{EC10C42E-049D-4747-B6CA-B1A68A3A82B6}"/>
    <cellStyle name="Currency 5 3 2 2 2 2 4 3" xfId="35518" xr:uid="{547AE6B7-56B2-4235-8AB3-2F20B44D2EB7}"/>
    <cellStyle name="Currency 5 3 2 2 2 2 5" xfId="10177" xr:uid="{CE5E668A-3140-40A0-BDB0-41A0AD8C0AA1}"/>
    <cellStyle name="Currency 5 3 2 2 2 2 6" xfId="27071" xr:uid="{18026CA7-1CBA-476F-B4BE-89CF3CD8D67E}"/>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2 2 2" xfId="25399" xr:uid="{DB253583-4A71-4F53-B358-6D014A67971C}"/>
    <cellStyle name="Currency 5 3 2 2 2 3 2 2 2 2" xfId="42293" xr:uid="{3F5CE4FF-96D1-430A-A55C-17FD113F3AFE}"/>
    <cellStyle name="Currency 5 3 2 2 2 3 2 2 3" xfId="16952" xr:uid="{7811BDDB-8A06-48AE-ACBD-2F0838167AA3}"/>
    <cellStyle name="Currency 5 3 2 2 2 3 2 2 4" xfId="33846" xr:uid="{D613327F-0E9E-4399-B3CD-EBCC0463A33D}"/>
    <cellStyle name="Currency 5 3 2 2 2 3 2 3" xfId="21182" xr:uid="{2C50A7C0-D545-4A42-9B56-3309B861B6E9}"/>
    <cellStyle name="Currency 5 3 2 2 2 3 2 3 2" xfId="38076" xr:uid="{54D9354E-81E2-4B0E-ACE8-79F5BD772F99}"/>
    <cellStyle name="Currency 5 3 2 2 2 3 2 4" xfId="12735" xr:uid="{6D5C028D-C664-4DE4-8854-A40138D74E8B}"/>
    <cellStyle name="Currency 5 3 2 2 2 3 2 5" xfId="29629" xr:uid="{0DA00D26-3268-41AB-8F68-2B07CE5C51C8}"/>
    <cellStyle name="Currency 5 3 2 2 2 3 3" xfId="5481" xr:uid="{00000000-0005-0000-0000-00008F0C0000}"/>
    <cellStyle name="Currency 5 3 2 2 2 3 3 2" xfId="23254" xr:uid="{1580602F-E4EA-4D17-A840-22F4D3D61D01}"/>
    <cellStyle name="Currency 5 3 2 2 2 3 3 2 2" xfId="40148" xr:uid="{7E76AED3-5E75-48B5-A83F-3D15DB157A5C}"/>
    <cellStyle name="Currency 5 3 2 2 2 3 3 3" xfId="14807" xr:uid="{790F928F-0509-4CD5-9DBC-46543A385390}"/>
    <cellStyle name="Currency 5 3 2 2 2 3 3 4" xfId="31701" xr:uid="{E91F0571-663E-4BA1-9B09-F899BD9F74E2}"/>
    <cellStyle name="Currency 5 3 2 2 2 3 4" xfId="19037" xr:uid="{7C2DCFCD-B2AF-41F7-9E77-393A504125CA}"/>
    <cellStyle name="Currency 5 3 2 2 2 3 4 2" xfId="35931" xr:uid="{712A6E03-43D7-41CA-B362-649D2C2BBDB3}"/>
    <cellStyle name="Currency 5 3 2 2 2 3 5" xfId="10590" xr:uid="{D868069B-571D-43C1-9BAE-AB832FA0F7F4}"/>
    <cellStyle name="Currency 5 3 2 2 2 3 6" xfId="27484" xr:uid="{1619246A-5A31-4482-B91A-907B0C6874D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2 2 2" xfId="25812" xr:uid="{7E4A0C7E-D5B9-48CE-8F9C-872D1A54D730}"/>
    <cellStyle name="Currency 5 3 2 2 2 4 2 2 2 2" xfId="42706" xr:uid="{E6B5D663-3E24-4509-A437-02DECD254678}"/>
    <cellStyle name="Currency 5 3 2 2 2 4 2 2 3" xfId="17365" xr:uid="{36AC8E8C-C78B-4625-803D-DCFB3C2767DC}"/>
    <cellStyle name="Currency 5 3 2 2 2 4 2 2 4" xfId="34259" xr:uid="{B1A6CE5F-75CA-4840-B2FB-C2CCCD235A5C}"/>
    <cellStyle name="Currency 5 3 2 2 2 4 2 3" xfId="21595" xr:uid="{9608245A-C4DB-4717-871D-0404E1A48143}"/>
    <cellStyle name="Currency 5 3 2 2 2 4 2 3 2" xfId="38489" xr:uid="{A421F351-D921-4446-8049-2C4323BCA30A}"/>
    <cellStyle name="Currency 5 3 2 2 2 4 2 4" xfId="13148" xr:uid="{57619450-5059-4C59-9029-0E35998D3D13}"/>
    <cellStyle name="Currency 5 3 2 2 2 4 2 5" xfId="30042" xr:uid="{4B4D41A4-47B5-412D-947A-280A613F5E89}"/>
    <cellStyle name="Currency 5 3 2 2 2 4 3" xfId="5894" xr:uid="{00000000-0005-0000-0000-0000930C0000}"/>
    <cellStyle name="Currency 5 3 2 2 2 4 3 2" xfId="23667" xr:uid="{CB2F0A40-57C9-40F6-B87D-C4F0513E56AE}"/>
    <cellStyle name="Currency 5 3 2 2 2 4 3 2 2" xfId="40561" xr:uid="{53208FFE-AEF8-4EE2-ACD5-7A57DF623400}"/>
    <cellStyle name="Currency 5 3 2 2 2 4 3 3" xfId="15220" xr:uid="{AC792A26-F4E3-47DB-A011-CACD01C0A974}"/>
    <cellStyle name="Currency 5 3 2 2 2 4 3 4" xfId="32114" xr:uid="{F838C408-CF02-4040-99A1-A78EF6870078}"/>
    <cellStyle name="Currency 5 3 2 2 2 4 4" xfId="19450" xr:uid="{B2281AA7-77F3-4107-9CF7-590C57080621}"/>
    <cellStyle name="Currency 5 3 2 2 2 4 4 2" xfId="36344" xr:uid="{C0D950AB-2094-44A7-841A-616C11B4F874}"/>
    <cellStyle name="Currency 5 3 2 2 2 4 5" xfId="11003" xr:uid="{DC06E8D9-6722-4475-933C-D1DBF2F11263}"/>
    <cellStyle name="Currency 5 3 2 2 2 4 6" xfId="27897" xr:uid="{0953DEBC-70C1-46B5-8794-CA5B4AEA8AAE}"/>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2 2 2" xfId="26225" xr:uid="{392AFB68-4717-46AF-8223-53DD36EFE469}"/>
    <cellStyle name="Currency 5 3 2 2 2 5 2 2 2 2" xfId="43119" xr:uid="{6AA4B7D1-0985-407D-920F-2C75C8EF76BA}"/>
    <cellStyle name="Currency 5 3 2 2 2 5 2 2 3" xfId="17778" xr:uid="{FF9561F1-7F44-4F7C-A00B-C3BEBED39B41}"/>
    <cellStyle name="Currency 5 3 2 2 2 5 2 2 4" xfId="34672" xr:uid="{7FDA051F-3F43-4547-9CDD-7CE2319C230E}"/>
    <cellStyle name="Currency 5 3 2 2 2 5 2 3" xfId="22008" xr:uid="{CD39C408-AB3E-4B65-8415-655F0CDBC863}"/>
    <cellStyle name="Currency 5 3 2 2 2 5 2 3 2" xfId="38902" xr:uid="{FA77054D-521A-4C81-8E88-59928DC59121}"/>
    <cellStyle name="Currency 5 3 2 2 2 5 2 4" xfId="13561" xr:uid="{FE2B63E3-A1F9-4F54-830C-4B92E470BE59}"/>
    <cellStyle name="Currency 5 3 2 2 2 5 2 5" xfId="30455" xr:uid="{8C3C2D51-9552-410C-843A-748D2B98DF96}"/>
    <cellStyle name="Currency 5 3 2 2 2 5 3" xfId="6307" xr:uid="{00000000-0005-0000-0000-0000970C0000}"/>
    <cellStyle name="Currency 5 3 2 2 2 5 3 2" xfId="24080" xr:uid="{C08C559A-567B-4C03-BA37-BF7498D182D6}"/>
    <cellStyle name="Currency 5 3 2 2 2 5 3 2 2" xfId="40974" xr:uid="{971B7B53-E16A-4DD0-9919-42EAEAB8C673}"/>
    <cellStyle name="Currency 5 3 2 2 2 5 3 3" xfId="15633" xr:uid="{776DE3C5-BCDB-45F6-8539-C56A01A2C81F}"/>
    <cellStyle name="Currency 5 3 2 2 2 5 3 4" xfId="32527" xr:uid="{7C7E85D9-FF5A-4C8B-BD65-C82B48C26300}"/>
    <cellStyle name="Currency 5 3 2 2 2 5 4" xfId="19863" xr:uid="{F368CAE5-EFE2-46C3-AE45-5168E6CB582E}"/>
    <cellStyle name="Currency 5 3 2 2 2 5 4 2" xfId="36757" xr:uid="{ED727A1C-860D-43AD-BBFB-E2E1AD2B6868}"/>
    <cellStyle name="Currency 5 3 2 2 2 5 5" xfId="11416" xr:uid="{A229E415-E3F4-425F-9C48-F10F588512B2}"/>
    <cellStyle name="Currency 5 3 2 2 2 5 6" xfId="28310" xr:uid="{B53DDB32-5315-4C5E-B304-CE3F78F068E4}"/>
    <cellStyle name="Currency 5 3 2 2 2 6" xfId="2436" xr:uid="{00000000-0005-0000-0000-0000980C0000}"/>
    <cellStyle name="Currency 5 3 2 2 2 6 2" xfId="6720" xr:uid="{00000000-0005-0000-0000-0000990C0000}"/>
    <cellStyle name="Currency 5 3 2 2 2 6 2 2" xfId="24493" xr:uid="{EF979D0B-B9D5-4057-B567-FCA2E2D936F4}"/>
    <cellStyle name="Currency 5 3 2 2 2 6 2 2 2" xfId="41387" xr:uid="{D44A99AC-6451-4ED5-9061-1087C1642DC1}"/>
    <cellStyle name="Currency 5 3 2 2 2 6 2 3" xfId="16046" xr:uid="{AA38F0A6-4045-42EE-9F5C-342F2E9EDA1B}"/>
    <cellStyle name="Currency 5 3 2 2 2 6 2 4" xfId="32940" xr:uid="{815E86C2-C4D5-4E32-BB6F-6995FC104084}"/>
    <cellStyle name="Currency 5 3 2 2 2 6 3" xfId="20276" xr:uid="{0932F54F-1F9F-42D1-BE37-5C861EE31B79}"/>
    <cellStyle name="Currency 5 3 2 2 2 6 3 2" xfId="37170" xr:uid="{FC889C72-7390-41FB-A76E-89642AAEF664}"/>
    <cellStyle name="Currency 5 3 2 2 2 6 4" xfId="11829" xr:uid="{75AE6677-4F36-4D9B-8D77-228C67EE2047}"/>
    <cellStyle name="Currency 5 3 2 2 2 6 5" xfId="28723" xr:uid="{DB2E48E9-0EEB-4D61-87C1-9C1735218C53}"/>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8 2 2" xfId="24810" xr:uid="{B31F306F-D54C-481B-AFD8-E437D97CD01B}"/>
    <cellStyle name="Currency 5 3 2 2 2 8 2 2 2" xfId="41704" xr:uid="{C1D25720-7339-4C2C-BE51-4796ACCCB381}"/>
    <cellStyle name="Currency 5 3 2 2 2 8 2 3" xfId="16363" xr:uid="{68021A16-3CD6-44C0-A0B5-2796EDB38279}"/>
    <cellStyle name="Currency 5 3 2 2 2 8 2 4" xfId="33257" xr:uid="{385104CA-5874-453C-AAFC-E93E32526420}"/>
    <cellStyle name="Currency 5 3 2 2 2 8 3" xfId="20593" xr:uid="{49316142-E61B-4002-84C2-936CD64AC0F6}"/>
    <cellStyle name="Currency 5 3 2 2 2 8 3 2" xfId="37487" xr:uid="{C6A0A98E-8B38-471D-837F-8B9B0B53C936}"/>
    <cellStyle name="Currency 5 3 2 2 2 8 4" xfId="12146" xr:uid="{BE13ABC7-C866-49DA-A588-C0DA5AA3F38A}"/>
    <cellStyle name="Currency 5 3 2 2 2 8 5" xfId="29040" xr:uid="{B19195C9-CB3E-4D64-9BC3-3D24D040F452}"/>
    <cellStyle name="Currency 5 3 2 2 2 9" xfId="4654" xr:uid="{00000000-0005-0000-0000-00009D0C0000}"/>
    <cellStyle name="Currency 5 3 2 2 2 9 2" xfId="22427" xr:uid="{F0010167-782F-4DAD-B3A7-2569B73D04AD}"/>
    <cellStyle name="Currency 5 3 2 2 2 9 2 2" xfId="39321" xr:uid="{C96877FE-066D-4919-94A0-E84208730C95}"/>
    <cellStyle name="Currency 5 3 2 2 2 9 3" xfId="13980" xr:uid="{F3296D51-887C-461A-9425-DA174EC018D0}"/>
    <cellStyle name="Currency 5 3 2 2 2 9 4" xfId="30874" xr:uid="{B3678164-8A43-4D85-A473-B0F539C8649F}"/>
    <cellStyle name="Currency 5 3 2 2 3" xfId="737" xr:uid="{00000000-0005-0000-0000-00009E0C0000}"/>
    <cellStyle name="Currency 5 3 2 2 3 2" xfId="2990" xr:uid="{00000000-0005-0000-0000-00009F0C0000}"/>
    <cellStyle name="Currency 5 3 2 2 3 2 2" xfId="7212" xr:uid="{00000000-0005-0000-0000-0000A00C0000}"/>
    <cellStyle name="Currency 5 3 2 2 3 2 2 2" xfId="24985" xr:uid="{03E68A16-DA78-41EE-954A-166435D87756}"/>
    <cellStyle name="Currency 5 3 2 2 3 2 2 2 2" xfId="41879" xr:uid="{00D52E5E-B2F0-4767-8D06-9843A4094451}"/>
    <cellStyle name="Currency 5 3 2 2 3 2 2 3" xfId="16538" xr:uid="{82DF602C-4F69-41F8-877E-57689C202BC1}"/>
    <cellStyle name="Currency 5 3 2 2 3 2 2 4" xfId="33432" xr:uid="{E18DFFCC-A3E5-48D3-B4AF-5BD5C3EFA1D8}"/>
    <cellStyle name="Currency 5 3 2 2 3 2 3" xfId="20768" xr:uid="{EB2072C5-CAF6-4D37-9A75-BBCAFCB90CF6}"/>
    <cellStyle name="Currency 5 3 2 2 3 2 3 2" xfId="37662" xr:uid="{CFA9F182-84BC-45D2-A048-D05B7256017C}"/>
    <cellStyle name="Currency 5 3 2 2 3 2 4" xfId="12321" xr:uid="{8A1A3974-26A8-4055-B643-7142C5F1FAFC}"/>
    <cellStyle name="Currency 5 3 2 2 3 2 5" xfId="29215" xr:uid="{E8128749-93A9-4BB2-A078-6116E81853F6}"/>
    <cellStyle name="Currency 5 3 2 2 3 3" xfId="5067" xr:uid="{00000000-0005-0000-0000-0000A10C0000}"/>
    <cellStyle name="Currency 5 3 2 2 3 3 2" xfId="22840" xr:uid="{9ED52A9E-CA6A-4384-8400-6B4BFE900020}"/>
    <cellStyle name="Currency 5 3 2 2 3 3 2 2" xfId="39734" xr:uid="{B626ACFE-FAA7-43D0-8EE8-66BBF07CEC4F}"/>
    <cellStyle name="Currency 5 3 2 2 3 3 3" xfId="14393" xr:uid="{1E5A075D-0CD4-4335-925B-F21BD5261884}"/>
    <cellStyle name="Currency 5 3 2 2 3 3 4" xfId="31287" xr:uid="{63F5032F-A510-45B4-BF98-9E3BD38C28EE}"/>
    <cellStyle name="Currency 5 3 2 2 3 4" xfId="9338" xr:uid="{E79296CA-9516-4DDA-84B2-A3B13AAA9D9D}"/>
    <cellStyle name="Currency 5 3 2 2 3 4 2" xfId="18623" xr:uid="{0BE18DF0-1BCA-4193-95F8-EA22D23FF6F5}"/>
    <cellStyle name="Currency 5 3 2 2 3 4 3" xfId="35517" xr:uid="{56351D9F-45A3-4215-A9E6-409F699AB47A}"/>
    <cellStyle name="Currency 5 3 2 2 3 5" xfId="10176" xr:uid="{9BAD9758-1A48-49F5-9F24-DA2926EB1F5B}"/>
    <cellStyle name="Currency 5 3 2 2 3 6" xfId="27070" xr:uid="{89E7925E-C6B7-4363-8C95-F514793CC7B2}"/>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2 2 2" xfId="25398" xr:uid="{C3320401-9A5A-4623-9A7C-B3F91BAF4DDE}"/>
    <cellStyle name="Currency 5 3 2 2 4 2 2 2 2" xfId="42292" xr:uid="{E59BCE22-7C24-4251-96E9-C16C3449C715}"/>
    <cellStyle name="Currency 5 3 2 2 4 2 2 3" xfId="16951" xr:uid="{1527A4D8-20AD-48EB-8576-4DDDA4D0AA41}"/>
    <cellStyle name="Currency 5 3 2 2 4 2 2 4" xfId="33845" xr:uid="{D5489E2C-73E3-4CAB-8370-77C517A5881F}"/>
    <cellStyle name="Currency 5 3 2 2 4 2 3" xfId="21181" xr:uid="{8665B443-3632-406A-910B-F0D4741E7CDA}"/>
    <cellStyle name="Currency 5 3 2 2 4 2 3 2" xfId="38075" xr:uid="{CB5DF4C8-8075-41F5-A072-7C656373EE9C}"/>
    <cellStyle name="Currency 5 3 2 2 4 2 4" xfId="12734" xr:uid="{D118B462-F42B-4841-B2BF-615293E5C525}"/>
    <cellStyle name="Currency 5 3 2 2 4 2 5" xfId="29628" xr:uid="{9165841C-714A-4C08-ABEB-39957A962FF2}"/>
    <cellStyle name="Currency 5 3 2 2 4 3" xfId="5480" xr:uid="{00000000-0005-0000-0000-0000A50C0000}"/>
    <cellStyle name="Currency 5 3 2 2 4 3 2" xfId="23253" xr:uid="{4AD29244-7823-4E03-9BB3-03B41C6A4A70}"/>
    <cellStyle name="Currency 5 3 2 2 4 3 2 2" xfId="40147" xr:uid="{F57BE775-B703-4F39-81ED-3498409B60F0}"/>
    <cellStyle name="Currency 5 3 2 2 4 3 3" xfId="14806" xr:uid="{F4AE9580-71E9-43EC-94CB-E4026F4F638D}"/>
    <cellStyle name="Currency 5 3 2 2 4 3 4" xfId="31700" xr:uid="{3D0649E7-F06E-4554-BD15-F65194BF6962}"/>
    <cellStyle name="Currency 5 3 2 2 4 4" xfId="19036" xr:uid="{C462D9E0-9521-44D1-8993-D7AB4DF61D71}"/>
    <cellStyle name="Currency 5 3 2 2 4 4 2" xfId="35930" xr:uid="{8A73D1A6-E6C6-4D09-8112-54CCD47DAD25}"/>
    <cellStyle name="Currency 5 3 2 2 4 5" xfId="10589" xr:uid="{32A6074A-B91E-4F83-A5C6-AEA3F0FB7722}"/>
    <cellStyle name="Currency 5 3 2 2 4 6" xfId="27483" xr:uid="{78F9A164-8585-4D3A-BDA0-0D5FC3FA4F0E}"/>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2 2 2" xfId="25811" xr:uid="{C56E120B-9CE1-4C34-B921-B3DE1056263C}"/>
    <cellStyle name="Currency 5 3 2 2 5 2 2 2 2" xfId="42705" xr:uid="{9A940B3C-13FA-46E1-95DD-D20FC78CFF18}"/>
    <cellStyle name="Currency 5 3 2 2 5 2 2 3" xfId="17364" xr:uid="{F01B9FF6-26DB-474E-84AA-618F6ED719A8}"/>
    <cellStyle name="Currency 5 3 2 2 5 2 2 4" xfId="34258" xr:uid="{51A9F451-D327-4F3D-994D-01E16439BC16}"/>
    <cellStyle name="Currency 5 3 2 2 5 2 3" xfId="21594" xr:uid="{1788CB4A-7D67-48E0-8A53-618237EE8649}"/>
    <cellStyle name="Currency 5 3 2 2 5 2 3 2" xfId="38488" xr:uid="{2035B3D5-B61B-41FF-BEC9-DCADFA21BE4A}"/>
    <cellStyle name="Currency 5 3 2 2 5 2 4" xfId="13147" xr:uid="{20E5F3DC-958D-4EC7-B1FD-A9D6F990C59C}"/>
    <cellStyle name="Currency 5 3 2 2 5 2 5" xfId="30041" xr:uid="{737FDE7C-38FB-406C-AD51-64E0CE91F8B0}"/>
    <cellStyle name="Currency 5 3 2 2 5 3" xfId="5893" xr:uid="{00000000-0005-0000-0000-0000A90C0000}"/>
    <cellStyle name="Currency 5 3 2 2 5 3 2" xfId="23666" xr:uid="{B9C07FA9-DA1B-4CA4-A81E-F80491EDFC56}"/>
    <cellStyle name="Currency 5 3 2 2 5 3 2 2" xfId="40560" xr:uid="{D2D441BF-1A4A-4491-8C57-2FFADA7283E8}"/>
    <cellStyle name="Currency 5 3 2 2 5 3 3" xfId="15219" xr:uid="{22D77B52-8FFC-4136-A59A-1A2B1609E23F}"/>
    <cellStyle name="Currency 5 3 2 2 5 3 4" xfId="32113" xr:uid="{F23877DA-40A8-4132-8884-EAB64C02701B}"/>
    <cellStyle name="Currency 5 3 2 2 5 4" xfId="19449" xr:uid="{07A4868D-1C0A-47D4-B9AC-55FA326E2BC2}"/>
    <cellStyle name="Currency 5 3 2 2 5 4 2" xfId="36343" xr:uid="{F7A2507E-59EF-4D87-B66B-1B132D90C757}"/>
    <cellStyle name="Currency 5 3 2 2 5 5" xfId="11002" xr:uid="{46DF6BF7-C271-474C-B491-05F6A1151129}"/>
    <cellStyle name="Currency 5 3 2 2 5 6" xfId="27896" xr:uid="{80349990-8D6E-4FA9-9771-071927D52EE4}"/>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2 2 2" xfId="26224" xr:uid="{8630F118-7521-4C0B-9FD3-8C556B22D2BC}"/>
    <cellStyle name="Currency 5 3 2 2 6 2 2 2 2" xfId="43118" xr:uid="{84F250F6-4DEF-4440-AFD6-68D0AC3845E4}"/>
    <cellStyle name="Currency 5 3 2 2 6 2 2 3" xfId="17777" xr:uid="{F19CF8F7-7DC6-43C3-82A0-1C34675C9E59}"/>
    <cellStyle name="Currency 5 3 2 2 6 2 2 4" xfId="34671" xr:uid="{C0600332-F525-4639-8067-1A2369071E67}"/>
    <cellStyle name="Currency 5 3 2 2 6 2 3" xfId="22007" xr:uid="{77697C8D-E3B5-4576-ADC2-F410E947D452}"/>
    <cellStyle name="Currency 5 3 2 2 6 2 3 2" xfId="38901" xr:uid="{3B1021AC-E327-4CA5-B426-E1956A4B88E9}"/>
    <cellStyle name="Currency 5 3 2 2 6 2 4" xfId="13560" xr:uid="{7488369E-E8B5-4397-A677-514F48F7C27F}"/>
    <cellStyle name="Currency 5 3 2 2 6 2 5" xfId="30454" xr:uid="{DA29A875-60D3-4047-82B6-A24FC86B053D}"/>
    <cellStyle name="Currency 5 3 2 2 6 3" xfId="6306" xr:uid="{00000000-0005-0000-0000-0000AD0C0000}"/>
    <cellStyle name="Currency 5 3 2 2 6 3 2" xfId="24079" xr:uid="{172B39A7-A2AD-4615-86FB-82D89718AEA9}"/>
    <cellStyle name="Currency 5 3 2 2 6 3 2 2" xfId="40973" xr:uid="{2043838F-C05E-4CB1-8E8E-F98F32329CEA}"/>
    <cellStyle name="Currency 5 3 2 2 6 3 3" xfId="15632" xr:uid="{94996475-6C53-4EA3-B5D5-96A602A03E16}"/>
    <cellStyle name="Currency 5 3 2 2 6 3 4" xfId="32526" xr:uid="{AEE07FC8-DA54-46E8-A69A-F39448100793}"/>
    <cellStyle name="Currency 5 3 2 2 6 4" xfId="19862" xr:uid="{2BE74153-848B-47AB-9458-91DCF1C7CCA0}"/>
    <cellStyle name="Currency 5 3 2 2 6 4 2" xfId="36756" xr:uid="{77BBA81B-E900-4761-902F-46AD48EE6744}"/>
    <cellStyle name="Currency 5 3 2 2 6 5" xfId="11415" xr:uid="{13E498F8-A241-4E36-A738-6A6E950BE2E8}"/>
    <cellStyle name="Currency 5 3 2 2 6 6" xfId="28309" xr:uid="{53B40006-91CA-44E5-92CC-2CA285021B79}"/>
    <cellStyle name="Currency 5 3 2 2 7" xfId="2435" xr:uid="{00000000-0005-0000-0000-0000AE0C0000}"/>
    <cellStyle name="Currency 5 3 2 2 7 2" xfId="6719" xr:uid="{00000000-0005-0000-0000-0000AF0C0000}"/>
    <cellStyle name="Currency 5 3 2 2 7 2 2" xfId="24492" xr:uid="{430DE9B8-A5A1-4CAF-9F4D-B4B12F7B3D95}"/>
    <cellStyle name="Currency 5 3 2 2 7 2 2 2" xfId="41386" xr:uid="{18F795F8-C92A-4D50-BE3B-EC36C6D76A08}"/>
    <cellStyle name="Currency 5 3 2 2 7 2 3" xfId="16045" xr:uid="{55AB11E3-2F90-4D1F-B8A7-26B059E07779}"/>
    <cellStyle name="Currency 5 3 2 2 7 2 4" xfId="32939" xr:uid="{EAD18E27-76F5-4444-9683-8396F590C895}"/>
    <cellStyle name="Currency 5 3 2 2 7 3" xfId="20275" xr:uid="{33B772CA-5502-4189-92D4-683124069A32}"/>
    <cellStyle name="Currency 5 3 2 2 7 3 2" xfId="37169" xr:uid="{6136E661-43F8-4412-BC30-7B251F755882}"/>
    <cellStyle name="Currency 5 3 2 2 7 4" xfId="11828" xr:uid="{98BF1EF4-F3E6-497D-8200-AA236A7EF95E}"/>
    <cellStyle name="Currency 5 3 2 2 7 5" xfId="28722" xr:uid="{3A07ED87-F997-4A6D-A63B-FEF61B3B4988}"/>
    <cellStyle name="Currency 5 3 2 2 8" xfId="2732" xr:uid="{00000000-0005-0000-0000-0000B00C0000}"/>
    <cellStyle name="Currency 5 3 2 2 9" xfId="2813" xr:uid="{00000000-0005-0000-0000-0000B10C0000}"/>
    <cellStyle name="Currency 5 3 2 2 9 2" xfId="7036" xr:uid="{00000000-0005-0000-0000-0000B20C0000}"/>
    <cellStyle name="Currency 5 3 2 2 9 2 2" xfId="24809" xr:uid="{2D02DAF8-49C2-4441-A85E-5ED0D26FCC3F}"/>
    <cellStyle name="Currency 5 3 2 2 9 2 2 2" xfId="41703" xr:uid="{C22290B3-B320-4A81-8A57-4D64CFE3B3F9}"/>
    <cellStyle name="Currency 5 3 2 2 9 2 3" xfId="16362" xr:uid="{45ACD4E0-3A48-4EEF-83E9-4B1BCE6BAA54}"/>
    <cellStyle name="Currency 5 3 2 2 9 2 4" xfId="33256" xr:uid="{50BEC46F-4B4C-417C-8D16-27DBA5A9C618}"/>
    <cellStyle name="Currency 5 3 2 2 9 3" xfId="20592" xr:uid="{7F317B4E-8FE2-4902-8C2B-8964E3F35775}"/>
    <cellStyle name="Currency 5 3 2 2 9 3 2" xfId="37486" xr:uid="{77B1A518-E7E8-4D5B-B765-17355EA1E9C7}"/>
    <cellStyle name="Currency 5 3 2 2 9 4" xfId="12145" xr:uid="{581B73DE-16C5-48D2-9B5F-B5D2474E1EBB}"/>
    <cellStyle name="Currency 5 3 2 2 9 5" xfId="29039" xr:uid="{8FE4BB5E-89CA-4D84-9125-B4E5627D10F0}"/>
    <cellStyle name="Currency 5 3 2 3" xfId="213" xr:uid="{00000000-0005-0000-0000-0000B30C0000}"/>
    <cellStyle name="Currency 5 3 2 3 10" xfId="9017" xr:uid="{A6213F8D-EE09-4095-B9BE-99C55DEE210F}"/>
    <cellStyle name="Currency 5 3 2 3 10 2" xfId="18211" xr:uid="{D6CAB5A5-0A9A-4D4F-9653-090F6E63F7B0}"/>
    <cellStyle name="Currency 5 3 2 3 10 3" xfId="35105" xr:uid="{B8E2E861-5923-4854-98A4-CA2AF2AED12C}"/>
    <cellStyle name="Currency 5 3 2 3 11" xfId="9764" xr:uid="{A94B34C5-8691-47BD-8726-9A9526370B59}"/>
    <cellStyle name="Currency 5 3 2 3 12" xfId="26658" xr:uid="{F4932EDE-1D81-4D6C-A170-93CD4F047297}"/>
    <cellStyle name="Currency 5 3 2 3 2" xfId="739" xr:uid="{00000000-0005-0000-0000-0000B40C0000}"/>
    <cellStyle name="Currency 5 3 2 3 2 2" xfId="2992" xr:uid="{00000000-0005-0000-0000-0000B50C0000}"/>
    <cellStyle name="Currency 5 3 2 3 2 2 2" xfId="7214" xr:uid="{00000000-0005-0000-0000-0000B60C0000}"/>
    <cellStyle name="Currency 5 3 2 3 2 2 2 2" xfId="24987" xr:uid="{B140E5A4-5A11-4269-B867-FD66EB10656C}"/>
    <cellStyle name="Currency 5 3 2 3 2 2 2 2 2" xfId="41881" xr:uid="{9F552116-663E-41E6-86C9-41666FF401B6}"/>
    <cellStyle name="Currency 5 3 2 3 2 2 2 3" xfId="16540" xr:uid="{F8B09268-CCCE-43B1-920A-78830E04ED5E}"/>
    <cellStyle name="Currency 5 3 2 3 2 2 2 4" xfId="33434" xr:uid="{60DBA9DD-2044-4C6C-A4B2-60BAD33161CA}"/>
    <cellStyle name="Currency 5 3 2 3 2 2 3" xfId="20770" xr:uid="{CE97847C-2D85-4F55-A2BA-36341E9B8A2A}"/>
    <cellStyle name="Currency 5 3 2 3 2 2 3 2" xfId="37664" xr:uid="{6EE4DB06-2CC7-4862-BE94-C4B344393A5C}"/>
    <cellStyle name="Currency 5 3 2 3 2 2 4" xfId="12323" xr:uid="{154707DE-0F8E-4145-92FA-1B4DE5920165}"/>
    <cellStyle name="Currency 5 3 2 3 2 2 5" xfId="29217" xr:uid="{2E8FF034-2607-4288-8ACC-512E6BC1BECA}"/>
    <cellStyle name="Currency 5 3 2 3 2 3" xfId="5069" xr:uid="{00000000-0005-0000-0000-0000B70C0000}"/>
    <cellStyle name="Currency 5 3 2 3 2 3 2" xfId="22842" xr:uid="{1FE1C57F-8AB8-44FA-A591-025166125FDF}"/>
    <cellStyle name="Currency 5 3 2 3 2 3 2 2" xfId="39736" xr:uid="{5925BA35-DB9D-436C-B040-E52BA7C503A5}"/>
    <cellStyle name="Currency 5 3 2 3 2 3 3" xfId="14395" xr:uid="{31C69846-E26A-4368-BC5E-4EF6854C5378}"/>
    <cellStyle name="Currency 5 3 2 3 2 3 4" xfId="31289" xr:uid="{AAD92613-E076-4A88-BAFE-9BDF51E2B184}"/>
    <cellStyle name="Currency 5 3 2 3 2 4" xfId="9442" xr:uid="{AE48BD1F-B5DA-4007-BBEE-128FE2FE74D7}"/>
    <cellStyle name="Currency 5 3 2 3 2 4 2" xfId="18625" xr:uid="{6CD4AB98-D1E5-432C-98D0-246824F45517}"/>
    <cellStyle name="Currency 5 3 2 3 2 4 3" xfId="35519" xr:uid="{B406F24E-87A5-4DF2-BBA3-1AB09F55F912}"/>
    <cellStyle name="Currency 5 3 2 3 2 5" xfId="10178" xr:uid="{2CD0690A-561E-47E4-9A1C-736C82AB2AA0}"/>
    <cellStyle name="Currency 5 3 2 3 2 6" xfId="27072" xr:uid="{F79D3886-1C0A-4961-A79C-CFE6B7D26394}"/>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2 2 2" xfId="25400" xr:uid="{410DA2AE-0D47-455A-A1CB-99B275AB750F}"/>
    <cellStyle name="Currency 5 3 2 3 3 2 2 2 2" xfId="42294" xr:uid="{0C46667C-775A-4A58-B5F3-6B857B582BD8}"/>
    <cellStyle name="Currency 5 3 2 3 3 2 2 3" xfId="16953" xr:uid="{D2608719-19C9-410A-B73B-C0042943F56A}"/>
    <cellStyle name="Currency 5 3 2 3 3 2 2 4" xfId="33847" xr:uid="{26CAED3D-106F-40E4-A884-00422F5142EA}"/>
    <cellStyle name="Currency 5 3 2 3 3 2 3" xfId="21183" xr:uid="{55CF323E-7D35-482B-BF27-2326F471EC0A}"/>
    <cellStyle name="Currency 5 3 2 3 3 2 3 2" xfId="38077" xr:uid="{025DB76D-162C-43E0-A8E6-486208D68840}"/>
    <cellStyle name="Currency 5 3 2 3 3 2 4" xfId="12736" xr:uid="{4FDEA85C-6612-4F40-B215-3F761E87C07A}"/>
    <cellStyle name="Currency 5 3 2 3 3 2 5" xfId="29630" xr:uid="{368D9EB3-8AF9-48A8-908D-15B1A71CD388}"/>
    <cellStyle name="Currency 5 3 2 3 3 3" xfId="5482" xr:uid="{00000000-0005-0000-0000-0000BB0C0000}"/>
    <cellStyle name="Currency 5 3 2 3 3 3 2" xfId="23255" xr:uid="{5602CBDB-C7BC-4BF1-A742-8BA90407DFDF}"/>
    <cellStyle name="Currency 5 3 2 3 3 3 2 2" xfId="40149" xr:uid="{6CC138A3-5FDC-44DB-86CC-9B7FDA4780C3}"/>
    <cellStyle name="Currency 5 3 2 3 3 3 3" xfId="14808" xr:uid="{A16659D5-3C22-4E47-A1E7-3ACC88446257}"/>
    <cellStyle name="Currency 5 3 2 3 3 3 4" xfId="31702" xr:uid="{73238E90-E225-4A82-8712-AD401D35355C}"/>
    <cellStyle name="Currency 5 3 2 3 3 4" xfId="19038" xr:uid="{C09DACBE-3FDB-481A-8076-6FB6C11D9C73}"/>
    <cellStyle name="Currency 5 3 2 3 3 4 2" xfId="35932" xr:uid="{9644FFEA-5A8D-4498-8DD7-24E4079FC38A}"/>
    <cellStyle name="Currency 5 3 2 3 3 5" xfId="10591" xr:uid="{A81FB7D8-D79E-4006-9491-AF2EF6DC909E}"/>
    <cellStyle name="Currency 5 3 2 3 3 6" xfId="27485" xr:uid="{16C280D2-3331-4E4E-8602-16559BFA6FA8}"/>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2 2 2" xfId="25813" xr:uid="{0136644C-3FBF-4719-ADB5-03E09F77B2D0}"/>
    <cellStyle name="Currency 5 3 2 3 4 2 2 2 2" xfId="42707" xr:uid="{BC701516-7D7D-44AC-B23B-AD5E1FA1410F}"/>
    <cellStyle name="Currency 5 3 2 3 4 2 2 3" xfId="17366" xr:uid="{F88305ED-BA9D-41C1-A1BB-279C5D0DECCA}"/>
    <cellStyle name="Currency 5 3 2 3 4 2 2 4" xfId="34260" xr:uid="{4CAA8E80-86D0-45B0-AE94-B223C2FB0608}"/>
    <cellStyle name="Currency 5 3 2 3 4 2 3" xfId="21596" xr:uid="{E2F98EA6-A238-4EDC-98A7-66D801CD1AA9}"/>
    <cellStyle name="Currency 5 3 2 3 4 2 3 2" xfId="38490" xr:uid="{72C202BA-6EA4-4823-94EB-DCD3803B6356}"/>
    <cellStyle name="Currency 5 3 2 3 4 2 4" xfId="13149" xr:uid="{77E3408D-B89D-4E09-924A-8665AB8BDF9F}"/>
    <cellStyle name="Currency 5 3 2 3 4 2 5" xfId="30043" xr:uid="{88F85646-871F-491E-A360-861402192FD8}"/>
    <cellStyle name="Currency 5 3 2 3 4 3" xfId="5895" xr:uid="{00000000-0005-0000-0000-0000BF0C0000}"/>
    <cellStyle name="Currency 5 3 2 3 4 3 2" xfId="23668" xr:uid="{1B4987CC-0291-4DBE-BFFD-29C74263D169}"/>
    <cellStyle name="Currency 5 3 2 3 4 3 2 2" xfId="40562" xr:uid="{8EC2E16C-6633-4639-B4F9-D03930A33F72}"/>
    <cellStyle name="Currency 5 3 2 3 4 3 3" xfId="15221" xr:uid="{ED690876-7158-4BC7-8C74-DC4E0B9AA769}"/>
    <cellStyle name="Currency 5 3 2 3 4 3 4" xfId="32115" xr:uid="{689C049F-E053-4EFB-B326-2E328F6F5863}"/>
    <cellStyle name="Currency 5 3 2 3 4 4" xfId="19451" xr:uid="{779DF7E5-B149-4F9B-B873-3FD8FB8A01F4}"/>
    <cellStyle name="Currency 5 3 2 3 4 4 2" xfId="36345" xr:uid="{5D60E6D3-E4C3-4381-8FFD-939DA2AD2B34}"/>
    <cellStyle name="Currency 5 3 2 3 4 5" xfId="11004" xr:uid="{E3F4317B-ADFA-4F5B-AE36-B40012B365BA}"/>
    <cellStyle name="Currency 5 3 2 3 4 6" xfId="27898" xr:uid="{E2C6E614-0E1C-4B20-B63A-204A72911BC8}"/>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2 2 2" xfId="26226" xr:uid="{DEB3F2CE-DFE6-4103-BDC8-A6E3719F9DA6}"/>
    <cellStyle name="Currency 5 3 2 3 5 2 2 2 2" xfId="43120" xr:uid="{B16740F4-FC50-4CCE-9E78-12D0CDE8F2F3}"/>
    <cellStyle name="Currency 5 3 2 3 5 2 2 3" xfId="17779" xr:uid="{316AC1AE-4DF6-4D35-AD6F-F6B2EB421C3A}"/>
    <cellStyle name="Currency 5 3 2 3 5 2 2 4" xfId="34673" xr:uid="{7E54DA8C-4FCC-41A7-9559-1C6475EA1327}"/>
    <cellStyle name="Currency 5 3 2 3 5 2 3" xfId="22009" xr:uid="{4C028E7E-0D41-4A04-BE79-5A3DC70E8FB1}"/>
    <cellStyle name="Currency 5 3 2 3 5 2 3 2" xfId="38903" xr:uid="{50242EAF-7A44-4DEC-876F-77ECDE40A01B}"/>
    <cellStyle name="Currency 5 3 2 3 5 2 4" xfId="13562" xr:uid="{0113B7A5-7A66-4FC2-972D-A69014E3A703}"/>
    <cellStyle name="Currency 5 3 2 3 5 2 5" xfId="30456" xr:uid="{EB0DAF33-3038-4926-B511-DCE48F9E5282}"/>
    <cellStyle name="Currency 5 3 2 3 5 3" xfId="6308" xr:uid="{00000000-0005-0000-0000-0000C30C0000}"/>
    <cellStyle name="Currency 5 3 2 3 5 3 2" xfId="24081" xr:uid="{12DACDFB-BC92-4046-AFE6-D8BFE28179F7}"/>
    <cellStyle name="Currency 5 3 2 3 5 3 2 2" xfId="40975" xr:uid="{B466AC26-5C14-404B-8DCC-40FB5E38A060}"/>
    <cellStyle name="Currency 5 3 2 3 5 3 3" xfId="15634" xr:uid="{450D9CAA-4280-4073-BDEC-F873B74F5FB9}"/>
    <cellStyle name="Currency 5 3 2 3 5 3 4" xfId="32528" xr:uid="{5854B0AB-3EF3-444A-B0CB-B53E80B650AD}"/>
    <cellStyle name="Currency 5 3 2 3 5 4" xfId="19864" xr:uid="{4580D22A-1203-4274-AB05-695275BD265B}"/>
    <cellStyle name="Currency 5 3 2 3 5 4 2" xfId="36758" xr:uid="{1AB15994-AC18-4AD4-BF4C-DA66348AA612}"/>
    <cellStyle name="Currency 5 3 2 3 5 5" xfId="11417" xr:uid="{3A582691-15B9-4AA6-A4A7-C24880760BA4}"/>
    <cellStyle name="Currency 5 3 2 3 5 6" xfId="28311" xr:uid="{7D05B549-3396-48A0-8EC6-FFC809F5A533}"/>
    <cellStyle name="Currency 5 3 2 3 6" xfId="2437" xr:uid="{00000000-0005-0000-0000-0000C40C0000}"/>
    <cellStyle name="Currency 5 3 2 3 6 2" xfId="6721" xr:uid="{00000000-0005-0000-0000-0000C50C0000}"/>
    <cellStyle name="Currency 5 3 2 3 6 2 2" xfId="24494" xr:uid="{A7730595-89E1-474A-8158-3F82C3AD0A3B}"/>
    <cellStyle name="Currency 5 3 2 3 6 2 2 2" xfId="41388" xr:uid="{79C4637C-4CA2-4BEA-A8C0-6E1AAD551501}"/>
    <cellStyle name="Currency 5 3 2 3 6 2 3" xfId="16047" xr:uid="{8B611E37-A575-4099-915E-AF005E8BD605}"/>
    <cellStyle name="Currency 5 3 2 3 6 2 4" xfId="32941" xr:uid="{434785BF-518C-462D-BA94-35FEC302CFB3}"/>
    <cellStyle name="Currency 5 3 2 3 6 3" xfId="20277" xr:uid="{E41B3C88-A9B9-4C8A-8D3D-41F9FA0D3E10}"/>
    <cellStyle name="Currency 5 3 2 3 6 3 2" xfId="37171" xr:uid="{7AC1C6DC-A772-4214-8D82-224144F0AB99}"/>
    <cellStyle name="Currency 5 3 2 3 6 4" xfId="11830" xr:uid="{0A63EB7E-9BC9-4451-BF56-F1D67987D5C4}"/>
    <cellStyle name="Currency 5 3 2 3 6 5" xfId="28724" xr:uid="{76F1F900-7A6A-46AC-A8C1-5F8631073C13}"/>
    <cellStyle name="Currency 5 3 2 3 7" xfId="2734" xr:uid="{00000000-0005-0000-0000-0000C60C0000}"/>
    <cellStyle name="Currency 5 3 2 3 8" xfId="2815" xr:uid="{00000000-0005-0000-0000-0000C70C0000}"/>
    <cellStyle name="Currency 5 3 2 3 8 2" xfId="7038" xr:uid="{00000000-0005-0000-0000-0000C80C0000}"/>
    <cellStyle name="Currency 5 3 2 3 8 2 2" xfId="24811" xr:uid="{5FB9022D-52CE-47C3-9DAE-4098F7226D77}"/>
    <cellStyle name="Currency 5 3 2 3 8 2 2 2" xfId="41705" xr:uid="{2492FEC8-B041-493B-9A1F-AE9408478EBD}"/>
    <cellStyle name="Currency 5 3 2 3 8 2 3" xfId="16364" xr:uid="{0E1E6FAE-40B8-4586-94E2-B1C3426A53D2}"/>
    <cellStyle name="Currency 5 3 2 3 8 2 4" xfId="33258" xr:uid="{D4DB6EB3-9D0B-4C1A-AB1A-B304CCFD16EF}"/>
    <cellStyle name="Currency 5 3 2 3 8 3" xfId="20594" xr:uid="{3B63EBFE-0650-4F71-A12D-46A28B484456}"/>
    <cellStyle name="Currency 5 3 2 3 8 3 2" xfId="37488" xr:uid="{ABC87D44-D2FC-4C02-B62F-1C2D7AD88380}"/>
    <cellStyle name="Currency 5 3 2 3 8 4" xfId="12147" xr:uid="{A7DB8A62-D99C-4629-B9B0-FC24232A0179}"/>
    <cellStyle name="Currency 5 3 2 3 8 5" xfId="29041" xr:uid="{BB5482E1-0A57-4B0B-9423-A62E312EE63E}"/>
    <cellStyle name="Currency 5 3 2 3 9" xfId="4655" xr:uid="{00000000-0005-0000-0000-0000C90C0000}"/>
    <cellStyle name="Currency 5 3 2 3 9 2" xfId="22428" xr:uid="{08E1A35F-A796-43FC-BF83-873E734C6EFA}"/>
    <cellStyle name="Currency 5 3 2 3 9 2 2" xfId="39322" xr:uid="{22265D86-2A36-4771-AD00-EAE2DC1F18DD}"/>
    <cellStyle name="Currency 5 3 2 3 9 3" xfId="13981" xr:uid="{76820EBD-634C-4DBC-B53D-EE40D2895C37}"/>
    <cellStyle name="Currency 5 3 2 3 9 4" xfId="30875" xr:uid="{28B4700B-24CA-4CEA-AB15-054EF4AAA500}"/>
    <cellStyle name="Currency 5 3 2 4" xfId="736" xr:uid="{00000000-0005-0000-0000-0000CA0C0000}"/>
    <cellStyle name="Currency 5 3 2 4 2" xfId="2989" xr:uid="{00000000-0005-0000-0000-0000CB0C0000}"/>
    <cellStyle name="Currency 5 3 2 4 2 2" xfId="7211" xr:uid="{00000000-0005-0000-0000-0000CC0C0000}"/>
    <cellStyle name="Currency 5 3 2 4 2 2 2" xfId="24984" xr:uid="{E0A9A274-FAE2-4654-9F6C-631D67A287FD}"/>
    <cellStyle name="Currency 5 3 2 4 2 2 2 2" xfId="41878" xr:uid="{AD84DD03-9712-4556-8B81-7E6FDDF6FC88}"/>
    <cellStyle name="Currency 5 3 2 4 2 2 3" xfId="16537" xr:uid="{1DDFD382-C6F9-46D2-A5F0-CC46F29DBA95}"/>
    <cellStyle name="Currency 5 3 2 4 2 2 4" xfId="33431" xr:uid="{F2BEC8F3-B402-4428-A80E-EF2F8C4F102C}"/>
    <cellStyle name="Currency 5 3 2 4 2 3" xfId="20767" xr:uid="{93863B9B-F3A7-4C46-9E84-8CD27CB4E645}"/>
    <cellStyle name="Currency 5 3 2 4 2 3 2" xfId="37661" xr:uid="{03AB2A21-CBA0-4C60-BA75-583B192A2E24}"/>
    <cellStyle name="Currency 5 3 2 4 2 4" xfId="12320" xr:uid="{8344B3D6-9628-42A4-826C-ABDE8EA0ABB7}"/>
    <cellStyle name="Currency 5 3 2 4 2 5" xfId="29214" xr:uid="{31B07AEE-58A3-498B-87CD-E70965B6C781}"/>
    <cellStyle name="Currency 5 3 2 4 3" xfId="5066" xr:uid="{00000000-0005-0000-0000-0000CD0C0000}"/>
    <cellStyle name="Currency 5 3 2 4 3 2" xfId="22839" xr:uid="{B69C5DB4-D2D9-407E-B550-DFAD1808A7A4}"/>
    <cellStyle name="Currency 5 3 2 4 3 2 2" xfId="39733" xr:uid="{7B404E04-765D-494E-B53E-3E621A73A132}"/>
    <cellStyle name="Currency 5 3 2 4 3 3" xfId="14392" xr:uid="{9A73B617-B772-4325-AC13-AB34CD5391BF}"/>
    <cellStyle name="Currency 5 3 2 4 3 4" xfId="31286" xr:uid="{7D362B9D-C39A-4EBB-94CD-BE5B99367C1E}"/>
    <cellStyle name="Currency 5 3 2 4 4" xfId="9235" xr:uid="{F2FD4117-6EF1-4663-964A-AB5B57E6F469}"/>
    <cellStyle name="Currency 5 3 2 4 4 2" xfId="18622" xr:uid="{A5C3BA46-8044-44A4-85F3-5A961DE47B4D}"/>
    <cellStyle name="Currency 5 3 2 4 4 3" xfId="35516" xr:uid="{30C9E376-5FBF-4065-BBFF-9F84A3CEA1C3}"/>
    <cellStyle name="Currency 5 3 2 4 5" xfId="10175" xr:uid="{8444A17B-6045-4BF1-AA1C-9A3008BA3BDB}"/>
    <cellStyle name="Currency 5 3 2 4 6" xfId="27069" xr:uid="{AA2CE360-19D3-426A-967D-E51CFFE5ABF2}"/>
    <cellStyle name="Currency 5 3 2 5" xfId="1171" xr:uid="{00000000-0005-0000-0000-0000CE0C0000}"/>
    <cellStyle name="Currency 5 3 2 5 2" xfId="3402" xr:uid="{00000000-0005-0000-0000-0000CF0C0000}"/>
    <cellStyle name="Currency 5 3 2 5 2 2" xfId="7624" xr:uid="{00000000-0005-0000-0000-0000D00C0000}"/>
    <cellStyle name="Currency 5 3 2 5 2 2 2" xfId="25397" xr:uid="{F2263D62-3914-4B49-BA95-19F636CA5231}"/>
    <cellStyle name="Currency 5 3 2 5 2 2 2 2" xfId="42291" xr:uid="{F5CD4183-8B5F-43D1-8FE8-6DEA7D9A495A}"/>
    <cellStyle name="Currency 5 3 2 5 2 2 3" xfId="16950" xr:uid="{568611C6-7D11-4401-B335-95258A179B5C}"/>
    <cellStyle name="Currency 5 3 2 5 2 2 4" xfId="33844" xr:uid="{C4E80602-5904-4AA9-9EE9-50CD58D08DAA}"/>
    <cellStyle name="Currency 5 3 2 5 2 3" xfId="21180" xr:uid="{570D9A34-749C-40AA-B3EA-18DA0E18C31A}"/>
    <cellStyle name="Currency 5 3 2 5 2 3 2" xfId="38074" xr:uid="{96E35D59-776F-48C0-BFF3-E215A556067F}"/>
    <cellStyle name="Currency 5 3 2 5 2 4" xfId="12733" xr:uid="{2501DDFD-6DBB-4655-BAF6-93B1A67E8EC3}"/>
    <cellStyle name="Currency 5 3 2 5 2 5" xfId="29627" xr:uid="{141E7004-D483-423B-9EF5-064E826DE073}"/>
    <cellStyle name="Currency 5 3 2 5 3" xfId="5479" xr:uid="{00000000-0005-0000-0000-0000D10C0000}"/>
    <cellStyle name="Currency 5 3 2 5 3 2" xfId="23252" xr:uid="{31F6FB53-DDE2-4714-B211-B65F2A0F82B9}"/>
    <cellStyle name="Currency 5 3 2 5 3 2 2" xfId="40146" xr:uid="{412327EF-0774-46BC-ABED-1D199840B018}"/>
    <cellStyle name="Currency 5 3 2 5 3 3" xfId="14805" xr:uid="{0BEFA8AC-11FE-449D-805A-FD2E87D0E77A}"/>
    <cellStyle name="Currency 5 3 2 5 3 4" xfId="31699" xr:uid="{BCE2BDA4-5C69-4FAF-BD88-61AE8F25D88D}"/>
    <cellStyle name="Currency 5 3 2 5 4" xfId="19035" xr:uid="{88EE5126-CEE8-41BF-A9F3-D95DF6E70113}"/>
    <cellStyle name="Currency 5 3 2 5 4 2" xfId="35929" xr:uid="{820775A8-C299-473E-BC60-B5C93FF2EFA4}"/>
    <cellStyle name="Currency 5 3 2 5 5" xfId="10588" xr:uid="{55AC07B4-72BC-41EF-8E5B-1B5E4C3B9BF5}"/>
    <cellStyle name="Currency 5 3 2 5 6" xfId="27482" xr:uid="{DE5E8E4B-562D-42F2-AFBA-6A591CCD0E6C}"/>
    <cellStyle name="Currency 5 3 2 6" xfId="1585" xr:uid="{00000000-0005-0000-0000-0000D20C0000}"/>
    <cellStyle name="Currency 5 3 2 6 2" xfId="3815" xr:uid="{00000000-0005-0000-0000-0000D30C0000}"/>
    <cellStyle name="Currency 5 3 2 6 2 2" xfId="8037" xr:uid="{00000000-0005-0000-0000-0000D40C0000}"/>
    <cellStyle name="Currency 5 3 2 6 2 2 2" xfId="25810" xr:uid="{F3B8E9E4-813E-4F59-AC74-68AF9FAA3DD2}"/>
    <cellStyle name="Currency 5 3 2 6 2 2 2 2" xfId="42704" xr:uid="{ADFB9CF1-57BC-47E9-84F4-26E7216B2D1E}"/>
    <cellStyle name="Currency 5 3 2 6 2 2 3" xfId="17363" xr:uid="{FE637C72-1DE8-4601-A647-13798FA09D36}"/>
    <cellStyle name="Currency 5 3 2 6 2 2 4" xfId="34257" xr:uid="{39D9963D-D23D-430E-B94D-296846F88595}"/>
    <cellStyle name="Currency 5 3 2 6 2 3" xfId="21593" xr:uid="{FA018A62-E198-4F76-9979-29565EF1711B}"/>
    <cellStyle name="Currency 5 3 2 6 2 3 2" xfId="38487" xr:uid="{49320D61-BEFB-4340-95EF-C98976572482}"/>
    <cellStyle name="Currency 5 3 2 6 2 4" xfId="13146" xr:uid="{7554A635-922C-4511-9FCB-83E56E6A5285}"/>
    <cellStyle name="Currency 5 3 2 6 2 5" xfId="30040" xr:uid="{48D2FF48-FE60-4A47-93E0-F8493064B4FA}"/>
    <cellStyle name="Currency 5 3 2 6 3" xfId="5892" xr:uid="{00000000-0005-0000-0000-0000D50C0000}"/>
    <cellStyle name="Currency 5 3 2 6 3 2" xfId="23665" xr:uid="{2620E84D-856B-45B5-A431-0BAE5EA08DB9}"/>
    <cellStyle name="Currency 5 3 2 6 3 2 2" xfId="40559" xr:uid="{1ED82F3A-6135-48C2-AE4B-191185C6FFBA}"/>
    <cellStyle name="Currency 5 3 2 6 3 3" xfId="15218" xr:uid="{32FA536A-253C-4E8A-B420-BA986FE6248C}"/>
    <cellStyle name="Currency 5 3 2 6 3 4" xfId="32112" xr:uid="{40675B0F-472D-49CA-990E-E833949AD495}"/>
    <cellStyle name="Currency 5 3 2 6 4" xfId="19448" xr:uid="{3591B885-6928-465E-B988-77D3D42AD41B}"/>
    <cellStyle name="Currency 5 3 2 6 4 2" xfId="36342" xr:uid="{FDA8278B-F067-4EBB-BD2D-56EA83C961CF}"/>
    <cellStyle name="Currency 5 3 2 6 5" xfId="11001" xr:uid="{DB0CB60C-AEBB-4C14-B697-8272ADC9F993}"/>
    <cellStyle name="Currency 5 3 2 6 6" xfId="27895" xr:uid="{302ACB37-474C-4694-B91B-C75359AC0348}"/>
    <cellStyle name="Currency 5 3 2 7" xfId="1999" xr:uid="{00000000-0005-0000-0000-0000D60C0000}"/>
    <cellStyle name="Currency 5 3 2 7 2" xfId="4228" xr:uid="{00000000-0005-0000-0000-0000D70C0000}"/>
    <cellStyle name="Currency 5 3 2 7 2 2" xfId="8450" xr:uid="{00000000-0005-0000-0000-0000D80C0000}"/>
    <cellStyle name="Currency 5 3 2 7 2 2 2" xfId="26223" xr:uid="{9BA39F3E-0E53-4120-8D2E-AFD321A14F7B}"/>
    <cellStyle name="Currency 5 3 2 7 2 2 2 2" xfId="43117" xr:uid="{954F4FD3-C840-4D8C-961A-2481E2B4221F}"/>
    <cellStyle name="Currency 5 3 2 7 2 2 3" xfId="17776" xr:uid="{B7C4E66B-9503-4F23-9647-CC2E528585BC}"/>
    <cellStyle name="Currency 5 3 2 7 2 2 4" xfId="34670" xr:uid="{A302B124-3605-4DE5-94C7-D13E2D01BA5D}"/>
    <cellStyle name="Currency 5 3 2 7 2 3" xfId="22006" xr:uid="{E8667442-CE94-4B1F-BD3D-0186D7212F6E}"/>
    <cellStyle name="Currency 5 3 2 7 2 3 2" xfId="38900" xr:uid="{D09E5875-0BCA-4D80-B399-F1BB0B463305}"/>
    <cellStyle name="Currency 5 3 2 7 2 4" xfId="13559" xr:uid="{0EF60A5F-08E0-43E8-8FAD-A3FE1DF71BB1}"/>
    <cellStyle name="Currency 5 3 2 7 2 5" xfId="30453" xr:uid="{599A6DA1-6C5D-40C2-A2D9-AFF19D75EF2E}"/>
    <cellStyle name="Currency 5 3 2 7 3" xfId="6305" xr:uid="{00000000-0005-0000-0000-0000D90C0000}"/>
    <cellStyle name="Currency 5 3 2 7 3 2" xfId="24078" xr:uid="{FC294BAE-4B31-4177-B81D-85D6464E71B5}"/>
    <cellStyle name="Currency 5 3 2 7 3 2 2" xfId="40972" xr:uid="{6546B8D3-99C9-4179-9ECD-847C87986F9D}"/>
    <cellStyle name="Currency 5 3 2 7 3 3" xfId="15631" xr:uid="{0A7DFA6F-10D1-4E0E-920E-12384DD31F03}"/>
    <cellStyle name="Currency 5 3 2 7 3 4" xfId="32525" xr:uid="{04E0A3B5-EE21-44C9-9FDB-51D56AA6DAA3}"/>
    <cellStyle name="Currency 5 3 2 7 4" xfId="19861" xr:uid="{BB68C97A-E5CE-4715-9459-8A5EDDEA666E}"/>
    <cellStyle name="Currency 5 3 2 7 4 2" xfId="36755" xr:uid="{3E032FFF-5569-4B6B-A414-046C3291F14E}"/>
    <cellStyle name="Currency 5 3 2 7 5" xfId="11414" xr:uid="{6AEED26D-E756-4C5F-8511-AFF45CB197E4}"/>
    <cellStyle name="Currency 5 3 2 7 6" xfId="28308" xr:uid="{DC6E89F8-9F70-4C58-A8EB-D31FE7CD4A4C}"/>
    <cellStyle name="Currency 5 3 2 8" xfId="2434" xr:uid="{00000000-0005-0000-0000-0000DA0C0000}"/>
    <cellStyle name="Currency 5 3 2 8 2" xfId="6718" xr:uid="{00000000-0005-0000-0000-0000DB0C0000}"/>
    <cellStyle name="Currency 5 3 2 8 2 2" xfId="24491" xr:uid="{A81E7FCF-6F3A-4E0D-8EF5-ABD71105ADE5}"/>
    <cellStyle name="Currency 5 3 2 8 2 2 2" xfId="41385" xr:uid="{CD6116BF-E58A-4CBD-A8A9-7189F23B0C8A}"/>
    <cellStyle name="Currency 5 3 2 8 2 3" xfId="16044" xr:uid="{0B56A712-8DA8-4A17-86F3-AEC753A650E9}"/>
    <cellStyle name="Currency 5 3 2 8 2 4" xfId="32938" xr:uid="{22167D4A-EEAE-4F1D-94FA-44811E41D2AD}"/>
    <cellStyle name="Currency 5 3 2 8 3" xfId="20274" xr:uid="{1EC96E0C-2C29-4534-945C-A030DC745E83}"/>
    <cellStyle name="Currency 5 3 2 8 3 2" xfId="37168" xr:uid="{857C73A5-7A21-4D9F-B155-9F6F36E475D5}"/>
    <cellStyle name="Currency 5 3 2 8 4" xfId="11827" xr:uid="{018298FA-A903-476F-9A69-85BCD85F68EA}"/>
    <cellStyle name="Currency 5 3 2 8 5" xfId="28721" xr:uid="{42AB897E-247E-47D1-BE66-C019B431A6C7}"/>
    <cellStyle name="Currency 5 3 2 9" xfId="2731" xr:uid="{00000000-0005-0000-0000-0000DC0C0000}"/>
    <cellStyle name="Currency 5 3 3" xfId="214" xr:uid="{00000000-0005-0000-0000-0000DD0C0000}"/>
    <cellStyle name="Currency 5 3 3 10" xfId="4656" xr:uid="{00000000-0005-0000-0000-0000DE0C0000}"/>
    <cellStyle name="Currency 5 3 3 10 2" xfId="22429" xr:uid="{AC32E265-4136-4D73-AF67-40C90B707764}"/>
    <cellStyle name="Currency 5 3 3 10 2 2" xfId="39323" xr:uid="{4FC58A7F-FB11-4D9C-A0E1-EBA680913212}"/>
    <cellStyle name="Currency 5 3 3 10 3" xfId="13982" xr:uid="{68590108-A7C1-42AE-B860-B2DAD13A4471}"/>
    <cellStyle name="Currency 5 3 3 10 4" xfId="30876" xr:uid="{BDF3B887-D7CE-471B-9E2F-32CDB375FCEB}"/>
    <cellStyle name="Currency 5 3 3 11" xfId="8882" xr:uid="{A86B3ED4-B552-42F3-9E77-C6763F86EEE6}"/>
    <cellStyle name="Currency 5 3 3 11 2" xfId="18212" xr:uid="{6011A682-63E7-45FB-A8F9-69B1E71EA7C4}"/>
    <cellStyle name="Currency 5 3 3 11 3" xfId="35106" xr:uid="{150BE8A6-DFD9-46DF-8909-E778E1AA1A18}"/>
    <cellStyle name="Currency 5 3 3 12" xfId="9765" xr:uid="{2187B29D-4C17-4067-AAAC-AC0965EA2353}"/>
    <cellStyle name="Currency 5 3 3 13" xfId="26659" xr:uid="{F8EEA1CD-AA28-4CCC-A815-6BAF17A5F3ED}"/>
    <cellStyle name="Currency 5 3 3 2" xfId="215" xr:uid="{00000000-0005-0000-0000-0000DF0C0000}"/>
    <cellStyle name="Currency 5 3 3 2 10" xfId="9089" xr:uid="{7CFB8DCC-02AE-4CC5-8E10-3D33399ECECE}"/>
    <cellStyle name="Currency 5 3 3 2 10 2" xfId="18213" xr:uid="{952D0679-BA77-4627-B077-91CDC60C8425}"/>
    <cellStyle name="Currency 5 3 3 2 10 3" xfId="35107" xr:uid="{FDFBD970-2466-4FBF-9560-8D96C2FAA980}"/>
    <cellStyle name="Currency 5 3 3 2 11" xfId="9766" xr:uid="{34D25EAE-BAB4-45F4-8A0D-27A543F22BB4}"/>
    <cellStyle name="Currency 5 3 3 2 12" xfId="26660" xr:uid="{2F527527-BCED-4A9C-87B8-9405F577177C}"/>
    <cellStyle name="Currency 5 3 3 2 2" xfId="741" xr:uid="{00000000-0005-0000-0000-0000E00C0000}"/>
    <cellStyle name="Currency 5 3 3 2 2 2" xfId="2994" xr:uid="{00000000-0005-0000-0000-0000E10C0000}"/>
    <cellStyle name="Currency 5 3 3 2 2 2 2" xfId="7216" xr:uid="{00000000-0005-0000-0000-0000E20C0000}"/>
    <cellStyle name="Currency 5 3 3 2 2 2 2 2" xfId="24989" xr:uid="{2A334275-0759-4BE8-94EC-9A120E950019}"/>
    <cellStyle name="Currency 5 3 3 2 2 2 2 2 2" xfId="41883" xr:uid="{8568D68A-4B38-4B69-9010-79EBCD8493F8}"/>
    <cellStyle name="Currency 5 3 3 2 2 2 2 3" xfId="16542" xr:uid="{84B87B89-D699-4813-81A3-AB29FBD10D0E}"/>
    <cellStyle name="Currency 5 3 3 2 2 2 2 4" xfId="33436" xr:uid="{82CEE795-0573-4F23-A1B9-90F8B0E51785}"/>
    <cellStyle name="Currency 5 3 3 2 2 2 3" xfId="20772" xr:uid="{77A052FC-D207-4231-A7A3-E3C0F7C4E650}"/>
    <cellStyle name="Currency 5 3 3 2 2 2 3 2" xfId="37666" xr:uid="{7A3E906F-43FE-4F55-9F5F-BADDAEC3156A}"/>
    <cellStyle name="Currency 5 3 3 2 2 2 4" xfId="12325" xr:uid="{227ABC34-BD86-4367-AFD4-E3E0A9BC1FCD}"/>
    <cellStyle name="Currency 5 3 3 2 2 2 5" xfId="29219" xr:uid="{A9FBAD6B-7DB9-42D5-9735-4A56B647E14B}"/>
    <cellStyle name="Currency 5 3 3 2 2 3" xfId="5071" xr:uid="{00000000-0005-0000-0000-0000E30C0000}"/>
    <cellStyle name="Currency 5 3 3 2 2 3 2" xfId="22844" xr:uid="{918921D1-01F9-4787-9989-3018DD9A2A8B}"/>
    <cellStyle name="Currency 5 3 3 2 2 3 2 2" xfId="39738" xr:uid="{07F12865-3CFE-4042-99AC-E8FBCA821FD7}"/>
    <cellStyle name="Currency 5 3 3 2 2 3 3" xfId="14397" xr:uid="{161503C9-C7BB-42D8-83D7-CAD4E2CB5B55}"/>
    <cellStyle name="Currency 5 3 3 2 2 3 4" xfId="31291" xr:uid="{FDC78BF1-5830-4D0D-B3F3-67555107EA47}"/>
    <cellStyle name="Currency 5 3 3 2 2 4" xfId="9514" xr:uid="{9A504F43-6423-4200-B7AF-F17B65B2005C}"/>
    <cellStyle name="Currency 5 3 3 2 2 4 2" xfId="18627" xr:uid="{A71F8141-4F81-4E2C-8698-C4B79C3164E3}"/>
    <cellStyle name="Currency 5 3 3 2 2 4 3" xfId="35521" xr:uid="{3F2BC8FE-1146-41AA-BB97-1FEEDDE10548}"/>
    <cellStyle name="Currency 5 3 3 2 2 5" xfId="10180" xr:uid="{8E1D42AE-1502-458F-854E-390A0D4D2B63}"/>
    <cellStyle name="Currency 5 3 3 2 2 6" xfId="27074" xr:uid="{93A80207-7D2D-471B-8D9E-DBC32E4D67F7}"/>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2 2 2" xfId="25402" xr:uid="{A94F69E6-86F7-47A4-AAF9-907D74F7E168}"/>
    <cellStyle name="Currency 5 3 3 2 3 2 2 2 2" xfId="42296" xr:uid="{A60F5333-3E02-48A1-AA83-D1470516DF56}"/>
    <cellStyle name="Currency 5 3 3 2 3 2 2 3" xfId="16955" xr:uid="{0A56C3A9-AEBF-4FB0-B793-D15494AE3BEF}"/>
    <cellStyle name="Currency 5 3 3 2 3 2 2 4" xfId="33849" xr:uid="{43D91219-EB39-40EF-87AB-190367E300F3}"/>
    <cellStyle name="Currency 5 3 3 2 3 2 3" xfId="21185" xr:uid="{2BEAAC9C-4A48-4F0E-80DC-46EA2038E429}"/>
    <cellStyle name="Currency 5 3 3 2 3 2 3 2" xfId="38079" xr:uid="{13E907E8-EF57-4BC0-88FB-40910B93F503}"/>
    <cellStyle name="Currency 5 3 3 2 3 2 4" xfId="12738" xr:uid="{3854712D-E881-4AF2-9693-BAF35EC10C50}"/>
    <cellStyle name="Currency 5 3 3 2 3 2 5" xfId="29632" xr:uid="{40012121-DE61-4D4F-8F05-47047C6C182E}"/>
    <cellStyle name="Currency 5 3 3 2 3 3" xfId="5484" xr:uid="{00000000-0005-0000-0000-0000E70C0000}"/>
    <cellStyle name="Currency 5 3 3 2 3 3 2" xfId="23257" xr:uid="{BB1FB94C-1F0D-47D1-BCAB-14E873A349B3}"/>
    <cellStyle name="Currency 5 3 3 2 3 3 2 2" xfId="40151" xr:uid="{69C7DE4C-299B-45E5-AF45-B8EDB6550F27}"/>
    <cellStyle name="Currency 5 3 3 2 3 3 3" xfId="14810" xr:uid="{479653C0-30D8-4069-98E2-B689CED5DFFF}"/>
    <cellStyle name="Currency 5 3 3 2 3 3 4" xfId="31704" xr:uid="{BDC66795-D4B7-42A3-A386-156387037C24}"/>
    <cellStyle name="Currency 5 3 3 2 3 4" xfId="19040" xr:uid="{C93B62A9-A7BF-4354-BE2C-EF14EB32C387}"/>
    <cellStyle name="Currency 5 3 3 2 3 4 2" xfId="35934" xr:uid="{1B4B6E43-AB6A-47B7-9E70-25D7DB98DA12}"/>
    <cellStyle name="Currency 5 3 3 2 3 5" xfId="10593" xr:uid="{DF6E55EB-3A7B-4AC7-B31E-596E630BD717}"/>
    <cellStyle name="Currency 5 3 3 2 3 6" xfId="27487" xr:uid="{52F13385-2865-482D-967D-83DDFE7F8385}"/>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2 2 2" xfId="25815" xr:uid="{1FFC6639-43F3-427E-BF06-04E86F41775E}"/>
    <cellStyle name="Currency 5 3 3 2 4 2 2 2 2" xfId="42709" xr:uid="{F46C1F26-8E85-4C5F-9B31-3D4C424608DB}"/>
    <cellStyle name="Currency 5 3 3 2 4 2 2 3" xfId="17368" xr:uid="{2DF78022-38D1-4CDA-AD1E-4011D1912F00}"/>
    <cellStyle name="Currency 5 3 3 2 4 2 2 4" xfId="34262" xr:uid="{5912993E-058B-46FC-8C0A-04DADC5AF90A}"/>
    <cellStyle name="Currency 5 3 3 2 4 2 3" xfId="21598" xr:uid="{D3F40411-AB04-4017-B4B2-87ADDCC63A32}"/>
    <cellStyle name="Currency 5 3 3 2 4 2 3 2" xfId="38492" xr:uid="{6DB85A8B-0012-4B3B-9BB4-1166C924DF50}"/>
    <cellStyle name="Currency 5 3 3 2 4 2 4" xfId="13151" xr:uid="{32198464-5742-4EB1-B0DF-428FD1061F85}"/>
    <cellStyle name="Currency 5 3 3 2 4 2 5" xfId="30045" xr:uid="{638B1247-3B74-4C2C-87C8-09954E9005BF}"/>
    <cellStyle name="Currency 5 3 3 2 4 3" xfId="5897" xr:uid="{00000000-0005-0000-0000-0000EB0C0000}"/>
    <cellStyle name="Currency 5 3 3 2 4 3 2" xfId="23670" xr:uid="{697EC535-AB0D-4699-9FC0-5C92384F8587}"/>
    <cellStyle name="Currency 5 3 3 2 4 3 2 2" xfId="40564" xr:uid="{7AD9CFA0-EC29-4C91-BE58-70B3A79176E7}"/>
    <cellStyle name="Currency 5 3 3 2 4 3 3" xfId="15223" xr:uid="{DCEBA53B-1EAE-4730-8EF2-EF6E28D7D10C}"/>
    <cellStyle name="Currency 5 3 3 2 4 3 4" xfId="32117" xr:uid="{1A53C26F-B2C8-4EC7-B1C0-A5AF8E275808}"/>
    <cellStyle name="Currency 5 3 3 2 4 4" xfId="19453" xr:uid="{DC2C3E11-00E0-4FA2-BC1D-CE256E4DDA2C}"/>
    <cellStyle name="Currency 5 3 3 2 4 4 2" xfId="36347" xr:uid="{D8DA29C1-73A2-40F1-AFFE-E69C8E8119A5}"/>
    <cellStyle name="Currency 5 3 3 2 4 5" xfId="11006" xr:uid="{E8E40AF1-D386-4632-9061-F37808FE3D64}"/>
    <cellStyle name="Currency 5 3 3 2 4 6" xfId="27900" xr:uid="{1EEEF49F-2D6B-4D11-BA53-89B2113985AF}"/>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2 2 2" xfId="26228" xr:uid="{96B0AD50-B3B3-4421-9590-9FD6E3CBA474}"/>
    <cellStyle name="Currency 5 3 3 2 5 2 2 2 2" xfId="43122" xr:uid="{65A38DDF-4B41-4CE1-AD9B-3924A351A984}"/>
    <cellStyle name="Currency 5 3 3 2 5 2 2 3" xfId="17781" xr:uid="{DC3510D4-0335-4D04-BA18-42C0376270D5}"/>
    <cellStyle name="Currency 5 3 3 2 5 2 2 4" xfId="34675" xr:uid="{BB551A50-0700-4CF8-84EF-067BDCB0D2B2}"/>
    <cellStyle name="Currency 5 3 3 2 5 2 3" xfId="22011" xr:uid="{9B78B1FA-633B-4146-94DE-99E2878D591F}"/>
    <cellStyle name="Currency 5 3 3 2 5 2 3 2" xfId="38905" xr:uid="{3BDC0E14-7A20-4358-95F5-FF1AC980089E}"/>
    <cellStyle name="Currency 5 3 3 2 5 2 4" xfId="13564" xr:uid="{2386D35A-8A30-4DFD-9925-680ADCD9F224}"/>
    <cellStyle name="Currency 5 3 3 2 5 2 5" xfId="30458" xr:uid="{72DA6ABB-9552-4642-ACC9-852D1E5EA979}"/>
    <cellStyle name="Currency 5 3 3 2 5 3" xfId="6310" xr:uid="{00000000-0005-0000-0000-0000EF0C0000}"/>
    <cellStyle name="Currency 5 3 3 2 5 3 2" xfId="24083" xr:uid="{87388F4A-B6BC-4CDB-9594-5A592955EAAB}"/>
    <cellStyle name="Currency 5 3 3 2 5 3 2 2" xfId="40977" xr:uid="{1ABDC80A-6101-4BAE-9473-F8565425D898}"/>
    <cellStyle name="Currency 5 3 3 2 5 3 3" xfId="15636" xr:uid="{AAB3447D-4F8D-44EB-8867-E298C3873106}"/>
    <cellStyle name="Currency 5 3 3 2 5 3 4" xfId="32530" xr:uid="{F2983048-B8A0-400C-9741-36BB8C95D28E}"/>
    <cellStyle name="Currency 5 3 3 2 5 4" xfId="19866" xr:uid="{CA74FD90-4039-48BC-BF2C-0D591F6CB849}"/>
    <cellStyle name="Currency 5 3 3 2 5 4 2" xfId="36760" xr:uid="{A01EA923-D937-42FD-AFA3-66707412FBFB}"/>
    <cellStyle name="Currency 5 3 3 2 5 5" xfId="11419" xr:uid="{6593A2F6-5599-4BD5-ABAB-241099B25D56}"/>
    <cellStyle name="Currency 5 3 3 2 5 6" xfId="28313" xr:uid="{EA205422-8162-4A3A-B7B8-F9F1EE997DDC}"/>
    <cellStyle name="Currency 5 3 3 2 6" xfId="2439" xr:uid="{00000000-0005-0000-0000-0000F00C0000}"/>
    <cellStyle name="Currency 5 3 3 2 6 2" xfId="6723" xr:uid="{00000000-0005-0000-0000-0000F10C0000}"/>
    <cellStyle name="Currency 5 3 3 2 6 2 2" xfId="24496" xr:uid="{34A152E2-3DA7-4443-A12E-744D7F12ACFD}"/>
    <cellStyle name="Currency 5 3 3 2 6 2 2 2" xfId="41390" xr:uid="{D0508533-9E62-4E04-8FE7-F660955C3BFF}"/>
    <cellStyle name="Currency 5 3 3 2 6 2 3" xfId="16049" xr:uid="{68D70EF7-44FA-4DF0-B877-43E9E9DD7BC8}"/>
    <cellStyle name="Currency 5 3 3 2 6 2 4" xfId="32943" xr:uid="{34B4D7D9-33B0-42C0-8335-26B60B52B028}"/>
    <cellStyle name="Currency 5 3 3 2 6 3" xfId="20279" xr:uid="{B3FA36D2-3088-4A17-A714-6D43511B7C7D}"/>
    <cellStyle name="Currency 5 3 3 2 6 3 2" xfId="37173" xr:uid="{D417DB00-F72F-41CC-8977-52F936D8FFCC}"/>
    <cellStyle name="Currency 5 3 3 2 6 4" xfId="11832" xr:uid="{8DAC147F-13D4-4932-9D7E-8128DD0E187E}"/>
    <cellStyle name="Currency 5 3 3 2 6 5" xfId="28726" xr:uid="{C23E97F9-3064-4ECC-8C81-6A9544BB3344}"/>
    <cellStyle name="Currency 5 3 3 2 7" xfId="2736" xr:uid="{00000000-0005-0000-0000-0000F20C0000}"/>
    <cellStyle name="Currency 5 3 3 2 8" xfId="2817" xr:uid="{00000000-0005-0000-0000-0000F30C0000}"/>
    <cellStyle name="Currency 5 3 3 2 8 2" xfId="7040" xr:uid="{00000000-0005-0000-0000-0000F40C0000}"/>
    <cellStyle name="Currency 5 3 3 2 8 2 2" xfId="24813" xr:uid="{EA72051C-70F8-4108-BAE4-77C436E18765}"/>
    <cellStyle name="Currency 5 3 3 2 8 2 2 2" xfId="41707" xr:uid="{7E11FB8D-CA67-4993-97B0-28EA3209496D}"/>
    <cellStyle name="Currency 5 3 3 2 8 2 3" xfId="16366" xr:uid="{90551CC3-9A66-494C-B756-962710771C4D}"/>
    <cellStyle name="Currency 5 3 3 2 8 2 4" xfId="33260" xr:uid="{EBFC2080-FEAC-4D8F-99A4-FE5E981EEABC}"/>
    <cellStyle name="Currency 5 3 3 2 8 3" xfId="20596" xr:uid="{C031B463-E7DD-461E-BFDE-1352CAADA72B}"/>
    <cellStyle name="Currency 5 3 3 2 8 3 2" xfId="37490" xr:uid="{C9D697FE-4182-43ED-858B-A6DB5E98B95A}"/>
    <cellStyle name="Currency 5 3 3 2 8 4" xfId="12149" xr:uid="{FFC339C8-ED57-4F17-8110-6CD2B6508F7D}"/>
    <cellStyle name="Currency 5 3 3 2 8 5" xfId="29043" xr:uid="{00B1F121-7921-4425-941D-B5DC9048FB6D}"/>
    <cellStyle name="Currency 5 3 3 2 9" xfId="4657" xr:uid="{00000000-0005-0000-0000-0000F50C0000}"/>
    <cellStyle name="Currency 5 3 3 2 9 2" xfId="22430" xr:uid="{659707A6-7E34-4965-BC1C-D54D5D4CFFC3}"/>
    <cellStyle name="Currency 5 3 3 2 9 2 2" xfId="39324" xr:uid="{CDAE58F5-4C63-4E92-B01A-990269C86FDC}"/>
    <cellStyle name="Currency 5 3 3 2 9 3" xfId="13983" xr:uid="{03A7B65C-3F13-4360-AB17-9310D0EFB9A9}"/>
    <cellStyle name="Currency 5 3 3 2 9 4" xfId="30877" xr:uid="{67D80FF2-D5C7-4D2D-BE14-3D42229100D7}"/>
    <cellStyle name="Currency 5 3 3 3" xfId="740" xr:uid="{00000000-0005-0000-0000-0000F60C0000}"/>
    <cellStyle name="Currency 5 3 3 3 2" xfId="2993" xr:uid="{00000000-0005-0000-0000-0000F70C0000}"/>
    <cellStyle name="Currency 5 3 3 3 2 2" xfId="7215" xr:uid="{00000000-0005-0000-0000-0000F80C0000}"/>
    <cellStyle name="Currency 5 3 3 3 2 2 2" xfId="24988" xr:uid="{0D6B6C55-4282-4382-A00C-46D62DC67B2C}"/>
    <cellStyle name="Currency 5 3 3 3 2 2 2 2" xfId="41882" xr:uid="{B02A6532-183C-48C2-B7E5-9D104E97BA78}"/>
    <cellStyle name="Currency 5 3 3 3 2 2 3" xfId="16541" xr:uid="{71304DC5-407A-4769-B5A4-9D68DA2274CF}"/>
    <cellStyle name="Currency 5 3 3 3 2 2 4" xfId="33435" xr:uid="{40F73778-6550-4F05-B733-25D570CD957D}"/>
    <cellStyle name="Currency 5 3 3 3 2 3" xfId="20771" xr:uid="{DEE5B9CE-5986-45F5-AEEE-B04517559C21}"/>
    <cellStyle name="Currency 5 3 3 3 2 3 2" xfId="37665" xr:uid="{67C43960-1C35-4E5F-86A2-0AE8F8E18142}"/>
    <cellStyle name="Currency 5 3 3 3 2 4" xfId="12324" xr:uid="{47F4BA83-D5A9-4376-92EF-838DEB49CCA8}"/>
    <cellStyle name="Currency 5 3 3 3 2 5" xfId="29218" xr:uid="{96754142-8A54-4748-9AAD-FF1A19430651}"/>
    <cellStyle name="Currency 5 3 3 3 3" xfId="5070" xr:uid="{00000000-0005-0000-0000-0000F90C0000}"/>
    <cellStyle name="Currency 5 3 3 3 3 2" xfId="22843" xr:uid="{73BDB933-5767-4342-AFF6-D9F754053911}"/>
    <cellStyle name="Currency 5 3 3 3 3 2 2" xfId="39737" xr:uid="{59D6E902-0E7D-4C6A-B72C-2BC1773F0AA8}"/>
    <cellStyle name="Currency 5 3 3 3 3 3" xfId="14396" xr:uid="{0A25AB08-8129-40F9-8E80-956FCA31F4F0}"/>
    <cellStyle name="Currency 5 3 3 3 3 4" xfId="31290" xr:uid="{DC1D0E4E-5AB5-4BAC-8710-FD7A9F43C352}"/>
    <cellStyle name="Currency 5 3 3 3 4" xfId="9307" xr:uid="{3F0512A0-B779-46E4-A963-62E327C6AC5F}"/>
    <cellStyle name="Currency 5 3 3 3 4 2" xfId="18626" xr:uid="{6F06DC28-3801-404B-A065-890006BCA1A9}"/>
    <cellStyle name="Currency 5 3 3 3 4 3" xfId="35520" xr:uid="{F9EC5877-55B8-478D-8623-D782953C43AF}"/>
    <cellStyle name="Currency 5 3 3 3 5" xfId="10179" xr:uid="{BDAAC233-FE22-44FE-95C4-DB56EEDB7574}"/>
    <cellStyle name="Currency 5 3 3 3 6" xfId="27073" xr:uid="{010D2EFF-E37F-4B52-BB12-390F5E6E3679}"/>
    <cellStyle name="Currency 5 3 3 4" xfId="1175" xr:uid="{00000000-0005-0000-0000-0000FA0C0000}"/>
    <cellStyle name="Currency 5 3 3 4 2" xfId="3406" xr:uid="{00000000-0005-0000-0000-0000FB0C0000}"/>
    <cellStyle name="Currency 5 3 3 4 2 2" xfId="7628" xr:uid="{00000000-0005-0000-0000-0000FC0C0000}"/>
    <cellStyle name="Currency 5 3 3 4 2 2 2" xfId="25401" xr:uid="{01E19143-FB06-4E62-91E4-DF0FA2337D25}"/>
    <cellStyle name="Currency 5 3 3 4 2 2 2 2" xfId="42295" xr:uid="{881B8273-A284-423D-B330-C194D4C885F0}"/>
    <cellStyle name="Currency 5 3 3 4 2 2 3" xfId="16954" xr:uid="{CA45A301-8FDC-4057-8937-47E15314A54B}"/>
    <cellStyle name="Currency 5 3 3 4 2 2 4" xfId="33848" xr:uid="{E9B153E5-E06E-4D27-A230-E044FB31C4C6}"/>
    <cellStyle name="Currency 5 3 3 4 2 3" xfId="21184" xr:uid="{8089DA81-CC34-4294-AB21-233A5C4FA4EE}"/>
    <cellStyle name="Currency 5 3 3 4 2 3 2" xfId="38078" xr:uid="{D41D1BAD-1FD6-462A-9A73-38865BA8DA6F}"/>
    <cellStyle name="Currency 5 3 3 4 2 4" xfId="12737" xr:uid="{E6DA388C-D2B9-4901-A52C-85707F1FA1BF}"/>
    <cellStyle name="Currency 5 3 3 4 2 5" xfId="29631" xr:uid="{CB6F3BDA-736D-4CC8-A3C8-589EF79B6805}"/>
    <cellStyle name="Currency 5 3 3 4 3" xfId="5483" xr:uid="{00000000-0005-0000-0000-0000FD0C0000}"/>
    <cellStyle name="Currency 5 3 3 4 3 2" xfId="23256" xr:uid="{796FB322-7407-47A3-AF76-5C8B37EB2EF4}"/>
    <cellStyle name="Currency 5 3 3 4 3 2 2" xfId="40150" xr:uid="{62CA5F78-9A21-4F14-8389-1040CA919523}"/>
    <cellStyle name="Currency 5 3 3 4 3 3" xfId="14809" xr:uid="{8DE9C71D-3184-42D1-9BAD-318D90CA2133}"/>
    <cellStyle name="Currency 5 3 3 4 3 4" xfId="31703" xr:uid="{350C4EB9-3A01-4FFF-A8F7-A6C9E1199407}"/>
    <cellStyle name="Currency 5 3 3 4 4" xfId="19039" xr:uid="{46CEACB0-E267-4EF5-814D-E91E376EFC55}"/>
    <cellStyle name="Currency 5 3 3 4 4 2" xfId="35933" xr:uid="{0E112922-C0CE-498F-920D-2F7526131209}"/>
    <cellStyle name="Currency 5 3 3 4 5" xfId="10592" xr:uid="{07BD56F7-E146-4869-B625-B42EF846F5BB}"/>
    <cellStyle name="Currency 5 3 3 4 6" xfId="27486" xr:uid="{8021DE9E-E0C2-4C43-B175-71AA92C3A1B6}"/>
    <cellStyle name="Currency 5 3 3 5" xfId="1589" xr:uid="{00000000-0005-0000-0000-0000FE0C0000}"/>
    <cellStyle name="Currency 5 3 3 5 2" xfId="3819" xr:uid="{00000000-0005-0000-0000-0000FF0C0000}"/>
    <cellStyle name="Currency 5 3 3 5 2 2" xfId="8041" xr:uid="{00000000-0005-0000-0000-0000000D0000}"/>
    <cellStyle name="Currency 5 3 3 5 2 2 2" xfId="25814" xr:uid="{728D2870-F5DE-4A72-B0C5-5746981F521E}"/>
    <cellStyle name="Currency 5 3 3 5 2 2 2 2" xfId="42708" xr:uid="{BD5577FE-8117-4DF3-8218-197280BD1010}"/>
    <cellStyle name="Currency 5 3 3 5 2 2 3" xfId="17367" xr:uid="{BB3C598A-DD9B-41D2-BCBD-51AB3C1C3B97}"/>
    <cellStyle name="Currency 5 3 3 5 2 2 4" xfId="34261" xr:uid="{4515E906-DC16-41B7-80C1-E0DDD7DC3F69}"/>
    <cellStyle name="Currency 5 3 3 5 2 3" xfId="21597" xr:uid="{EC18E9F0-67F2-414C-9C32-FB1CF2662C10}"/>
    <cellStyle name="Currency 5 3 3 5 2 3 2" xfId="38491" xr:uid="{339BA997-2A7F-4296-A28A-CC9E02CF73A2}"/>
    <cellStyle name="Currency 5 3 3 5 2 4" xfId="13150" xr:uid="{EC6C41AC-541E-422B-AF32-277842AB64C0}"/>
    <cellStyle name="Currency 5 3 3 5 2 5" xfId="30044" xr:uid="{33C7E799-E13D-4C27-B3EA-3637AC838AA4}"/>
    <cellStyle name="Currency 5 3 3 5 3" xfId="5896" xr:uid="{00000000-0005-0000-0000-0000010D0000}"/>
    <cellStyle name="Currency 5 3 3 5 3 2" xfId="23669" xr:uid="{2441E563-2787-4438-BA26-C602ED6C7D15}"/>
    <cellStyle name="Currency 5 3 3 5 3 2 2" xfId="40563" xr:uid="{7525909C-06E6-4745-BBC6-485A4F2B3E40}"/>
    <cellStyle name="Currency 5 3 3 5 3 3" xfId="15222" xr:uid="{1196EFAB-9A34-4E18-AEDC-C85010AA0A5D}"/>
    <cellStyle name="Currency 5 3 3 5 3 4" xfId="32116" xr:uid="{648F996C-F4DD-49D6-B803-C09D5B812902}"/>
    <cellStyle name="Currency 5 3 3 5 4" xfId="19452" xr:uid="{B50D3D90-C2AF-4193-AC4E-5F1B287921B4}"/>
    <cellStyle name="Currency 5 3 3 5 4 2" xfId="36346" xr:uid="{3D0065C8-9483-4A6D-9E4D-E656BDEC1BB1}"/>
    <cellStyle name="Currency 5 3 3 5 5" xfId="11005" xr:uid="{F910C992-0ED5-4EB6-BB04-73254612004E}"/>
    <cellStyle name="Currency 5 3 3 5 6" xfId="27899" xr:uid="{B948B18D-01F3-45C6-926F-3614BD8980F1}"/>
    <cellStyle name="Currency 5 3 3 6" xfId="2003" xr:uid="{00000000-0005-0000-0000-0000020D0000}"/>
    <cellStyle name="Currency 5 3 3 6 2" xfId="4232" xr:uid="{00000000-0005-0000-0000-0000030D0000}"/>
    <cellStyle name="Currency 5 3 3 6 2 2" xfId="8454" xr:uid="{00000000-0005-0000-0000-0000040D0000}"/>
    <cellStyle name="Currency 5 3 3 6 2 2 2" xfId="26227" xr:uid="{30F6268F-2988-40BB-8C0E-B9E98E8F80E1}"/>
    <cellStyle name="Currency 5 3 3 6 2 2 2 2" xfId="43121" xr:uid="{D3E178DA-CA38-4103-BCDE-99ADAFD4D34D}"/>
    <cellStyle name="Currency 5 3 3 6 2 2 3" xfId="17780" xr:uid="{265D83F4-EEAC-45DD-8793-B481A041A347}"/>
    <cellStyle name="Currency 5 3 3 6 2 2 4" xfId="34674" xr:uid="{8B5899A7-5127-4313-A5AF-6D9019BCF182}"/>
    <cellStyle name="Currency 5 3 3 6 2 3" xfId="22010" xr:uid="{980408BB-AB3D-47F4-BC68-E741C199B758}"/>
    <cellStyle name="Currency 5 3 3 6 2 3 2" xfId="38904" xr:uid="{C7B8F1F1-3886-4A7B-A5FD-EE981D3DA58F}"/>
    <cellStyle name="Currency 5 3 3 6 2 4" xfId="13563" xr:uid="{06D63D04-AADC-4F4A-BC7B-726CD516A0A3}"/>
    <cellStyle name="Currency 5 3 3 6 2 5" xfId="30457" xr:uid="{8A381FC4-6AC2-4B86-8AF2-5AE06D9224DF}"/>
    <cellStyle name="Currency 5 3 3 6 3" xfId="6309" xr:uid="{00000000-0005-0000-0000-0000050D0000}"/>
    <cellStyle name="Currency 5 3 3 6 3 2" xfId="24082" xr:uid="{0DB263A5-A0FB-444C-8EC9-8397345C6CA8}"/>
    <cellStyle name="Currency 5 3 3 6 3 2 2" xfId="40976" xr:uid="{4E97E414-D3AB-4F5D-A72D-FBA6C01E9FBD}"/>
    <cellStyle name="Currency 5 3 3 6 3 3" xfId="15635" xr:uid="{88020C20-4B2F-4E49-918F-F93A2D8C1CFC}"/>
    <cellStyle name="Currency 5 3 3 6 3 4" xfId="32529" xr:uid="{513BEFFE-C93A-4895-99A3-278B7208E266}"/>
    <cellStyle name="Currency 5 3 3 6 4" xfId="19865" xr:uid="{1DAC2408-A79C-4FC3-B7EC-E4067B64C978}"/>
    <cellStyle name="Currency 5 3 3 6 4 2" xfId="36759" xr:uid="{4DA916D8-48FA-430D-BA29-2394D6FC3E73}"/>
    <cellStyle name="Currency 5 3 3 6 5" xfId="11418" xr:uid="{D1FD0AA3-5A6E-4558-93A1-592DA8A940F0}"/>
    <cellStyle name="Currency 5 3 3 6 6" xfId="28312" xr:uid="{DAAC813D-E396-4219-9389-8A5F97438CCF}"/>
    <cellStyle name="Currency 5 3 3 7" xfId="2438" xr:uid="{00000000-0005-0000-0000-0000060D0000}"/>
    <cellStyle name="Currency 5 3 3 7 2" xfId="6722" xr:uid="{00000000-0005-0000-0000-0000070D0000}"/>
    <cellStyle name="Currency 5 3 3 7 2 2" xfId="24495" xr:uid="{3307711F-6E43-47CD-AFE0-A0D55925F112}"/>
    <cellStyle name="Currency 5 3 3 7 2 2 2" xfId="41389" xr:uid="{7CEF8B28-D466-44BD-9E44-61D2835673A8}"/>
    <cellStyle name="Currency 5 3 3 7 2 3" xfId="16048" xr:uid="{BED7F56F-15E6-48E1-9C12-E3F0DEBF5569}"/>
    <cellStyle name="Currency 5 3 3 7 2 4" xfId="32942" xr:uid="{74FF240F-FBA4-4CBF-95C4-257495AA4552}"/>
    <cellStyle name="Currency 5 3 3 7 3" xfId="20278" xr:uid="{6A8A5441-CA75-4DA7-8ABF-B652EF58FD55}"/>
    <cellStyle name="Currency 5 3 3 7 3 2" xfId="37172" xr:uid="{85FA19CD-C364-4705-99D7-A5765B1371E3}"/>
    <cellStyle name="Currency 5 3 3 7 4" xfId="11831" xr:uid="{5CF01E7A-F949-4782-B288-2C40D6A24588}"/>
    <cellStyle name="Currency 5 3 3 7 5" xfId="28725" xr:uid="{90BB29FF-FB70-41B9-9A2F-F9556460634C}"/>
    <cellStyle name="Currency 5 3 3 8" xfId="2735" xr:uid="{00000000-0005-0000-0000-0000080D0000}"/>
    <cellStyle name="Currency 5 3 3 9" xfId="2816" xr:uid="{00000000-0005-0000-0000-0000090D0000}"/>
    <cellStyle name="Currency 5 3 3 9 2" xfId="7039" xr:uid="{00000000-0005-0000-0000-00000A0D0000}"/>
    <cellStyle name="Currency 5 3 3 9 2 2" xfId="24812" xr:uid="{03F1D8E4-FFA3-4EA0-B359-4813A9317AC8}"/>
    <cellStyle name="Currency 5 3 3 9 2 2 2" xfId="41706" xr:uid="{5E90BC4E-36EE-4F12-903D-4375144E4BC2}"/>
    <cellStyle name="Currency 5 3 3 9 2 3" xfId="16365" xr:uid="{EA6AA72B-FD50-4300-8AB4-9BF1422FAB82}"/>
    <cellStyle name="Currency 5 3 3 9 2 4" xfId="33259" xr:uid="{94C91F6F-4C4A-43E3-B63C-67CE3716A5A2}"/>
    <cellStyle name="Currency 5 3 3 9 3" xfId="20595" xr:uid="{2338918E-08C3-4157-B7F3-F8293190F168}"/>
    <cellStyle name="Currency 5 3 3 9 3 2" xfId="37489" xr:uid="{4EF91348-A03F-4435-81F6-EB83633D657D}"/>
    <cellStyle name="Currency 5 3 3 9 4" xfId="12148" xr:uid="{6E35DCD7-31E2-4099-8153-EB6CD6FF5CAB}"/>
    <cellStyle name="Currency 5 3 3 9 5" xfId="29042" xr:uid="{8A49C680-8234-4ED8-91D4-289C322F7B45}"/>
    <cellStyle name="Currency 5 3 4" xfId="216" xr:uid="{00000000-0005-0000-0000-00000B0D0000}"/>
    <cellStyle name="Currency 5 3 4 10" xfId="8986" xr:uid="{4F6CFA4A-F10A-4043-AD92-C0A3F7F06459}"/>
    <cellStyle name="Currency 5 3 4 10 2" xfId="18214" xr:uid="{5D78B0C8-DAC1-42E5-9A79-0BB3B3990639}"/>
    <cellStyle name="Currency 5 3 4 10 3" xfId="35108" xr:uid="{B64E29E9-8F51-409A-B383-E6925A0986D5}"/>
    <cellStyle name="Currency 5 3 4 11" xfId="9767" xr:uid="{B44680DD-0260-4C5E-B286-048B7ECE0524}"/>
    <cellStyle name="Currency 5 3 4 12" xfId="26661" xr:uid="{35413096-AF1E-4E7E-915F-69951F495816}"/>
    <cellStyle name="Currency 5 3 4 2" xfId="742" xr:uid="{00000000-0005-0000-0000-00000C0D0000}"/>
    <cellStyle name="Currency 5 3 4 2 2" xfId="2995" xr:uid="{00000000-0005-0000-0000-00000D0D0000}"/>
    <cellStyle name="Currency 5 3 4 2 2 2" xfId="7217" xr:uid="{00000000-0005-0000-0000-00000E0D0000}"/>
    <cellStyle name="Currency 5 3 4 2 2 2 2" xfId="24990" xr:uid="{FCB32046-E423-4359-AC42-CF763A21511A}"/>
    <cellStyle name="Currency 5 3 4 2 2 2 2 2" xfId="41884" xr:uid="{9E6C9E00-3987-493D-A0E8-B4871D23CAA9}"/>
    <cellStyle name="Currency 5 3 4 2 2 2 3" xfId="16543" xr:uid="{8545E5F7-C9C2-482E-9787-AE163A0D5E36}"/>
    <cellStyle name="Currency 5 3 4 2 2 2 4" xfId="33437" xr:uid="{7FE49831-7B42-459F-B5B9-94E350742818}"/>
    <cellStyle name="Currency 5 3 4 2 2 3" xfId="20773" xr:uid="{5CB422E1-7C4D-4128-9729-D1933B7E6CAE}"/>
    <cellStyle name="Currency 5 3 4 2 2 3 2" xfId="37667" xr:uid="{349AC949-A068-434A-A146-F734BC3EA403}"/>
    <cellStyle name="Currency 5 3 4 2 2 4" xfId="12326" xr:uid="{2FB44604-6716-4D35-AD04-302D9874E86F}"/>
    <cellStyle name="Currency 5 3 4 2 2 5" xfId="29220" xr:uid="{BD73189F-772A-43D5-ACB6-D781B2A3B6DC}"/>
    <cellStyle name="Currency 5 3 4 2 3" xfId="5072" xr:uid="{00000000-0005-0000-0000-00000F0D0000}"/>
    <cellStyle name="Currency 5 3 4 2 3 2" xfId="22845" xr:uid="{901F7CE1-AA34-4057-B311-AC5D8FD72BC1}"/>
    <cellStyle name="Currency 5 3 4 2 3 2 2" xfId="39739" xr:uid="{68B9E8C4-2627-4A9E-8910-67BF688BF41A}"/>
    <cellStyle name="Currency 5 3 4 2 3 3" xfId="14398" xr:uid="{1138B8DA-8FB0-4001-A07C-24B8FB6084F9}"/>
    <cellStyle name="Currency 5 3 4 2 3 4" xfId="31292" xr:uid="{CAA98EC3-C323-4D00-B143-C49A1DBC0877}"/>
    <cellStyle name="Currency 5 3 4 2 4" xfId="9411" xr:uid="{2729DEB6-408B-463E-B468-91D932C31FD7}"/>
    <cellStyle name="Currency 5 3 4 2 4 2" xfId="18628" xr:uid="{652B862B-D4B1-4513-B0DB-8477592A8783}"/>
    <cellStyle name="Currency 5 3 4 2 4 3" xfId="35522" xr:uid="{6B1168E9-B446-4ECC-8EE6-8C8D2E9A3B0D}"/>
    <cellStyle name="Currency 5 3 4 2 5" xfId="10181" xr:uid="{CE8BC538-3DEF-4B08-98B4-8469B34320AD}"/>
    <cellStyle name="Currency 5 3 4 2 6" xfId="27075" xr:uid="{810DFC21-FBF9-4735-B976-E4F4376A2EF8}"/>
    <cellStyle name="Currency 5 3 4 3" xfId="1177" xr:uid="{00000000-0005-0000-0000-0000100D0000}"/>
    <cellStyle name="Currency 5 3 4 3 2" xfId="3408" xr:uid="{00000000-0005-0000-0000-0000110D0000}"/>
    <cellStyle name="Currency 5 3 4 3 2 2" xfId="7630" xr:uid="{00000000-0005-0000-0000-0000120D0000}"/>
    <cellStyle name="Currency 5 3 4 3 2 2 2" xfId="25403" xr:uid="{A7376307-A19F-4D51-B45B-FB9E59936EC9}"/>
    <cellStyle name="Currency 5 3 4 3 2 2 2 2" xfId="42297" xr:uid="{87AF945B-E7C2-4FED-80E9-1CCC823B2068}"/>
    <cellStyle name="Currency 5 3 4 3 2 2 3" xfId="16956" xr:uid="{A1149896-B690-46C9-85C0-8EDEEB0190A0}"/>
    <cellStyle name="Currency 5 3 4 3 2 2 4" xfId="33850" xr:uid="{DF905CFF-5FAF-4D8F-ABAD-BD785D28EB03}"/>
    <cellStyle name="Currency 5 3 4 3 2 3" xfId="21186" xr:uid="{A029D99F-B42B-4986-A833-C2E99CED8717}"/>
    <cellStyle name="Currency 5 3 4 3 2 3 2" xfId="38080" xr:uid="{840AFBDF-136A-4393-A85C-1DC04DE00EF8}"/>
    <cellStyle name="Currency 5 3 4 3 2 4" xfId="12739" xr:uid="{68E432B4-7BB7-4FFF-AC85-A9449D9138A8}"/>
    <cellStyle name="Currency 5 3 4 3 2 5" xfId="29633" xr:uid="{224548FB-ED43-4D06-9C54-E091713260DA}"/>
    <cellStyle name="Currency 5 3 4 3 3" xfId="5485" xr:uid="{00000000-0005-0000-0000-0000130D0000}"/>
    <cellStyle name="Currency 5 3 4 3 3 2" xfId="23258" xr:uid="{5FA1DFA1-7F88-44B5-A3F4-B5D15D4F2501}"/>
    <cellStyle name="Currency 5 3 4 3 3 2 2" xfId="40152" xr:uid="{E11DFCAF-9040-4BF9-AC72-E2CFFC68D3F6}"/>
    <cellStyle name="Currency 5 3 4 3 3 3" xfId="14811" xr:uid="{69678BA4-519F-440A-A472-55C93001D304}"/>
    <cellStyle name="Currency 5 3 4 3 3 4" xfId="31705" xr:uid="{F03AA098-168A-48D3-862A-CAB5DCF09056}"/>
    <cellStyle name="Currency 5 3 4 3 4" xfId="19041" xr:uid="{0537283F-8ADE-49D8-9F44-38881D062B08}"/>
    <cellStyle name="Currency 5 3 4 3 4 2" xfId="35935" xr:uid="{D8FE7C55-D0DC-41F4-A1EE-AA723178A8E6}"/>
    <cellStyle name="Currency 5 3 4 3 5" xfId="10594" xr:uid="{0FD48E1F-D67F-4BEA-BCC4-4BE82E097BC4}"/>
    <cellStyle name="Currency 5 3 4 3 6" xfId="27488" xr:uid="{653ADD9C-53DD-4BD1-BC66-B7B90D5A70E0}"/>
    <cellStyle name="Currency 5 3 4 4" xfId="1591" xr:uid="{00000000-0005-0000-0000-0000140D0000}"/>
    <cellStyle name="Currency 5 3 4 4 2" xfId="3821" xr:uid="{00000000-0005-0000-0000-0000150D0000}"/>
    <cellStyle name="Currency 5 3 4 4 2 2" xfId="8043" xr:uid="{00000000-0005-0000-0000-0000160D0000}"/>
    <cellStyle name="Currency 5 3 4 4 2 2 2" xfId="25816" xr:uid="{D447D809-AC42-4E98-BAE4-4FD369CCBA53}"/>
    <cellStyle name="Currency 5 3 4 4 2 2 2 2" xfId="42710" xr:uid="{37591AF7-8EBD-4176-B914-4761090508EA}"/>
    <cellStyle name="Currency 5 3 4 4 2 2 3" xfId="17369" xr:uid="{5925036C-3B75-49A6-8B73-729300870648}"/>
    <cellStyle name="Currency 5 3 4 4 2 2 4" xfId="34263" xr:uid="{07875431-15E6-49E5-B392-0EEAD8426E6E}"/>
    <cellStyle name="Currency 5 3 4 4 2 3" xfId="21599" xr:uid="{DE597DE8-BDCE-4954-A165-465EBEC3A061}"/>
    <cellStyle name="Currency 5 3 4 4 2 3 2" xfId="38493" xr:uid="{BB2E61DD-8C39-41B7-AEA7-3D7B462158C9}"/>
    <cellStyle name="Currency 5 3 4 4 2 4" xfId="13152" xr:uid="{40358E65-7946-4B82-954C-5F2DA324F279}"/>
    <cellStyle name="Currency 5 3 4 4 2 5" xfId="30046" xr:uid="{1F39499A-FD2D-425B-AFC3-CD6FCB2FBC03}"/>
    <cellStyle name="Currency 5 3 4 4 3" xfId="5898" xr:uid="{00000000-0005-0000-0000-0000170D0000}"/>
    <cellStyle name="Currency 5 3 4 4 3 2" xfId="23671" xr:uid="{16648A7A-0C14-4947-AF1F-FFCF5E76B453}"/>
    <cellStyle name="Currency 5 3 4 4 3 2 2" xfId="40565" xr:uid="{D18DF540-E2BA-4EF5-A01E-2A229D458E3A}"/>
    <cellStyle name="Currency 5 3 4 4 3 3" xfId="15224" xr:uid="{A9373C6D-8E0A-4090-9E4B-6162C1A38AC9}"/>
    <cellStyle name="Currency 5 3 4 4 3 4" xfId="32118" xr:uid="{5B605DAB-7664-4E7F-8BE7-7B1A109CC2D5}"/>
    <cellStyle name="Currency 5 3 4 4 4" xfId="19454" xr:uid="{0A358166-CFA2-4CEB-99DE-39C8C59E2C64}"/>
    <cellStyle name="Currency 5 3 4 4 4 2" xfId="36348" xr:uid="{BA9370AA-A54A-4239-9C63-57687C0EC81B}"/>
    <cellStyle name="Currency 5 3 4 4 5" xfId="11007" xr:uid="{0A390B2A-6B7F-4784-B923-D623BDCD9028}"/>
    <cellStyle name="Currency 5 3 4 4 6" xfId="27901" xr:uid="{AC084970-961F-4962-BAAC-E0A241726130}"/>
    <cellStyle name="Currency 5 3 4 5" xfId="2005" xr:uid="{00000000-0005-0000-0000-0000180D0000}"/>
    <cellStyle name="Currency 5 3 4 5 2" xfId="4234" xr:uid="{00000000-0005-0000-0000-0000190D0000}"/>
    <cellStyle name="Currency 5 3 4 5 2 2" xfId="8456" xr:uid="{00000000-0005-0000-0000-00001A0D0000}"/>
    <cellStyle name="Currency 5 3 4 5 2 2 2" xfId="26229" xr:uid="{DE27EBC5-F24B-4B6E-9484-7DDDAB553D88}"/>
    <cellStyle name="Currency 5 3 4 5 2 2 2 2" xfId="43123" xr:uid="{745F2437-EAF6-4541-BCE5-039771D09207}"/>
    <cellStyle name="Currency 5 3 4 5 2 2 3" xfId="17782" xr:uid="{C6F55701-B9CE-4283-AEA2-FAD0AF9EC224}"/>
    <cellStyle name="Currency 5 3 4 5 2 2 4" xfId="34676" xr:uid="{25A09EF7-C37E-49DD-A0F1-496F191C3104}"/>
    <cellStyle name="Currency 5 3 4 5 2 3" xfId="22012" xr:uid="{0B58116B-5008-461D-8773-F9D78810314A}"/>
    <cellStyle name="Currency 5 3 4 5 2 3 2" xfId="38906" xr:uid="{D96B5C3C-87E1-45E9-8077-44E532C985A2}"/>
    <cellStyle name="Currency 5 3 4 5 2 4" xfId="13565" xr:uid="{ECB26889-9FB2-471C-B087-C99C2ADEB967}"/>
    <cellStyle name="Currency 5 3 4 5 2 5" xfId="30459" xr:uid="{CAFAE077-40C4-4689-B6E1-D4BE3B115A27}"/>
    <cellStyle name="Currency 5 3 4 5 3" xfId="6311" xr:uid="{00000000-0005-0000-0000-00001B0D0000}"/>
    <cellStyle name="Currency 5 3 4 5 3 2" xfId="24084" xr:uid="{CBB9FD64-6F8D-4CAC-B0A7-CEC337570240}"/>
    <cellStyle name="Currency 5 3 4 5 3 2 2" xfId="40978" xr:uid="{C87D5CE0-D9D3-45EA-B310-55ADA7282623}"/>
    <cellStyle name="Currency 5 3 4 5 3 3" xfId="15637" xr:uid="{0A77A33E-CD26-4297-B040-50F7FB96E229}"/>
    <cellStyle name="Currency 5 3 4 5 3 4" xfId="32531" xr:uid="{64F961F6-7FFC-43D9-B30A-2178D2DB5DEE}"/>
    <cellStyle name="Currency 5 3 4 5 4" xfId="19867" xr:uid="{1CAFEAAB-ED3C-42E9-9F00-09CE6EBEBB5F}"/>
    <cellStyle name="Currency 5 3 4 5 4 2" xfId="36761" xr:uid="{34FB505A-D342-4905-AE37-E4CF7AB17D02}"/>
    <cellStyle name="Currency 5 3 4 5 5" xfId="11420" xr:uid="{77C2603F-C07D-48FD-BD30-B0A7BAD94BF4}"/>
    <cellStyle name="Currency 5 3 4 5 6" xfId="28314" xr:uid="{BADD0B08-3945-4930-80F1-CA0D70FCC8FE}"/>
    <cellStyle name="Currency 5 3 4 6" xfId="2440" xr:uid="{00000000-0005-0000-0000-00001C0D0000}"/>
    <cellStyle name="Currency 5 3 4 6 2" xfId="6724" xr:uid="{00000000-0005-0000-0000-00001D0D0000}"/>
    <cellStyle name="Currency 5 3 4 6 2 2" xfId="24497" xr:uid="{74D24919-3CE8-4ACF-ACFA-BD64BD81C61B}"/>
    <cellStyle name="Currency 5 3 4 6 2 2 2" xfId="41391" xr:uid="{EF623268-B27E-4870-B4DB-B215088CFA2D}"/>
    <cellStyle name="Currency 5 3 4 6 2 3" xfId="16050" xr:uid="{E47283CD-5B3A-42C2-872F-2F10EF042FC4}"/>
    <cellStyle name="Currency 5 3 4 6 2 4" xfId="32944" xr:uid="{FA29B1A3-4F65-480E-A57C-0D670E22C6BD}"/>
    <cellStyle name="Currency 5 3 4 6 3" xfId="20280" xr:uid="{0CFB1674-1251-4BCE-BB71-94697088F4C6}"/>
    <cellStyle name="Currency 5 3 4 6 3 2" xfId="37174" xr:uid="{5323F899-9420-40AA-B5BF-AFEB2EBDFF67}"/>
    <cellStyle name="Currency 5 3 4 6 4" xfId="11833" xr:uid="{3AA38499-08D6-4CBB-87A9-D88A41C0F9A2}"/>
    <cellStyle name="Currency 5 3 4 6 5" xfId="28727" xr:uid="{A1F46055-CC43-4A3C-8D74-4CAD09441863}"/>
    <cellStyle name="Currency 5 3 4 7" xfId="2737" xr:uid="{00000000-0005-0000-0000-00001E0D0000}"/>
    <cellStyle name="Currency 5 3 4 8" xfId="2818" xr:uid="{00000000-0005-0000-0000-00001F0D0000}"/>
    <cellStyle name="Currency 5 3 4 8 2" xfId="7041" xr:uid="{00000000-0005-0000-0000-0000200D0000}"/>
    <cellStyle name="Currency 5 3 4 8 2 2" xfId="24814" xr:uid="{0B156234-9089-4C5F-8E4A-68963446C7CD}"/>
    <cellStyle name="Currency 5 3 4 8 2 2 2" xfId="41708" xr:uid="{B283CC32-0F0C-4CB1-83D3-C295EFF93EE3}"/>
    <cellStyle name="Currency 5 3 4 8 2 3" xfId="16367" xr:uid="{1268BDCE-59D3-4FDC-8E3B-CFAA46B0A6EA}"/>
    <cellStyle name="Currency 5 3 4 8 2 4" xfId="33261" xr:uid="{2F5C58E4-5089-44E7-A3FC-4A44DD784771}"/>
    <cellStyle name="Currency 5 3 4 8 3" xfId="20597" xr:uid="{99CD2C9D-813F-4C1E-8E1F-D9EB54016A9B}"/>
    <cellStyle name="Currency 5 3 4 8 3 2" xfId="37491" xr:uid="{D45BE5FC-ABC7-434C-B643-D029F8B49E51}"/>
    <cellStyle name="Currency 5 3 4 8 4" xfId="12150" xr:uid="{87AFD022-CD27-4C0B-B0B6-85CF51ABD2DA}"/>
    <cellStyle name="Currency 5 3 4 8 5" xfId="29044" xr:uid="{5FBFC9D8-D367-42DA-B635-9F49B0F922D0}"/>
    <cellStyle name="Currency 5 3 4 9" xfId="4658" xr:uid="{00000000-0005-0000-0000-0000210D0000}"/>
    <cellStyle name="Currency 5 3 4 9 2" xfId="22431" xr:uid="{9725858A-563B-4D3F-BB9E-97BA61E66552}"/>
    <cellStyle name="Currency 5 3 4 9 2 2" xfId="39325" xr:uid="{E267E3C0-FEBE-4330-B5CA-63A74D26031C}"/>
    <cellStyle name="Currency 5 3 4 9 3" xfId="13984" xr:uid="{33979715-306C-45D3-88B3-6D512D141479}"/>
    <cellStyle name="Currency 5 3 4 9 4" xfId="30878" xr:uid="{0DC35B31-3F5E-42EC-B918-5C5B155CE872}"/>
    <cellStyle name="Currency 5 3 5" xfId="217" xr:uid="{00000000-0005-0000-0000-0000220D0000}"/>
    <cellStyle name="Currency 5 3 5 10" xfId="9203" xr:uid="{6167CBBD-227C-4457-B6B6-18EF5C089771}"/>
    <cellStyle name="Currency 5 3 5 10 2" xfId="18215" xr:uid="{A7183BC4-8572-4D35-A110-BBC8017735C4}"/>
    <cellStyle name="Currency 5 3 5 10 3" xfId="35109" xr:uid="{0550A464-EE1D-4475-844D-CD8C4B0DECC3}"/>
    <cellStyle name="Currency 5 3 5 11" xfId="9768" xr:uid="{EF12CF71-7AEF-42A1-B49B-5D33DF59D06B}"/>
    <cellStyle name="Currency 5 3 5 12" xfId="26662" xr:uid="{27CC4F9C-28FE-4E8F-9148-31D56A4E0D9D}"/>
    <cellStyle name="Currency 5 3 5 2" xfId="743" xr:uid="{00000000-0005-0000-0000-0000230D0000}"/>
    <cellStyle name="Currency 5 3 5 2 2" xfId="2996" xr:uid="{00000000-0005-0000-0000-0000240D0000}"/>
    <cellStyle name="Currency 5 3 5 2 2 2" xfId="7218" xr:uid="{00000000-0005-0000-0000-0000250D0000}"/>
    <cellStyle name="Currency 5 3 5 2 2 2 2" xfId="24991" xr:uid="{D154369B-7F94-4256-AC44-573A8B1B83EE}"/>
    <cellStyle name="Currency 5 3 5 2 2 2 2 2" xfId="41885" xr:uid="{E84A987A-0ED5-43E2-BBDC-D75A8CF90746}"/>
    <cellStyle name="Currency 5 3 5 2 2 2 3" xfId="16544" xr:uid="{40E23E89-5500-49CD-BF57-E8BA344F9A8C}"/>
    <cellStyle name="Currency 5 3 5 2 2 2 4" xfId="33438" xr:uid="{D2C04AC4-7544-4D37-B2DD-BB27FEF7071A}"/>
    <cellStyle name="Currency 5 3 5 2 2 3" xfId="20774" xr:uid="{78A9409D-461E-4DA1-BB74-5EB71486E7D8}"/>
    <cellStyle name="Currency 5 3 5 2 2 3 2" xfId="37668" xr:uid="{329C03B8-572A-4137-85F0-8EA414AD90C2}"/>
    <cellStyle name="Currency 5 3 5 2 2 4" xfId="12327" xr:uid="{A80DB6DE-60A8-4775-B7DF-280832DAD2F6}"/>
    <cellStyle name="Currency 5 3 5 2 2 5" xfId="29221" xr:uid="{EA843EA9-7EEA-4756-BE60-F0CB0AD2A7CC}"/>
    <cellStyle name="Currency 5 3 5 2 3" xfId="5073" xr:uid="{00000000-0005-0000-0000-0000260D0000}"/>
    <cellStyle name="Currency 5 3 5 2 3 2" xfId="22846" xr:uid="{302E9928-DDBC-4B33-B192-0ED0A32241C7}"/>
    <cellStyle name="Currency 5 3 5 2 3 2 2" xfId="39740" xr:uid="{02A967A4-FED3-4830-B599-D6CD59572EA5}"/>
    <cellStyle name="Currency 5 3 5 2 3 3" xfId="14399" xr:uid="{22F205F3-172F-4095-8E1F-4B9DBA8DE845}"/>
    <cellStyle name="Currency 5 3 5 2 3 4" xfId="31293" xr:uid="{B332EC9A-F6AF-4E12-83F7-AD1771571956}"/>
    <cellStyle name="Currency 5 3 5 2 4" xfId="9600" xr:uid="{650A4058-48FE-4F3E-8845-8F52DF332026}"/>
    <cellStyle name="Currency 5 3 5 2 4 2" xfId="18629" xr:uid="{9EC1DD3F-912B-45F3-9102-C0E60B78AFEF}"/>
    <cellStyle name="Currency 5 3 5 2 4 3" xfId="35523" xr:uid="{F29800AD-23A8-484A-8A92-83CD51727791}"/>
    <cellStyle name="Currency 5 3 5 2 5" xfId="10182" xr:uid="{8600694B-61E6-4A50-8838-A2BBDE2B0D4C}"/>
    <cellStyle name="Currency 5 3 5 2 6" xfId="27076" xr:uid="{65825C47-A349-4F51-89D9-DD3409029A0D}"/>
    <cellStyle name="Currency 5 3 5 3" xfId="1178" xr:uid="{00000000-0005-0000-0000-0000270D0000}"/>
    <cellStyle name="Currency 5 3 5 3 2" xfId="3409" xr:uid="{00000000-0005-0000-0000-0000280D0000}"/>
    <cellStyle name="Currency 5 3 5 3 2 2" xfId="7631" xr:uid="{00000000-0005-0000-0000-0000290D0000}"/>
    <cellStyle name="Currency 5 3 5 3 2 2 2" xfId="25404" xr:uid="{37CAA8D2-3097-4787-8E03-13237E381CD1}"/>
    <cellStyle name="Currency 5 3 5 3 2 2 2 2" xfId="42298" xr:uid="{5922D0FE-E763-47BF-BFBD-EA2906200C98}"/>
    <cellStyle name="Currency 5 3 5 3 2 2 3" xfId="16957" xr:uid="{67DE19DB-8ED7-423F-843F-A7B56871C244}"/>
    <cellStyle name="Currency 5 3 5 3 2 2 4" xfId="33851" xr:uid="{DB38B95F-CA1D-44DF-9DB9-F761C329E9D5}"/>
    <cellStyle name="Currency 5 3 5 3 2 3" xfId="21187" xr:uid="{905A85F0-2272-4A92-B0CF-0C8606C4B703}"/>
    <cellStyle name="Currency 5 3 5 3 2 3 2" xfId="38081" xr:uid="{7AC9038D-30C8-4B67-9B61-5BEE7B385D45}"/>
    <cellStyle name="Currency 5 3 5 3 2 4" xfId="12740" xr:uid="{B1A847F2-B919-4E4C-AFF3-DA4B33399E2E}"/>
    <cellStyle name="Currency 5 3 5 3 2 5" xfId="29634" xr:uid="{F620B7D4-93F9-4959-9737-241145E0644F}"/>
    <cellStyle name="Currency 5 3 5 3 3" xfId="5486" xr:uid="{00000000-0005-0000-0000-00002A0D0000}"/>
    <cellStyle name="Currency 5 3 5 3 3 2" xfId="23259" xr:uid="{7F6D310A-5C11-4CB8-B99A-02C697A91A35}"/>
    <cellStyle name="Currency 5 3 5 3 3 2 2" xfId="40153" xr:uid="{E575441B-8CDA-4E0C-A068-2D02ECF0D64A}"/>
    <cellStyle name="Currency 5 3 5 3 3 3" xfId="14812" xr:uid="{9095181D-4CEB-4300-9FA1-9E2D89654778}"/>
    <cellStyle name="Currency 5 3 5 3 3 4" xfId="31706" xr:uid="{D81B8DD3-8C06-4CC7-A2AB-A000362D873C}"/>
    <cellStyle name="Currency 5 3 5 3 4" xfId="19042" xr:uid="{6DA98394-3FB9-4547-AF77-E0404FB34940}"/>
    <cellStyle name="Currency 5 3 5 3 4 2" xfId="35936" xr:uid="{2625EEA1-DFC7-40F9-BFC4-B0A31930A20C}"/>
    <cellStyle name="Currency 5 3 5 3 5" xfId="10595" xr:uid="{E9FDB401-331A-42DC-9CC1-1592F8C1E9CD}"/>
    <cellStyle name="Currency 5 3 5 3 6" xfId="27489" xr:uid="{52D874C1-38F7-4BEF-BCA9-291BFD3BE1A6}"/>
    <cellStyle name="Currency 5 3 5 4" xfId="1592" xr:uid="{00000000-0005-0000-0000-00002B0D0000}"/>
    <cellStyle name="Currency 5 3 5 4 2" xfId="3822" xr:uid="{00000000-0005-0000-0000-00002C0D0000}"/>
    <cellStyle name="Currency 5 3 5 4 2 2" xfId="8044" xr:uid="{00000000-0005-0000-0000-00002D0D0000}"/>
    <cellStyle name="Currency 5 3 5 4 2 2 2" xfId="25817" xr:uid="{A9C35FA6-CDAE-4E22-9F07-5BE616D0376A}"/>
    <cellStyle name="Currency 5 3 5 4 2 2 2 2" xfId="42711" xr:uid="{093146BD-270A-4B66-B60F-706ED7906536}"/>
    <cellStyle name="Currency 5 3 5 4 2 2 3" xfId="17370" xr:uid="{1A660614-1BC6-41E9-AFDC-A6F47CAA7F44}"/>
    <cellStyle name="Currency 5 3 5 4 2 2 4" xfId="34264" xr:uid="{072621AF-DACD-4655-AB26-84E696C67423}"/>
    <cellStyle name="Currency 5 3 5 4 2 3" xfId="21600" xr:uid="{95E288FE-3DEC-427C-9A42-0713E630DD16}"/>
    <cellStyle name="Currency 5 3 5 4 2 3 2" xfId="38494" xr:uid="{822CECE3-5D11-4A46-AEDB-13AEF381BDED}"/>
    <cellStyle name="Currency 5 3 5 4 2 4" xfId="13153" xr:uid="{EF0A4192-79FD-4F87-B733-5E19DD369703}"/>
    <cellStyle name="Currency 5 3 5 4 2 5" xfId="30047" xr:uid="{7352BBF2-9DF2-4B80-BE17-2CE6448257F2}"/>
    <cellStyle name="Currency 5 3 5 4 3" xfId="5899" xr:uid="{00000000-0005-0000-0000-00002E0D0000}"/>
    <cellStyle name="Currency 5 3 5 4 3 2" xfId="23672" xr:uid="{6BAF9237-E14B-440E-AB4A-3A423DFA48D2}"/>
    <cellStyle name="Currency 5 3 5 4 3 2 2" xfId="40566" xr:uid="{53306671-B8F5-4272-B155-434F545FC692}"/>
    <cellStyle name="Currency 5 3 5 4 3 3" xfId="15225" xr:uid="{FEC1932B-6079-4FD3-AEEB-0AB5E39B762C}"/>
    <cellStyle name="Currency 5 3 5 4 3 4" xfId="32119" xr:uid="{04B64623-D6C8-4634-99DD-F5FB75BDCDF0}"/>
    <cellStyle name="Currency 5 3 5 4 4" xfId="19455" xr:uid="{2164DC73-1B7A-4A43-9174-8107978F312B}"/>
    <cellStyle name="Currency 5 3 5 4 4 2" xfId="36349" xr:uid="{10EDD323-DC4E-474F-A54D-DC5C70F28927}"/>
    <cellStyle name="Currency 5 3 5 4 5" xfId="11008" xr:uid="{6036EF21-BCDE-4B9F-B425-513096DDA134}"/>
    <cellStyle name="Currency 5 3 5 4 6" xfId="27902" xr:uid="{65C585CF-2E19-4A2C-BFD8-5D28CF0B437B}"/>
    <cellStyle name="Currency 5 3 5 5" xfId="2006" xr:uid="{00000000-0005-0000-0000-00002F0D0000}"/>
    <cellStyle name="Currency 5 3 5 5 2" xfId="4235" xr:uid="{00000000-0005-0000-0000-0000300D0000}"/>
    <cellStyle name="Currency 5 3 5 5 2 2" xfId="8457" xr:uid="{00000000-0005-0000-0000-0000310D0000}"/>
    <cellStyle name="Currency 5 3 5 5 2 2 2" xfId="26230" xr:uid="{B5A0EB10-84CD-4EB9-8635-00BBB55964CB}"/>
    <cellStyle name="Currency 5 3 5 5 2 2 2 2" xfId="43124" xr:uid="{AB19563C-BC6D-4255-BEE2-AF3B6D66085F}"/>
    <cellStyle name="Currency 5 3 5 5 2 2 3" xfId="17783" xr:uid="{1CD19275-CFE2-4B54-A096-63B41A975178}"/>
    <cellStyle name="Currency 5 3 5 5 2 2 4" xfId="34677" xr:uid="{D250B93C-FF65-4654-ABD0-E1DC95C815AA}"/>
    <cellStyle name="Currency 5 3 5 5 2 3" xfId="22013" xr:uid="{B189E919-DB0F-472A-A287-07C834635468}"/>
    <cellStyle name="Currency 5 3 5 5 2 3 2" xfId="38907" xr:uid="{38CA72EA-0483-46F3-8C7E-BAE1A368F75B}"/>
    <cellStyle name="Currency 5 3 5 5 2 4" xfId="13566" xr:uid="{5B40847F-E339-4F3F-B339-F1394BE34F27}"/>
    <cellStyle name="Currency 5 3 5 5 2 5" xfId="30460" xr:uid="{24FA20E1-816F-459B-A169-BDC3966D9131}"/>
    <cellStyle name="Currency 5 3 5 5 3" xfId="6312" xr:uid="{00000000-0005-0000-0000-0000320D0000}"/>
    <cellStyle name="Currency 5 3 5 5 3 2" xfId="24085" xr:uid="{6B3A7910-E646-4AF8-9C4A-E00924E84DA2}"/>
    <cellStyle name="Currency 5 3 5 5 3 2 2" xfId="40979" xr:uid="{5C3979D1-0B36-413E-92C9-B0AA6C35B4AB}"/>
    <cellStyle name="Currency 5 3 5 5 3 3" xfId="15638" xr:uid="{9455CED9-1FEA-4A5C-8511-A8471B517159}"/>
    <cellStyle name="Currency 5 3 5 5 3 4" xfId="32532" xr:uid="{1458E7BF-01E0-452C-A45B-9C1F04CA2A8B}"/>
    <cellStyle name="Currency 5 3 5 5 4" xfId="19868" xr:uid="{0F5F9D77-631E-4087-9198-0B71A5F9A1FA}"/>
    <cellStyle name="Currency 5 3 5 5 4 2" xfId="36762" xr:uid="{D8B0DCE2-10B5-4A12-9EA1-EEDC7FBED63D}"/>
    <cellStyle name="Currency 5 3 5 5 5" xfId="11421" xr:uid="{B8F672DB-649C-44C6-87C4-F39B41369638}"/>
    <cellStyle name="Currency 5 3 5 5 6" xfId="28315" xr:uid="{7BCE56C9-A862-4E19-A656-2C42FB022DB4}"/>
    <cellStyle name="Currency 5 3 5 6" xfId="2441" xr:uid="{00000000-0005-0000-0000-0000330D0000}"/>
    <cellStyle name="Currency 5 3 5 6 2" xfId="6725" xr:uid="{00000000-0005-0000-0000-0000340D0000}"/>
    <cellStyle name="Currency 5 3 5 6 2 2" xfId="24498" xr:uid="{010F4759-BBA3-43B1-9414-7CA3D07C11EF}"/>
    <cellStyle name="Currency 5 3 5 6 2 2 2" xfId="41392" xr:uid="{9151B85F-3CAC-4B45-B8C8-DAD19DDA982F}"/>
    <cellStyle name="Currency 5 3 5 6 2 3" xfId="16051" xr:uid="{6F3AEBAF-318F-4CE8-9BC6-697CDB3098A6}"/>
    <cellStyle name="Currency 5 3 5 6 2 4" xfId="32945" xr:uid="{693A61EA-B608-4EFF-A1AD-D848775FE045}"/>
    <cellStyle name="Currency 5 3 5 6 3" xfId="20281" xr:uid="{B0E084B4-9D24-4DE9-9B54-2471F2E6FBD5}"/>
    <cellStyle name="Currency 5 3 5 6 3 2" xfId="37175" xr:uid="{B2802BC7-FCDB-4DCA-8293-0A2D0801E6CF}"/>
    <cellStyle name="Currency 5 3 5 6 4" xfId="11834" xr:uid="{928070B0-1008-40D9-AD3B-765C88CF588F}"/>
    <cellStyle name="Currency 5 3 5 6 5" xfId="28728" xr:uid="{3071C411-7F5A-429C-B219-40C809078152}"/>
    <cellStyle name="Currency 5 3 5 7" xfId="2738" xr:uid="{00000000-0005-0000-0000-0000350D0000}"/>
    <cellStyle name="Currency 5 3 5 8" xfId="2819" xr:uid="{00000000-0005-0000-0000-0000360D0000}"/>
    <cellStyle name="Currency 5 3 5 8 2" xfId="7042" xr:uid="{00000000-0005-0000-0000-0000370D0000}"/>
    <cellStyle name="Currency 5 3 5 8 2 2" xfId="24815" xr:uid="{488EB8DA-03B0-46E6-9E74-EF26DBFC7702}"/>
    <cellStyle name="Currency 5 3 5 8 2 2 2" xfId="41709" xr:uid="{80ED6327-BA1B-4331-A265-63964B9A876F}"/>
    <cellStyle name="Currency 5 3 5 8 2 3" xfId="16368" xr:uid="{03F44951-38D7-4964-8E76-42D875E0B502}"/>
    <cellStyle name="Currency 5 3 5 8 2 4" xfId="33262" xr:uid="{879A188C-C7F0-49CF-A2F6-C251358476F8}"/>
    <cellStyle name="Currency 5 3 5 8 3" xfId="20598" xr:uid="{201CA283-8EB5-4900-B335-90485A60A094}"/>
    <cellStyle name="Currency 5 3 5 8 3 2" xfId="37492" xr:uid="{04F7E94F-057C-411A-AD37-8B142A55236E}"/>
    <cellStyle name="Currency 5 3 5 8 4" xfId="12151" xr:uid="{84B7E028-8B4A-417C-923F-BBFE338DC851}"/>
    <cellStyle name="Currency 5 3 5 8 5" xfId="29045" xr:uid="{C09FE1B0-8FC9-44DF-A425-3BA5D8664185}"/>
    <cellStyle name="Currency 5 3 5 9" xfId="4659" xr:uid="{00000000-0005-0000-0000-0000380D0000}"/>
    <cellStyle name="Currency 5 3 5 9 2" xfId="22432" xr:uid="{5CD62CFA-6867-4817-8130-804CC8CE411E}"/>
    <cellStyle name="Currency 5 3 5 9 2 2" xfId="39326" xr:uid="{A469D2A7-F5D5-4F0D-8415-FC3CF518F826}"/>
    <cellStyle name="Currency 5 3 5 9 3" xfId="13985" xr:uid="{5EF64CFE-0A01-4DBF-A38F-66CF830EF8E6}"/>
    <cellStyle name="Currency 5 3 5 9 4" xfId="30879" xr:uid="{A54D96A0-6EF3-41F5-9C12-AF30A4224051}"/>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0 2" xfId="22433" xr:uid="{ED1A7E37-933A-4655-A920-A1D1ABC14CA4}"/>
    <cellStyle name="Currency 5 5 10 2 2" xfId="39327" xr:uid="{3FFFE2F4-9E73-408A-BE54-E42BB8B1DD74}"/>
    <cellStyle name="Currency 5 5 10 3" xfId="13986" xr:uid="{BF7C56EC-A254-4D28-B835-6AC2103E7407}"/>
    <cellStyle name="Currency 5 5 10 4" xfId="30880" xr:uid="{061A128A-BE1B-44F2-985F-D8DBB74B673B}"/>
    <cellStyle name="Currency 5 5 11" xfId="8850" xr:uid="{8F129173-F323-478F-8B06-1E2599EB26C1}"/>
    <cellStyle name="Currency 5 5 11 2" xfId="18216" xr:uid="{6B1806B2-7CAC-48FF-A23D-E41BDA8F771A}"/>
    <cellStyle name="Currency 5 5 11 3" xfId="35110" xr:uid="{A68C2CCF-A11E-4CC7-9D5F-271AC4F44968}"/>
    <cellStyle name="Currency 5 5 12" xfId="9769" xr:uid="{867F48E8-462D-4967-B892-A9A219E35A24}"/>
    <cellStyle name="Currency 5 5 13" xfId="26663" xr:uid="{4609EE48-35B5-4670-8697-E69B22CB4C3C}"/>
    <cellStyle name="Currency 5 5 2" xfId="220" xr:uid="{00000000-0005-0000-0000-00003D0D0000}"/>
    <cellStyle name="Currency 5 5 2 10" xfId="9057" xr:uid="{90E61E49-0971-4EC1-90D8-E015846E4FB2}"/>
    <cellStyle name="Currency 5 5 2 10 2" xfId="18217" xr:uid="{E8D2B62E-E71D-4C19-A55B-60C0876DCEE3}"/>
    <cellStyle name="Currency 5 5 2 10 3" xfId="35111" xr:uid="{FD2E8F7E-D2AE-436B-BA06-DDCEEE0A184C}"/>
    <cellStyle name="Currency 5 5 2 11" xfId="9770" xr:uid="{3E1DCB79-7144-4EAF-91A9-BC60FD3056D5}"/>
    <cellStyle name="Currency 5 5 2 12" xfId="26664" xr:uid="{89DF57AE-E596-47B0-AC4E-8185BFB221F4}"/>
    <cellStyle name="Currency 5 5 2 2" xfId="746" xr:uid="{00000000-0005-0000-0000-00003E0D0000}"/>
    <cellStyle name="Currency 5 5 2 2 2" xfId="2998" xr:uid="{00000000-0005-0000-0000-00003F0D0000}"/>
    <cellStyle name="Currency 5 5 2 2 2 2" xfId="7220" xr:uid="{00000000-0005-0000-0000-0000400D0000}"/>
    <cellStyle name="Currency 5 5 2 2 2 2 2" xfId="24993" xr:uid="{B45E4D73-4C50-4ECE-910A-E992C964E425}"/>
    <cellStyle name="Currency 5 5 2 2 2 2 2 2" xfId="41887" xr:uid="{6681B55A-BA9F-4259-A19D-5F2B4011E9BF}"/>
    <cellStyle name="Currency 5 5 2 2 2 2 3" xfId="16546" xr:uid="{F6AFFC84-FAD2-4A34-882E-D0C364AD75FC}"/>
    <cellStyle name="Currency 5 5 2 2 2 2 4" xfId="33440" xr:uid="{93CEE1E2-2565-49BA-B0C4-4CC0EF2A9038}"/>
    <cellStyle name="Currency 5 5 2 2 2 3" xfId="20776" xr:uid="{ECDA94C1-E136-41CE-A17A-A18EF2D622EF}"/>
    <cellStyle name="Currency 5 5 2 2 2 3 2" xfId="37670" xr:uid="{2207D068-C418-436A-83F7-BA8A08AAFCA7}"/>
    <cellStyle name="Currency 5 5 2 2 2 4" xfId="12329" xr:uid="{EF848B9E-45CF-4803-AAF6-0A92A7811545}"/>
    <cellStyle name="Currency 5 5 2 2 2 5" xfId="29223" xr:uid="{35BB4DB7-959A-4AB3-BFA8-A05DE0C3831E}"/>
    <cellStyle name="Currency 5 5 2 2 3" xfId="5075" xr:uid="{00000000-0005-0000-0000-0000410D0000}"/>
    <cellStyle name="Currency 5 5 2 2 3 2" xfId="22848" xr:uid="{9C65F937-45BE-44CE-A777-2BBA2BD20F6E}"/>
    <cellStyle name="Currency 5 5 2 2 3 2 2" xfId="39742" xr:uid="{0E133B3E-33BF-45D7-B5C6-5950F3F46522}"/>
    <cellStyle name="Currency 5 5 2 2 3 3" xfId="14401" xr:uid="{58DE01E2-F4A0-42DD-A924-CBB86A192F94}"/>
    <cellStyle name="Currency 5 5 2 2 3 4" xfId="31295" xr:uid="{C982E919-5A15-44BF-AADA-1C53F3F91A93}"/>
    <cellStyle name="Currency 5 5 2 2 4" xfId="9482" xr:uid="{ECEE3E7C-42CD-4A2D-A90F-D54FFBA7E41F}"/>
    <cellStyle name="Currency 5 5 2 2 4 2" xfId="18631" xr:uid="{9784F7B4-FD16-4D73-A1F9-29C8AFF241D6}"/>
    <cellStyle name="Currency 5 5 2 2 4 3" xfId="35525" xr:uid="{E2E97B06-F133-48EB-B08F-74EB784364D1}"/>
    <cellStyle name="Currency 5 5 2 2 5" xfId="10184" xr:uid="{E3877753-EAFA-4223-928B-944D44BAD85C}"/>
    <cellStyle name="Currency 5 5 2 2 6" xfId="27078" xr:uid="{B63A9E0B-4442-498E-AE55-8CA33CC13916}"/>
    <cellStyle name="Currency 5 5 2 3" xfId="1180" xr:uid="{00000000-0005-0000-0000-0000420D0000}"/>
    <cellStyle name="Currency 5 5 2 3 2" xfId="3411" xr:uid="{00000000-0005-0000-0000-0000430D0000}"/>
    <cellStyle name="Currency 5 5 2 3 2 2" xfId="7633" xr:uid="{00000000-0005-0000-0000-0000440D0000}"/>
    <cellStyle name="Currency 5 5 2 3 2 2 2" xfId="25406" xr:uid="{53701CF4-BEDA-49D5-B0C2-EE2D5D74E967}"/>
    <cellStyle name="Currency 5 5 2 3 2 2 2 2" xfId="42300" xr:uid="{AE165AE6-A42D-4D27-85F7-BAA6A66D135B}"/>
    <cellStyle name="Currency 5 5 2 3 2 2 3" xfId="16959" xr:uid="{B2D1D767-DA80-436B-8FCD-2238BB30E4A7}"/>
    <cellStyle name="Currency 5 5 2 3 2 2 4" xfId="33853" xr:uid="{D4E16D10-E847-4AC3-A8D0-785A13C491CF}"/>
    <cellStyle name="Currency 5 5 2 3 2 3" xfId="21189" xr:uid="{92093267-BBBB-47E7-8D72-86639DF6272E}"/>
    <cellStyle name="Currency 5 5 2 3 2 3 2" xfId="38083" xr:uid="{4231066A-747A-4D17-93F3-6F0A7FA35EBB}"/>
    <cellStyle name="Currency 5 5 2 3 2 4" xfId="12742" xr:uid="{B8188B13-77BC-4AB9-8CD9-69F67E4D15A3}"/>
    <cellStyle name="Currency 5 5 2 3 2 5" xfId="29636" xr:uid="{5229926A-413A-4B7B-8EEB-3EA304B0DAD7}"/>
    <cellStyle name="Currency 5 5 2 3 3" xfId="5488" xr:uid="{00000000-0005-0000-0000-0000450D0000}"/>
    <cellStyle name="Currency 5 5 2 3 3 2" xfId="23261" xr:uid="{BFE27F99-89BE-4C86-A22D-32BBFD65A7DA}"/>
    <cellStyle name="Currency 5 5 2 3 3 2 2" xfId="40155" xr:uid="{DF2D7B7A-058C-48A5-A3A1-6548C4BD1A4B}"/>
    <cellStyle name="Currency 5 5 2 3 3 3" xfId="14814" xr:uid="{3CCC30DF-F994-4BBE-A840-E765BFF38858}"/>
    <cellStyle name="Currency 5 5 2 3 3 4" xfId="31708" xr:uid="{C394751B-D912-46D6-B305-D7BAE9C7AF39}"/>
    <cellStyle name="Currency 5 5 2 3 4" xfId="19044" xr:uid="{DF744A7D-9F24-4BBF-834C-15CD83027CC5}"/>
    <cellStyle name="Currency 5 5 2 3 4 2" xfId="35938" xr:uid="{EBB37F1B-CB8C-497D-8D8B-B9DB1A5B1F17}"/>
    <cellStyle name="Currency 5 5 2 3 5" xfId="10597" xr:uid="{95127E0F-E2B6-4139-8FAF-512D1D414796}"/>
    <cellStyle name="Currency 5 5 2 3 6" xfId="27491" xr:uid="{B5E237D7-AC5C-43DA-82D1-A17D298B9A15}"/>
    <cellStyle name="Currency 5 5 2 4" xfId="1594" xr:uid="{00000000-0005-0000-0000-0000460D0000}"/>
    <cellStyle name="Currency 5 5 2 4 2" xfId="3824" xr:uid="{00000000-0005-0000-0000-0000470D0000}"/>
    <cellStyle name="Currency 5 5 2 4 2 2" xfId="8046" xr:uid="{00000000-0005-0000-0000-0000480D0000}"/>
    <cellStyle name="Currency 5 5 2 4 2 2 2" xfId="25819" xr:uid="{A4743141-9F3D-4DD1-85ED-4B2849E43AF8}"/>
    <cellStyle name="Currency 5 5 2 4 2 2 2 2" xfId="42713" xr:uid="{23F1CA11-DAB5-4EEA-ABB2-27AB1DD0A59D}"/>
    <cellStyle name="Currency 5 5 2 4 2 2 3" xfId="17372" xr:uid="{490748E5-C795-4EBC-A9C7-E4D106B43D74}"/>
    <cellStyle name="Currency 5 5 2 4 2 2 4" xfId="34266" xr:uid="{81CAB652-AD83-43F5-AD3F-FC93393724C4}"/>
    <cellStyle name="Currency 5 5 2 4 2 3" xfId="21602" xr:uid="{492D014A-D6C6-4BE4-AD21-C0D6F0C499E0}"/>
    <cellStyle name="Currency 5 5 2 4 2 3 2" xfId="38496" xr:uid="{40FE40E1-0A4E-4DF1-8945-7A86917263BC}"/>
    <cellStyle name="Currency 5 5 2 4 2 4" xfId="13155" xr:uid="{339F8F70-1449-4442-984B-947E486A6BFA}"/>
    <cellStyle name="Currency 5 5 2 4 2 5" xfId="30049" xr:uid="{3F274352-CAF5-415A-B032-CAF4FE70354E}"/>
    <cellStyle name="Currency 5 5 2 4 3" xfId="5901" xr:uid="{00000000-0005-0000-0000-0000490D0000}"/>
    <cellStyle name="Currency 5 5 2 4 3 2" xfId="23674" xr:uid="{0EF48FC0-EDD2-4477-B25D-4A649A400B7C}"/>
    <cellStyle name="Currency 5 5 2 4 3 2 2" xfId="40568" xr:uid="{B49CB487-EAEF-44EC-8FCE-189127BEB31C}"/>
    <cellStyle name="Currency 5 5 2 4 3 3" xfId="15227" xr:uid="{CE99CEC5-7243-4DDD-A279-EE1244564C12}"/>
    <cellStyle name="Currency 5 5 2 4 3 4" xfId="32121" xr:uid="{51466E0F-F8AB-4835-B4BB-C8E8DD8BC751}"/>
    <cellStyle name="Currency 5 5 2 4 4" xfId="19457" xr:uid="{70265C50-89C1-4E08-9819-A32AB50F095C}"/>
    <cellStyle name="Currency 5 5 2 4 4 2" xfId="36351" xr:uid="{5CB1322D-8541-4393-93E5-DABEC56C2134}"/>
    <cellStyle name="Currency 5 5 2 4 5" xfId="11010" xr:uid="{2667FF2B-AE20-45C7-8AA9-E4123E3A1629}"/>
    <cellStyle name="Currency 5 5 2 4 6" xfId="27904" xr:uid="{77889193-7428-4403-A1A3-516FBF790187}"/>
    <cellStyle name="Currency 5 5 2 5" xfId="2008" xr:uid="{00000000-0005-0000-0000-00004A0D0000}"/>
    <cellStyle name="Currency 5 5 2 5 2" xfId="4237" xr:uid="{00000000-0005-0000-0000-00004B0D0000}"/>
    <cellStyle name="Currency 5 5 2 5 2 2" xfId="8459" xr:uid="{00000000-0005-0000-0000-00004C0D0000}"/>
    <cellStyle name="Currency 5 5 2 5 2 2 2" xfId="26232" xr:uid="{73E6794B-ED55-43E1-A379-9B0EF8A4A7CA}"/>
    <cellStyle name="Currency 5 5 2 5 2 2 2 2" xfId="43126" xr:uid="{42084731-56AF-46DD-9577-AAB3209129E9}"/>
    <cellStyle name="Currency 5 5 2 5 2 2 3" xfId="17785" xr:uid="{CF667402-4C56-430F-9F7C-5357550952A5}"/>
    <cellStyle name="Currency 5 5 2 5 2 2 4" xfId="34679" xr:uid="{774DA40E-175B-4C69-B006-E05911AAF908}"/>
    <cellStyle name="Currency 5 5 2 5 2 3" xfId="22015" xr:uid="{FB1DA880-5E86-40A5-866F-1DFE6EE1D82B}"/>
    <cellStyle name="Currency 5 5 2 5 2 3 2" xfId="38909" xr:uid="{57D02089-99FB-4447-8CA6-932A376CB5D5}"/>
    <cellStyle name="Currency 5 5 2 5 2 4" xfId="13568" xr:uid="{90D221A8-67B7-4EB8-80DE-A7A62A6D4DB6}"/>
    <cellStyle name="Currency 5 5 2 5 2 5" xfId="30462" xr:uid="{21E096A7-5DC5-4B54-BEC6-9FB842A4FEB6}"/>
    <cellStyle name="Currency 5 5 2 5 3" xfId="6314" xr:uid="{00000000-0005-0000-0000-00004D0D0000}"/>
    <cellStyle name="Currency 5 5 2 5 3 2" xfId="24087" xr:uid="{AFBD4F0C-9923-40DC-8D28-D6EC579AE143}"/>
    <cellStyle name="Currency 5 5 2 5 3 2 2" xfId="40981" xr:uid="{9C21696E-4128-4C06-8E7E-271DF5D40C84}"/>
    <cellStyle name="Currency 5 5 2 5 3 3" xfId="15640" xr:uid="{04F415C2-3997-4AC5-8EE7-EC1EDECCC1F6}"/>
    <cellStyle name="Currency 5 5 2 5 3 4" xfId="32534" xr:uid="{C529C414-9979-4D68-B979-52F7E87E85D8}"/>
    <cellStyle name="Currency 5 5 2 5 4" xfId="19870" xr:uid="{5097A9FA-920E-4A9F-A11E-FC378B78806B}"/>
    <cellStyle name="Currency 5 5 2 5 4 2" xfId="36764" xr:uid="{BF78B8C3-B2F9-4980-B959-61BDABDE1F05}"/>
    <cellStyle name="Currency 5 5 2 5 5" xfId="11423" xr:uid="{8BAEC067-5571-460D-9FBA-B23AA7A7A72F}"/>
    <cellStyle name="Currency 5 5 2 5 6" xfId="28317" xr:uid="{CA5248D0-6E7D-4A97-8FC1-7CA5A2666FB6}"/>
    <cellStyle name="Currency 5 5 2 6" xfId="2443" xr:uid="{00000000-0005-0000-0000-00004E0D0000}"/>
    <cellStyle name="Currency 5 5 2 6 2" xfId="6727" xr:uid="{00000000-0005-0000-0000-00004F0D0000}"/>
    <cellStyle name="Currency 5 5 2 6 2 2" xfId="24500" xr:uid="{8A5EE80D-0B2E-4242-B2BE-02B09F9AD98F}"/>
    <cellStyle name="Currency 5 5 2 6 2 2 2" xfId="41394" xr:uid="{9A76B224-0D41-461D-8048-98B828E62D07}"/>
    <cellStyle name="Currency 5 5 2 6 2 3" xfId="16053" xr:uid="{95E08B7F-A0BE-46E8-83D9-301EF3522927}"/>
    <cellStyle name="Currency 5 5 2 6 2 4" xfId="32947" xr:uid="{199832BE-4346-4646-8994-8EC7ECD5343E}"/>
    <cellStyle name="Currency 5 5 2 6 3" xfId="20283" xr:uid="{655D9E67-ED59-4E03-9BDD-8D137606DC5A}"/>
    <cellStyle name="Currency 5 5 2 6 3 2" xfId="37177" xr:uid="{6A21F598-53CD-42EF-8A59-DC4FC5B5E0BC}"/>
    <cellStyle name="Currency 5 5 2 6 4" xfId="11836" xr:uid="{53F6B9D8-5E74-422E-818D-316081E00F0A}"/>
    <cellStyle name="Currency 5 5 2 6 5" xfId="28730" xr:uid="{FA6E3364-51A5-40EC-91B0-D525BD461C15}"/>
    <cellStyle name="Currency 5 5 2 7" xfId="2740" xr:uid="{00000000-0005-0000-0000-0000500D0000}"/>
    <cellStyle name="Currency 5 5 2 8" xfId="2821" xr:uid="{00000000-0005-0000-0000-0000510D0000}"/>
    <cellStyle name="Currency 5 5 2 8 2" xfId="7044" xr:uid="{00000000-0005-0000-0000-0000520D0000}"/>
    <cellStyle name="Currency 5 5 2 8 2 2" xfId="24817" xr:uid="{C0BD3B90-BDF8-428F-8676-4371F50CF42E}"/>
    <cellStyle name="Currency 5 5 2 8 2 2 2" xfId="41711" xr:uid="{CC3D777E-B3FF-473D-86BC-FCB4ABC1470A}"/>
    <cellStyle name="Currency 5 5 2 8 2 3" xfId="16370" xr:uid="{E5299AC6-7FFF-4543-B668-72BC807AF458}"/>
    <cellStyle name="Currency 5 5 2 8 2 4" xfId="33264" xr:uid="{4BFDEE79-5DE0-4AF5-9415-C920786F644C}"/>
    <cellStyle name="Currency 5 5 2 8 3" xfId="20600" xr:uid="{C05E8614-5A4F-431A-A3D1-C7741D5B5572}"/>
    <cellStyle name="Currency 5 5 2 8 3 2" xfId="37494" xr:uid="{71A2F8AB-37C6-4FB5-99EE-9805D8E6C838}"/>
    <cellStyle name="Currency 5 5 2 8 4" xfId="12153" xr:uid="{95137DC5-8487-4781-A11D-8EF7399DB62A}"/>
    <cellStyle name="Currency 5 5 2 8 5" xfId="29047" xr:uid="{C4821F12-B15D-4CFF-AF64-9B643FDBC7B7}"/>
    <cellStyle name="Currency 5 5 2 9" xfId="4661" xr:uid="{00000000-0005-0000-0000-0000530D0000}"/>
    <cellStyle name="Currency 5 5 2 9 2" xfId="22434" xr:uid="{2EF9A369-48CE-4D8D-A35A-5A568614F448}"/>
    <cellStyle name="Currency 5 5 2 9 2 2" xfId="39328" xr:uid="{1D9668CA-7253-4DA4-8A49-DA217A7098B9}"/>
    <cellStyle name="Currency 5 5 2 9 3" xfId="13987" xr:uid="{FE4AA71E-3536-4429-918A-1002872B8547}"/>
    <cellStyle name="Currency 5 5 2 9 4" xfId="30881" xr:uid="{439A4336-DAA2-4D13-A3D4-2CEACA53B2D5}"/>
    <cellStyle name="Currency 5 5 3" xfId="745" xr:uid="{00000000-0005-0000-0000-0000540D0000}"/>
    <cellStyle name="Currency 5 5 3 2" xfId="2997" xr:uid="{00000000-0005-0000-0000-0000550D0000}"/>
    <cellStyle name="Currency 5 5 3 2 2" xfId="7219" xr:uid="{00000000-0005-0000-0000-0000560D0000}"/>
    <cellStyle name="Currency 5 5 3 2 2 2" xfId="24992" xr:uid="{A5CC1264-6F03-4C91-8AC6-EF975F7BE71B}"/>
    <cellStyle name="Currency 5 5 3 2 2 2 2" xfId="41886" xr:uid="{63972B58-975D-4F86-93D7-CF4097A0A49A}"/>
    <cellStyle name="Currency 5 5 3 2 2 3" xfId="16545" xr:uid="{4E3ED382-596E-4DFF-BC27-58DD178E9A03}"/>
    <cellStyle name="Currency 5 5 3 2 2 4" xfId="33439" xr:uid="{5F238872-5CC0-490D-9B4D-8D7F44B04F27}"/>
    <cellStyle name="Currency 5 5 3 2 3" xfId="20775" xr:uid="{C9BD243D-DA6A-468D-9096-F08807A42CAD}"/>
    <cellStyle name="Currency 5 5 3 2 3 2" xfId="37669" xr:uid="{CC2309E4-8FE0-4A60-94E8-965A9F3F586D}"/>
    <cellStyle name="Currency 5 5 3 2 4" xfId="12328" xr:uid="{80391919-2C3D-45A8-BAA3-A4C239333997}"/>
    <cellStyle name="Currency 5 5 3 2 5" xfId="29222" xr:uid="{C29092F8-E0D7-404C-B095-E0F5A592D97B}"/>
    <cellStyle name="Currency 5 5 3 3" xfId="5074" xr:uid="{00000000-0005-0000-0000-0000570D0000}"/>
    <cellStyle name="Currency 5 5 3 3 2" xfId="22847" xr:uid="{3B24C622-010D-445B-83AD-9BA6CEB00DC6}"/>
    <cellStyle name="Currency 5 5 3 3 2 2" xfId="39741" xr:uid="{92C23937-A697-4250-A72A-D0B38EA679B8}"/>
    <cellStyle name="Currency 5 5 3 3 3" xfId="14400" xr:uid="{88EECE66-8B22-4E43-BFFE-02ED6F1419FF}"/>
    <cellStyle name="Currency 5 5 3 3 4" xfId="31294" xr:uid="{B60EAB03-D890-4CCA-A554-7121178D8D3D}"/>
    <cellStyle name="Currency 5 5 3 4" xfId="9275" xr:uid="{54783F20-34E5-4A58-80AE-EC7CC69A89C9}"/>
    <cellStyle name="Currency 5 5 3 4 2" xfId="18630" xr:uid="{22C9488D-2100-4B93-B1CE-FEC0864AB641}"/>
    <cellStyle name="Currency 5 5 3 4 3" xfId="35524" xr:uid="{039834D0-7ECF-4502-ABBF-92B10DBF2F60}"/>
    <cellStyle name="Currency 5 5 3 5" xfId="10183" xr:uid="{EA3A3EF9-420F-448B-AAEC-5E9928E953E3}"/>
    <cellStyle name="Currency 5 5 3 6" xfId="27077" xr:uid="{2C7F96FE-D0B6-4B0B-A516-080540E42089}"/>
    <cellStyle name="Currency 5 5 4" xfId="1179" xr:uid="{00000000-0005-0000-0000-0000580D0000}"/>
    <cellStyle name="Currency 5 5 4 2" xfId="3410" xr:uid="{00000000-0005-0000-0000-0000590D0000}"/>
    <cellStyle name="Currency 5 5 4 2 2" xfId="7632" xr:uid="{00000000-0005-0000-0000-00005A0D0000}"/>
    <cellStyle name="Currency 5 5 4 2 2 2" xfId="25405" xr:uid="{6962E6EE-FEEE-419B-BE91-4AD49DCF45AF}"/>
    <cellStyle name="Currency 5 5 4 2 2 2 2" xfId="42299" xr:uid="{59A9021A-9C84-4D17-93F6-A2F92C351A2A}"/>
    <cellStyle name="Currency 5 5 4 2 2 3" xfId="16958" xr:uid="{0E3DF210-E5C6-4216-855C-F0C8707BD9CD}"/>
    <cellStyle name="Currency 5 5 4 2 2 4" xfId="33852" xr:uid="{0F58C2E2-9E28-4B99-A290-4E54F364BB30}"/>
    <cellStyle name="Currency 5 5 4 2 3" xfId="21188" xr:uid="{8CCC7CBF-3DDE-4051-B5C8-52E7DE67FC9F}"/>
    <cellStyle name="Currency 5 5 4 2 3 2" xfId="38082" xr:uid="{E47530E1-DEB9-48EE-B4AF-DD2A94584C25}"/>
    <cellStyle name="Currency 5 5 4 2 4" xfId="12741" xr:uid="{892DC0F0-24B5-4AE7-BD49-44CF7840BC22}"/>
    <cellStyle name="Currency 5 5 4 2 5" xfId="29635" xr:uid="{42676007-A301-4E85-82A5-0525C31121C2}"/>
    <cellStyle name="Currency 5 5 4 3" xfId="5487" xr:uid="{00000000-0005-0000-0000-00005B0D0000}"/>
    <cellStyle name="Currency 5 5 4 3 2" xfId="23260" xr:uid="{DF0F721D-9A3B-4094-A0BA-EE0389587631}"/>
    <cellStyle name="Currency 5 5 4 3 2 2" xfId="40154" xr:uid="{14B40760-9497-42DB-A3B4-85CDEC36C11F}"/>
    <cellStyle name="Currency 5 5 4 3 3" xfId="14813" xr:uid="{E14A54D6-F869-4981-B87F-E4CA55650B96}"/>
    <cellStyle name="Currency 5 5 4 3 4" xfId="31707" xr:uid="{EFEC08D6-522D-4BD1-BD24-D07CB038AE06}"/>
    <cellStyle name="Currency 5 5 4 4" xfId="19043" xr:uid="{C33162D7-F769-4937-A1F0-45EF854D65AA}"/>
    <cellStyle name="Currency 5 5 4 4 2" xfId="35937" xr:uid="{38BD6E4C-7183-42CD-BBB0-290E12F1B1B9}"/>
    <cellStyle name="Currency 5 5 4 5" xfId="10596" xr:uid="{2D98E7CF-EB1E-4F8E-B239-8FEE73B0C089}"/>
    <cellStyle name="Currency 5 5 4 6" xfId="27490" xr:uid="{A42DB774-6206-4114-9686-2366EA5C9E5C}"/>
    <cellStyle name="Currency 5 5 5" xfId="1593" xr:uid="{00000000-0005-0000-0000-00005C0D0000}"/>
    <cellStyle name="Currency 5 5 5 2" xfId="3823" xr:uid="{00000000-0005-0000-0000-00005D0D0000}"/>
    <cellStyle name="Currency 5 5 5 2 2" xfId="8045" xr:uid="{00000000-0005-0000-0000-00005E0D0000}"/>
    <cellStyle name="Currency 5 5 5 2 2 2" xfId="25818" xr:uid="{48103B23-25CF-4FF5-A281-A33E3F40EB22}"/>
    <cellStyle name="Currency 5 5 5 2 2 2 2" xfId="42712" xr:uid="{EDDA827B-C587-4993-9F30-0CE53B130D69}"/>
    <cellStyle name="Currency 5 5 5 2 2 3" xfId="17371" xr:uid="{466FB98C-FD31-4404-A087-27E9288E35B4}"/>
    <cellStyle name="Currency 5 5 5 2 2 4" xfId="34265" xr:uid="{A864E389-ED83-4745-A7D0-B5D19727371D}"/>
    <cellStyle name="Currency 5 5 5 2 3" xfId="21601" xr:uid="{BC54412E-05CF-47E1-AD38-2F6679F15DBF}"/>
    <cellStyle name="Currency 5 5 5 2 3 2" xfId="38495" xr:uid="{79AA04D3-D020-40D5-8FD5-84754CA91CE8}"/>
    <cellStyle name="Currency 5 5 5 2 4" xfId="13154" xr:uid="{69286471-4A02-4254-ACC8-5A9710FF78DB}"/>
    <cellStyle name="Currency 5 5 5 2 5" xfId="30048" xr:uid="{2EBB86BB-E8F9-44FE-BF71-1F70EC138C2F}"/>
    <cellStyle name="Currency 5 5 5 3" xfId="5900" xr:uid="{00000000-0005-0000-0000-00005F0D0000}"/>
    <cellStyle name="Currency 5 5 5 3 2" xfId="23673" xr:uid="{275B4659-16ED-4EE5-ADAC-AE5CC64A4FD5}"/>
    <cellStyle name="Currency 5 5 5 3 2 2" xfId="40567" xr:uid="{F98D2F39-58FA-4EEE-A068-1A52709F1DF6}"/>
    <cellStyle name="Currency 5 5 5 3 3" xfId="15226" xr:uid="{6BAD2E68-D308-4FF7-8087-CC1306B256C9}"/>
    <cellStyle name="Currency 5 5 5 3 4" xfId="32120" xr:uid="{590828BF-14F3-4E23-8CA1-C78BE15BF6FA}"/>
    <cellStyle name="Currency 5 5 5 4" xfId="19456" xr:uid="{132D27FB-2409-4DBC-A952-7DCDA76D468B}"/>
    <cellStyle name="Currency 5 5 5 4 2" xfId="36350" xr:uid="{8B05D1D8-ECC4-4B58-9B46-5EE45EBD97AA}"/>
    <cellStyle name="Currency 5 5 5 5" xfId="11009" xr:uid="{100EA14E-F4DE-410C-AE2B-4966A47E921D}"/>
    <cellStyle name="Currency 5 5 5 6" xfId="27903" xr:uid="{3D9FFAEA-FC44-4138-AC10-27E7F9F52CD5}"/>
    <cellStyle name="Currency 5 5 6" xfId="2007" xr:uid="{00000000-0005-0000-0000-0000600D0000}"/>
    <cellStyle name="Currency 5 5 6 2" xfId="4236" xr:uid="{00000000-0005-0000-0000-0000610D0000}"/>
    <cellStyle name="Currency 5 5 6 2 2" xfId="8458" xr:uid="{00000000-0005-0000-0000-0000620D0000}"/>
    <cellStyle name="Currency 5 5 6 2 2 2" xfId="26231" xr:uid="{28A81105-B555-48F8-B8A0-CB58D47B091F}"/>
    <cellStyle name="Currency 5 5 6 2 2 2 2" xfId="43125" xr:uid="{AF17AE82-4A0C-47A7-BDC0-2D8868CF1738}"/>
    <cellStyle name="Currency 5 5 6 2 2 3" xfId="17784" xr:uid="{3E3D649C-AC2B-4BAC-9E9D-C39F55E5DBCE}"/>
    <cellStyle name="Currency 5 5 6 2 2 4" xfId="34678" xr:uid="{05F5093A-EDBD-40C8-A542-C5BF8073F021}"/>
    <cellStyle name="Currency 5 5 6 2 3" xfId="22014" xr:uid="{AF8A2F6D-BBFE-49B4-B5FD-90090DDB4FDA}"/>
    <cellStyle name="Currency 5 5 6 2 3 2" xfId="38908" xr:uid="{45AE3116-50B6-4598-B5CF-4D5060D2872C}"/>
    <cellStyle name="Currency 5 5 6 2 4" xfId="13567" xr:uid="{3959DCC2-46A9-41EE-8656-6298BF6E72EA}"/>
    <cellStyle name="Currency 5 5 6 2 5" xfId="30461" xr:uid="{0CA46151-415C-4F16-8DE2-DF5418473BA7}"/>
    <cellStyle name="Currency 5 5 6 3" xfId="6313" xr:uid="{00000000-0005-0000-0000-0000630D0000}"/>
    <cellStyle name="Currency 5 5 6 3 2" xfId="24086" xr:uid="{3E5DD866-BB8C-4A9F-9A4C-DB322CB85216}"/>
    <cellStyle name="Currency 5 5 6 3 2 2" xfId="40980" xr:uid="{9CCD6F54-4A0F-409F-9F44-79F09EDFC3AA}"/>
    <cellStyle name="Currency 5 5 6 3 3" xfId="15639" xr:uid="{2080AA88-923C-4181-B84D-3DB1C55A11F8}"/>
    <cellStyle name="Currency 5 5 6 3 4" xfId="32533" xr:uid="{951FB5D3-294C-4515-BB05-DC7DADE81B0C}"/>
    <cellStyle name="Currency 5 5 6 4" xfId="19869" xr:uid="{5C58AF07-D954-4977-8186-FEF9363CAB99}"/>
    <cellStyle name="Currency 5 5 6 4 2" xfId="36763" xr:uid="{37A4D9EC-102E-44FC-8151-7DFBFA77BC60}"/>
    <cellStyle name="Currency 5 5 6 5" xfId="11422" xr:uid="{2D888FDF-1CD8-408D-B6E7-B72B9EDC6385}"/>
    <cellStyle name="Currency 5 5 6 6" xfId="28316" xr:uid="{716B9959-8E63-4127-8D6E-F5DFBF3A70EB}"/>
    <cellStyle name="Currency 5 5 7" xfId="2442" xr:uid="{00000000-0005-0000-0000-0000640D0000}"/>
    <cellStyle name="Currency 5 5 7 2" xfId="6726" xr:uid="{00000000-0005-0000-0000-0000650D0000}"/>
    <cellStyle name="Currency 5 5 7 2 2" xfId="24499" xr:uid="{CFCAFF38-0A49-4CDE-9C26-5586FC606F8C}"/>
    <cellStyle name="Currency 5 5 7 2 2 2" xfId="41393" xr:uid="{7D90F421-A377-49BD-B220-51BCE6C75429}"/>
    <cellStyle name="Currency 5 5 7 2 3" xfId="16052" xr:uid="{1A8D135D-F090-4C87-A1DB-B51880D47771}"/>
    <cellStyle name="Currency 5 5 7 2 4" xfId="32946" xr:uid="{44D57B2A-FCD4-4317-8B94-23BC1C1CDA54}"/>
    <cellStyle name="Currency 5 5 7 3" xfId="20282" xr:uid="{0620C406-160D-4058-BBB3-558578E4776A}"/>
    <cellStyle name="Currency 5 5 7 3 2" xfId="37176" xr:uid="{0AEFC246-53AF-4082-8559-B6713384C8F2}"/>
    <cellStyle name="Currency 5 5 7 4" xfId="11835" xr:uid="{C7760730-3723-4B42-A501-0E324A11F9CF}"/>
    <cellStyle name="Currency 5 5 7 5" xfId="28729" xr:uid="{11891AE5-19E1-4F52-89FF-993D9766ED6B}"/>
    <cellStyle name="Currency 5 5 8" xfId="2739" xr:uid="{00000000-0005-0000-0000-0000660D0000}"/>
    <cellStyle name="Currency 5 5 9" xfId="2820" xr:uid="{00000000-0005-0000-0000-0000670D0000}"/>
    <cellStyle name="Currency 5 5 9 2" xfId="7043" xr:uid="{00000000-0005-0000-0000-0000680D0000}"/>
    <cellStyle name="Currency 5 5 9 2 2" xfId="24816" xr:uid="{D447D644-F82A-4F7C-850A-B7E8A76F28CA}"/>
    <cellStyle name="Currency 5 5 9 2 2 2" xfId="41710" xr:uid="{26D50827-E544-4A7C-A8AC-ED6D16F895B7}"/>
    <cellStyle name="Currency 5 5 9 2 3" xfId="16369" xr:uid="{DA3EEFCF-ECF6-4E79-A747-A207E8480F78}"/>
    <cellStyle name="Currency 5 5 9 2 4" xfId="33263" xr:uid="{F8FCD489-1DCE-424E-A5B7-50632ECF53CA}"/>
    <cellStyle name="Currency 5 5 9 3" xfId="20599" xr:uid="{7B1792D0-6F5D-4655-A3CF-D688F20E8B44}"/>
    <cellStyle name="Currency 5 5 9 3 2" xfId="37493" xr:uid="{27005FD9-7F30-4A46-8EC2-60F52C92C916}"/>
    <cellStyle name="Currency 5 5 9 4" xfId="12152" xr:uid="{98F2E96B-826E-4007-B656-A75B466496B7}"/>
    <cellStyle name="Currency 5 5 9 5" xfId="29046" xr:uid="{F52B6168-0110-424D-9D9A-BF0B308CE622}"/>
    <cellStyle name="Currency 5 6" xfId="221" xr:uid="{00000000-0005-0000-0000-0000690D0000}"/>
    <cellStyle name="Currency 5 6 10" xfId="8966" xr:uid="{EC95BD1E-EAA8-4043-BDA7-06F3BBDBC3D5}"/>
    <cellStyle name="Currency 5 6 10 2" xfId="18218" xr:uid="{05484553-1378-4337-A2F0-95D5980AE4B5}"/>
    <cellStyle name="Currency 5 6 10 3" xfId="35112" xr:uid="{6C4374AB-F011-4518-891C-56A33E6B6479}"/>
    <cellStyle name="Currency 5 6 11" xfId="9771" xr:uid="{17755064-8D2C-43BC-BE8D-6D895A4493B1}"/>
    <cellStyle name="Currency 5 6 12" xfId="26665" xr:uid="{584290CD-5277-4510-BD62-52B4B25CC03F}"/>
    <cellStyle name="Currency 5 6 2" xfId="747" xr:uid="{00000000-0005-0000-0000-00006A0D0000}"/>
    <cellStyle name="Currency 5 6 2 2" xfId="2999" xr:uid="{00000000-0005-0000-0000-00006B0D0000}"/>
    <cellStyle name="Currency 5 6 2 2 2" xfId="7221" xr:uid="{00000000-0005-0000-0000-00006C0D0000}"/>
    <cellStyle name="Currency 5 6 2 2 2 2" xfId="24994" xr:uid="{483D1DEB-0BAC-4E94-BD9F-4906F76B87BB}"/>
    <cellStyle name="Currency 5 6 2 2 2 2 2" xfId="41888" xr:uid="{A13E1AF1-5F01-45CD-8C97-3346A7C7CC21}"/>
    <cellStyle name="Currency 5 6 2 2 2 3" xfId="16547" xr:uid="{C1420E32-EF18-4688-BAD0-6A2F886A70A5}"/>
    <cellStyle name="Currency 5 6 2 2 2 4" xfId="33441" xr:uid="{DB2D868D-44C8-4317-BD6D-365B5DFFAC6C}"/>
    <cellStyle name="Currency 5 6 2 2 3" xfId="20777" xr:uid="{4B06E1A1-47C7-42E7-9BFE-26A904FFDAF3}"/>
    <cellStyle name="Currency 5 6 2 2 3 2" xfId="37671" xr:uid="{A45FA0C3-2DA4-4499-AA68-0DDB3BA9BCF2}"/>
    <cellStyle name="Currency 5 6 2 2 4" xfId="12330" xr:uid="{7BBCE418-AAD7-42A5-84C3-8B3B473E27D9}"/>
    <cellStyle name="Currency 5 6 2 2 5" xfId="29224" xr:uid="{75A895CA-3720-49B7-A40C-E37541790218}"/>
    <cellStyle name="Currency 5 6 2 3" xfId="5076" xr:uid="{00000000-0005-0000-0000-00006D0D0000}"/>
    <cellStyle name="Currency 5 6 2 3 2" xfId="22849" xr:uid="{F27CD2CD-D137-40D7-B64E-61A52CFC1D33}"/>
    <cellStyle name="Currency 5 6 2 3 2 2" xfId="39743" xr:uid="{54C3BAD8-00F9-44EB-AC41-EBEDF833D1C7}"/>
    <cellStyle name="Currency 5 6 2 3 3" xfId="14402" xr:uid="{079A6FAC-8B18-4A3E-8E9C-79897D7B8B97}"/>
    <cellStyle name="Currency 5 6 2 3 4" xfId="31296" xr:uid="{37F2D091-1BF4-4982-8870-45FEB7860C9F}"/>
    <cellStyle name="Currency 5 6 2 4" xfId="9391" xr:uid="{8CBF3F74-51EC-4402-B96A-0759E6537FC7}"/>
    <cellStyle name="Currency 5 6 2 4 2" xfId="18632" xr:uid="{E6EA520A-F7FA-4341-8AF6-AF67356C8316}"/>
    <cellStyle name="Currency 5 6 2 4 3" xfId="35526" xr:uid="{282640CF-B054-4785-A494-9B8C516146D2}"/>
    <cellStyle name="Currency 5 6 2 5" xfId="10185" xr:uid="{C99EEF17-DBE8-4612-AF3D-4714170217B1}"/>
    <cellStyle name="Currency 5 6 2 6" xfId="27079" xr:uid="{D758CD52-7200-48F0-B5B8-56568D2B71F6}"/>
    <cellStyle name="Currency 5 6 3" xfId="1181" xr:uid="{00000000-0005-0000-0000-00006E0D0000}"/>
    <cellStyle name="Currency 5 6 3 2" xfId="3412" xr:uid="{00000000-0005-0000-0000-00006F0D0000}"/>
    <cellStyle name="Currency 5 6 3 2 2" xfId="7634" xr:uid="{00000000-0005-0000-0000-0000700D0000}"/>
    <cellStyle name="Currency 5 6 3 2 2 2" xfId="25407" xr:uid="{3D08FFDE-B474-41DA-AA08-F6C14BF74DF7}"/>
    <cellStyle name="Currency 5 6 3 2 2 2 2" xfId="42301" xr:uid="{1F8C8228-10E3-440F-9B58-14A569226595}"/>
    <cellStyle name="Currency 5 6 3 2 2 3" xfId="16960" xr:uid="{5D0179D1-DA5B-482C-BAB6-FF1A92459BA8}"/>
    <cellStyle name="Currency 5 6 3 2 2 4" xfId="33854" xr:uid="{310E619F-240C-4013-91CA-B9DFEA76AB7C}"/>
    <cellStyle name="Currency 5 6 3 2 3" xfId="21190" xr:uid="{CC548240-3C93-4363-AD80-BDFCAE5E17BC}"/>
    <cellStyle name="Currency 5 6 3 2 3 2" xfId="38084" xr:uid="{8D221387-C239-4D0F-ADA7-DCE27AE5B99B}"/>
    <cellStyle name="Currency 5 6 3 2 4" xfId="12743" xr:uid="{8AB9E80E-6226-4AA7-B043-F220C4743BEB}"/>
    <cellStyle name="Currency 5 6 3 2 5" xfId="29637" xr:uid="{12BEF8EF-CFC8-472E-899A-0AD60D499042}"/>
    <cellStyle name="Currency 5 6 3 3" xfId="5489" xr:uid="{00000000-0005-0000-0000-0000710D0000}"/>
    <cellStyle name="Currency 5 6 3 3 2" xfId="23262" xr:uid="{DC394128-12FF-4464-BF01-C6EAE08E79EB}"/>
    <cellStyle name="Currency 5 6 3 3 2 2" xfId="40156" xr:uid="{0F518311-EB40-41D5-B064-2715895E7B73}"/>
    <cellStyle name="Currency 5 6 3 3 3" xfId="14815" xr:uid="{477A31C6-7572-4119-B30E-24FE6BF68DB6}"/>
    <cellStyle name="Currency 5 6 3 3 4" xfId="31709" xr:uid="{3C74D721-DAEF-481E-B9CE-EFC69A0476FC}"/>
    <cellStyle name="Currency 5 6 3 4" xfId="19045" xr:uid="{063AF736-B207-42A5-9D18-A431D4940405}"/>
    <cellStyle name="Currency 5 6 3 4 2" xfId="35939" xr:uid="{C92B3920-E44E-4248-83CB-DA0E600D8304}"/>
    <cellStyle name="Currency 5 6 3 5" xfId="10598" xr:uid="{F6CDFCD2-6FE9-4AD5-95A2-90ADC348AE4A}"/>
    <cellStyle name="Currency 5 6 3 6" xfId="27492" xr:uid="{1444C129-8C85-4AD1-8750-53495255B93D}"/>
    <cellStyle name="Currency 5 6 4" xfId="1595" xr:uid="{00000000-0005-0000-0000-0000720D0000}"/>
    <cellStyle name="Currency 5 6 4 2" xfId="3825" xr:uid="{00000000-0005-0000-0000-0000730D0000}"/>
    <cellStyle name="Currency 5 6 4 2 2" xfId="8047" xr:uid="{00000000-0005-0000-0000-0000740D0000}"/>
    <cellStyle name="Currency 5 6 4 2 2 2" xfId="25820" xr:uid="{01FBED69-7CE4-4F28-9EBC-5189CC6B1A24}"/>
    <cellStyle name="Currency 5 6 4 2 2 2 2" xfId="42714" xr:uid="{EC567A3B-7159-43AC-B6BA-6CC8AAF79F98}"/>
    <cellStyle name="Currency 5 6 4 2 2 3" xfId="17373" xr:uid="{753BCE43-1266-48A3-B11D-85DB920D7F20}"/>
    <cellStyle name="Currency 5 6 4 2 2 4" xfId="34267" xr:uid="{0DEFD403-348A-435F-B243-000C56EFC993}"/>
    <cellStyle name="Currency 5 6 4 2 3" xfId="21603" xr:uid="{B3A52A7F-8947-4EF2-B0BF-A5A78D14FB70}"/>
    <cellStyle name="Currency 5 6 4 2 3 2" xfId="38497" xr:uid="{48C192A1-0026-48DB-864D-93BDAA25F0F4}"/>
    <cellStyle name="Currency 5 6 4 2 4" xfId="13156" xr:uid="{D456DC2C-4566-492B-A59B-F074D4C52C98}"/>
    <cellStyle name="Currency 5 6 4 2 5" xfId="30050" xr:uid="{EE1A56CC-408A-428C-8C82-984E1C385486}"/>
    <cellStyle name="Currency 5 6 4 3" xfId="5902" xr:uid="{00000000-0005-0000-0000-0000750D0000}"/>
    <cellStyle name="Currency 5 6 4 3 2" xfId="23675" xr:uid="{FD492040-B3EB-4BAF-BBF6-0309E34F1365}"/>
    <cellStyle name="Currency 5 6 4 3 2 2" xfId="40569" xr:uid="{DAEDA14F-9024-444E-9B1A-25A6C5807991}"/>
    <cellStyle name="Currency 5 6 4 3 3" xfId="15228" xr:uid="{3332C3FD-A5CD-456B-A92C-46301694CFE4}"/>
    <cellStyle name="Currency 5 6 4 3 4" xfId="32122" xr:uid="{09C42814-0F71-40BF-8A02-E8DB9F272CA8}"/>
    <cellStyle name="Currency 5 6 4 4" xfId="19458" xr:uid="{7669C0B9-16DD-416F-B108-8F56EDF9E2B8}"/>
    <cellStyle name="Currency 5 6 4 4 2" xfId="36352" xr:uid="{EEA335D4-0AA9-415C-8CE7-5B414F5AEFD4}"/>
    <cellStyle name="Currency 5 6 4 5" xfId="11011" xr:uid="{96D77BB7-A190-413A-8D73-DE0FC28202A9}"/>
    <cellStyle name="Currency 5 6 4 6" xfId="27905" xr:uid="{726154EA-15DF-45D8-BB87-56A738E7AAE9}"/>
    <cellStyle name="Currency 5 6 5" xfId="2009" xr:uid="{00000000-0005-0000-0000-0000760D0000}"/>
    <cellStyle name="Currency 5 6 5 2" xfId="4238" xr:uid="{00000000-0005-0000-0000-0000770D0000}"/>
    <cellStyle name="Currency 5 6 5 2 2" xfId="8460" xr:uid="{00000000-0005-0000-0000-0000780D0000}"/>
    <cellStyle name="Currency 5 6 5 2 2 2" xfId="26233" xr:uid="{9783D175-5FD3-4AC3-BCE6-25198A7787B9}"/>
    <cellStyle name="Currency 5 6 5 2 2 2 2" xfId="43127" xr:uid="{4FE1026B-C874-4978-A562-FAF3C0CFE021}"/>
    <cellStyle name="Currency 5 6 5 2 2 3" xfId="17786" xr:uid="{00ECED11-5D51-4E87-8133-11F7A9AEBA92}"/>
    <cellStyle name="Currency 5 6 5 2 2 4" xfId="34680" xr:uid="{99E177DC-3CF9-493B-B271-07C162CF8A3C}"/>
    <cellStyle name="Currency 5 6 5 2 3" xfId="22016" xr:uid="{B7DBED75-7F8D-4D44-9EA8-23608EA7E62D}"/>
    <cellStyle name="Currency 5 6 5 2 3 2" xfId="38910" xr:uid="{21A7B47A-F6BA-44C5-ACB9-D95359EB35E0}"/>
    <cellStyle name="Currency 5 6 5 2 4" xfId="13569" xr:uid="{E177FFE2-42A7-4379-94A7-8CDA210CF8A1}"/>
    <cellStyle name="Currency 5 6 5 2 5" xfId="30463" xr:uid="{0C43169B-D95D-4504-A615-1442098C037E}"/>
    <cellStyle name="Currency 5 6 5 3" xfId="6315" xr:uid="{00000000-0005-0000-0000-0000790D0000}"/>
    <cellStyle name="Currency 5 6 5 3 2" xfId="24088" xr:uid="{11EA83E3-F8BE-4CD7-9C32-5370997326E4}"/>
    <cellStyle name="Currency 5 6 5 3 2 2" xfId="40982" xr:uid="{F6F71C6B-286C-46CD-996A-67627D351681}"/>
    <cellStyle name="Currency 5 6 5 3 3" xfId="15641" xr:uid="{668F2746-3573-4097-8F42-B4E659139159}"/>
    <cellStyle name="Currency 5 6 5 3 4" xfId="32535" xr:uid="{08128C81-2A4D-4D84-9E8F-966AD3E531C8}"/>
    <cellStyle name="Currency 5 6 5 4" xfId="19871" xr:uid="{60F42DC4-FF53-433B-A9BF-85804DD3B42E}"/>
    <cellStyle name="Currency 5 6 5 4 2" xfId="36765" xr:uid="{7407E71E-E3D9-4DB7-A539-4B4553629E3F}"/>
    <cellStyle name="Currency 5 6 5 5" xfId="11424" xr:uid="{D11E9D16-AC21-450D-AB13-54BE97B82438}"/>
    <cellStyle name="Currency 5 6 5 6" xfId="28318" xr:uid="{71738E20-CD11-4D2F-BFDF-93BB6EE0C46C}"/>
    <cellStyle name="Currency 5 6 6" xfId="2444" xr:uid="{00000000-0005-0000-0000-00007A0D0000}"/>
    <cellStyle name="Currency 5 6 6 2" xfId="6728" xr:uid="{00000000-0005-0000-0000-00007B0D0000}"/>
    <cellStyle name="Currency 5 6 6 2 2" xfId="24501" xr:uid="{A950C3DF-8AE6-43C9-9639-A5FC1A8FD0C5}"/>
    <cellStyle name="Currency 5 6 6 2 2 2" xfId="41395" xr:uid="{01520491-921C-417C-8832-6FC0D171191F}"/>
    <cellStyle name="Currency 5 6 6 2 3" xfId="16054" xr:uid="{B9A930EF-41A2-491C-90A8-C634FE591FF9}"/>
    <cellStyle name="Currency 5 6 6 2 4" xfId="32948" xr:uid="{70EF4CE2-F850-407D-88C6-AFC5C3CDDC60}"/>
    <cellStyle name="Currency 5 6 6 3" xfId="20284" xr:uid="{1FF6DA39-F27E-4C5F-BCF7-83E895DFCAF6}"/>
    <cellStyle name="Currency 5 6 6 3 2" xfId="37178" xr:uid="{CEFAE6E8-7DB8-4420-A231-3B4500CB7B0B}"/>
    <cellStyle name="Currency 5 6 6 4" xfId="11837" xr:uid="{C6C59118-DB7C-45D5-AB77-70BAC3F3D8F4}"/>
    <cellStyle name="Currency 5 6 6 5" xfId="28731" xr:uid="{8F5390C8-7009-4C24-9FF1-949659CE8879}"/>
    <cellStyle name="Currency 5 6 7" xfId="2741" xr:uid="{00000000-0005-0000-0000-00007C0D0000}"/>
    <cellStyle name="Currency 5 6 8" xfId="2822" xr:uid="{00000000-0005-0000-0000-00007D0D0000}"/>
    <cellStyle name="Currency 5 6 8 2" xfId="7045" xr:uid="{00000000-0005-0000-0000-00007E0D0000}"/>
    <cellStyle name="Currency 5 6 8 2 2" xfId="24818" xr:uid="{CD7C907D-D05E-44BD-9E83-4616773F9BCA}"/>
    <cellStyle name="Currency 5 6 8 2 2 2" xfId="41712" xr:uid="{7CF038EF-D899-4C99-A645-6EDE3AB9A3EA}"/>
    <cellStyle name="Currency 5 6 8 2 3" xfId="16371" xr:uid="{44F90370-8B9D-4438-96D5-7D819A3F33B1}"/>
    <cellStyle name="Currency 5 6 8 2 4" xfId="33265" xr:uid="{A51876AA-1F30-40C2-9828-1D1D256914CD}"/>
    <cellStyle name="Currency 5 6 8 3" xfId="20601" xr:uid="{448337C1-C5FE-4419-8CB0-5693FF842F14}"/>
    <cellStyle name="Currency 5 6 8 3 2" xfId="37495" xr:uid="{832DDCA1-85B3-4587-954A-5FDB22212AA0}"/>
    <cellStyle name="Currency 5 6 8 4" xfId="12154" xr:uid="{C51857DB-568A-461F-A2C2-8D4BF8DE9B07}"/>
    <cellStyle name="Currency 5 6 8 5" xfId="29048" xr:uid="{49CC19A9-A69E-4498-ABD9-6F4637BAABCE}"/>
    <cellStyle name="Currency 5 6 9" xfId="4662" xr:uid="{00000000-0005-0000-0000-00007F0D0000}"/>
    <cellStyle name="Currency 5 6 9 2" xfId="22435" xr:uid="{B11F55AF-28C0-4035-9E63-3EDA20C26F37}"/>
    <cellStyle name="Currency 5 6 9 2 2" xfId="39329" xr:uid="{2E075E6D-4E70-4814-972A-7EE3F9C5E56E}"/>
    <cellStyle name="Currency 5 6 9 3" xfId="13988" xr:uid="{EBBA9261-C8E8-433F-A158-BD48BBD1F7B2}"/>
    <cellStyle name="Currency 5 6 9 4" xfId="30882" xr:uid="{F995BC0A-42F4-4847-8E5A-C8D26B38E178}"/>
    <cellStyle name="Currency 5 7" xfId="222" xr:uid="{00000000-0005-0000-0000-0000800D0000}"/>
    <cellStyle name="Currency 5 7 10" xfId="9169" xr:uid="{7A886DE7-136A-429E-90E2-A7C712D111D8}"/>
    <cellStyle name="Currency 5 7 10 2" xfId="18219" xr:uid="{F8F923BD-353F-48E8-A0EC-89AA2A99F220}"/>
    <cellStyle name="Currency 5 7 10 3" xfId="35113" xr:uid="{5F5834A6-429E-44F6-BA80-08EE00E18D6E}"/>
    <cellStyle name="Currency 5 7 11" xfId="9772" xr:uid="{1D2B44F1-A72A-4E58-BC19-FE20A940BF69}"/>
    <cellStyle name="Currency 5 7 12" xfId="26666" xr:uid="{1529BC33-5D1E-4BA3-9DD6-D067CC259F74}"/>
    <cellStyle name="Currency 5 7 2" xfId="748" xr:uid="{00000000-0005-0000-0000-0000810D0000}"/>
    <cellStyle name="Currency 5 7 2 2" xfId="3000" xr:uid="{00000000-0005-0000-0000-0000820D0000}"/>
    <cellStyle name="Currency 5 7 2 2 2" xfId="7222" xr:uid="{00000000-0005-0000-0000-0000830D0000}"/>
    <cellStyle name="Currency 5 7 2 2 2 2" xfId="24995" xr:uid="{9A9E8661-9792-4915-BE92-576CCBCCC8A3}"/>
    <cellStyle name="Currency 5 7 2 2 2 2 2" xfId="41889" xr:uid="{97309C3F-3410-43D0-8939-F36CF803D5A2}"/>
    <cellStyle name="Currency 5 7 2 2 2 3" xfId="16548" xr:uid="{76DA6027-006E-46C4-A246-737D52A83D89}"/>
    <cellStyle name="Currency 5 7 2 2 2 4" xfId="33442" xr:uid="{E2866219-A42B-4201-AB73-5DE034B74867}"/>
    <cellStyle name="Currency 5 7 2 2 3" xfId="20778" xr:uid="{B9A7828B-DDA8-4295-BA9D-FE5826999EB2}"/>
    <cellStyle name="Currency 5 7 2 2 3 2" xfId="37672" xr:uid="{CB1428D5-399A-4C11-9E96-DC62B87CA479}"/>
    <cellStyle name="Currency 5 7 2 2 4" xfId="12331" xr:uid="{17665F72-DD07-4E95-B7C2-9C36FB283BB5}"/>
    <cellStyle name="Currency 5 7 2 2 5" xfId="29225" xr:uid="{DF7212C2-B1D4-4B44-BAE1-C2926759EEAA}"/>
    <cellStyle name="Currency 5 7 2 3" xfId="5077" xr:uid="{00000000-0005-0000-0000-0000840D0000}"/>
    <cellStyle name="Currency 5 7 2 3 2" xfId="22850" xr:uid="{76BE8441-2A8A-43E7-A3D5-46D1422A8605}"/>
    <cellStyle name="Currency 5 7 2 3 2 2" xfId="39744" xr:uid="{68CD9032-C446-4D67-BE45-1313B11DEA19}"/>
    <cellStyle name="Currency 5 7 2 3 3" xfId="14403" xr:uid="{E90E1D8D-37AC-4214-A3F2-0C60046AFA57}"/>
    <cellStyle name="Currency 5 7 2 3 4" xfId="31297" xr:uid="{3B222701-40C6-477A-8BD7-742D35DB1418}"/>
    <cellStyle name="Currency 5 7 2 4" xfId="9601" xr:uid="{DC93A830-0AF1-4EC4-B764-C728922F3FEF}"/>
    <cellStyle name="Currency 5 7 2 4 2" xfId="18633" xr:uid="{E8B6B635-13DD-4118-A243-234E2F41E4D4}"/>
    <cellStyle name="Currency 5 7 2 4 3" xfId="35527" xr:uid="{7228BA87-13C1-4842-BADA-DF98F0C50ACD}"/>
    <cellStyle name="Currency 5 7 2 5" xfId="10186" xr:uid="{6E968712-E8B3-41A7-9AC1-EE789AF55615}"/>
    <cellStyle name="Currency 5 7 2 6" xfId="27080" xr:uid="{419B89A6-ABA7-47F8-BC27-B66E426411BB}"/>
    <cellStyle name="Currency 5 7 3" xfId="1182" xr:uid="{00000000-0005-0000-0000-0000850D0000}"/>
    <cellStyle name="Currency 5 7 3 2" xfId="3413" xr:uid="{00000000-0005-0000-0000-0000860D0000}"/>
    <cellStyle name="Currency 5 7 3 2 2" xfId="7635" xr:uid="{00000000-0005-0000-0000-0000870D0000}"/>
    <cellStyle name="Currency 5 7 3 2 2 2" xfId="25408" xr:uid="{232243C6-727E-4FE4-B109-02EF72B83D0A}"/>
    <cellStyle name="Currency 5 7 3 2 2 2 2" xfId="42302" xr:uid="{79009CD9-07C6-49A9-8EBC-97FBDC27A9AE}"/>
    <cellStyle name="Currency 5 7 3 2 2 3" xfId="16961" xr:uid="{46FB2779-DBB9-47F5-AD1F-930A0BA86DF8}"/>
    <cellStyle name="Currency 5 7 3 2 2 4" xfId="33855" xr:uid="{EB1F186F-8136-42EB-A78E-663EFCA9A9EB}"/>
    <cellStyle name="Currency 5 7 3 2 3" xfId="21191" xr:uid="{FE02C124-B9D7-4224-86DD-C12231839477}"/>
    <cellStyle name="Currency 5 7 3 2 3 2" xfId="38085" xr:uid="{CED78001-DE73-44D1-BBA8-D1E75BA8D325}"/>
    <cellStyle name="Currency 5 7 3 2 4" xfId="12744" xr:uid="{FF159F47-75F6-4B3D-B46B-77DCECDAF3F4}"/>
    <cellStyle name="Currency 5 7 3 2 5" xfId="29638" xr:uid="{C8473DFE-5802-44FD-BA41-C3690A7E0021}"/>
    <cellStyle name="Currency 5 7 3 3" xfId="5490" xr:uid="{00000000-0005-0000-0000-0000880D0000}"/>
    <cellStyle name="Currency 5 7 3 3 2" xfId="23263" xr:uid="{6289CA17-FF2B-4981-B84F-659B883CB420}"/>
    <cellStyle name="Currency 5 7 3 3 2 2" xfId="40157" xr:uid="{12860433-0137-45B3-991B-91AAE93DA725}"/>
    <cellStyle name="Currency 5 7 3 3 3" xfId="14816" xr:uid="{4771A939-B079-4B37-9A8F-3801D7CBD374}"/>
    <cellStyle name="Currency 5 7 3 3 4" xfId="31710" xr:uid="{42ABC707-2614-442C-A7A1-640E228F305E}"/>
    <cellStyle name="Currency 5 7 3 4" xfId="19046" xr:uid="{1FB35D8B-B5F1-4393-9742-E9C469AD09D2}"/>
    <cellStyle name="Currency 5 7 3 4 2" xfId="35940" xr:uid="{F38B6044-231B-4CF2-8010-46675F914ACA}"/>
    <cellStyle name="Currency 5 7 3 5" xfId="10599" xr:uid="{171C075E-5082-4709-8019-6834917C90CB}"/>
    <cellStyle name="Currency 5 7 3 6" xfId="27493" xr:uid="{8F68AAFB-5B13-4DB4-BB2B-D844DF60D290}"/>
    <cellStyle name="Currency 5 7 4" xfId="1596" xr:uid="{00000000-0005-0000-0000-0000890D0000}"/>
    <cellStyle name="Currency 5 7 4 2" xfId="3826" xr:uid="{00000000-0005-0000-0000-00008A0D0000}"/>
    <cellStyle name="Currency 5 7 4 2 2" xfId="8048" xr:uid="{00000000-0005-0000-0000-00008B0D0000}"/>
    <cellStyle name="Currency 5 7 4 2 2 2" xfId="25821" xr:uid="{31991D31-9E2B-426A-B2AE-AE512E05B9BB}"/>
    <cellStyle name="Currency 5 7 4 2 2 2 2" xfId="42715" xr:uid="{1CFDEC11-75E6-40E6-A0BF-EB5F84907DD6}"/>
    <cellStyle name="Currency 5 7 4 2 2 3" xfId="17374" xr:uid="{CFDC6E9A-1B08-47A1-814E-76260634BF45}"/>
    <cellStyle name="Currency 5 7 4 2 2 4" xfId="34268" xr:uid="{1EE5116C-65AB-4B9F-A1C0-3657DFC30513}"/>
    <cellStyle name="Currency 5 7 4 2 3" xfId="21604" xr:uid="{47AD65F8-F129-4059-AD37-21ABD0FE94CC}"/>
    <cellStyle name="Currency 5 7 4 2 3 2" xfId="38498" xr:uid="{91D55CD6-C4CB-4B8D-BBE1-0DEFD1201206}"/>
    <cellStyle name="Currency 5 7 4 2 4" xfId="13157" xr:uid="{7D39250D-34D2-42C4-A7E8-E2A1AEA97D3D}"/>
    <cellStyle name="Currency 5 7 4 2 5" xfId="30051" xr:uid="{DE8B66E8-3C24-4209-99D5-6C9535483517}"/>
    <cellStyle name="Currency 5 7 4 3" xfId="5903" xr:uid="{00000000-0005-0000-0000-00008C0D0000}"/>
    <cellStyle name="Currency 5 7 4 3 2" xfId="23676" xr:uid="{B9FA9323-0C9E-4A68-A9FD-6C6E1BA6356A}"/>
    <cellStyle name="Currency 5 7 4 3 2 2" xfId="40570" xr:uid="{BF30AEF3-06F1-45CA-B004-05E19FA83F4D}"/>
    <cellStyle name="Currency 5 7 4 3 3" xfId="15229" xr:uid="{8725E2F7-87DB-45EB-AB9C-8CFC4516A60A}"/>
    <cellStyle name="Currency 5 7 4 3 4" xfId="32123" xr:uid="{F3E542CA-5652-4E69-9763-6DFE2981BD59}"/>
    <cellStyle name="Currency 5 7 4 4" xfId="19459" xr:uid="{4D473459-AA1F-4C7D-921F-873958DCFAFC}"/>
    <cellStyle name="Currency 5 7 4 4 2" xfId="36353" xr:uid="{6349611B-FFD8-4B52-946B-5523B20D293D}"/>
    <cellStyle name="Currency 5 7 4 5" xfId="11012" xr:uid="{40D8E9F5-C2FA-4622-BDA7-9E67E5193A55}"/>
    <cellStyle name="Currency 5 7 4 6" xfId="27906" xr:uid="{9D0AFFFD-5F2A-489D-BB2F-5D8CC76A3AB5}"/>
    <cellStyle name="Currency 5 7 5" xfId="2010" xr:uid="{00000000-0005-0000-0000-00008D0D0000}"/>
    <cellStyle name="Currency 5 7 5 2" xfId="4239" xr:uid="{00000000-0005-0000-0000-00008E0D0000}"/>
    <cellStyle name="Currency 5 7 5 2 2" xfId="8461" xr:uid="{00000000-0005-0000-0000-00008F0D0000}"/>
    <cellStyle name="Currency 5 7 5 2 2 2" xfId="26234" xr:uid="{021377F2-12FE-4003-8C7D-2F25B3937BBE}"/>
    <cellStyle name="Currency 5 7 5 2 2 2 2" xfId="43128" xr:uid="{C5C2987E-5532-4B3C-8A35-FB22CD2AB8F7}"/>
    <cellStyle name="Currency 5 7 5 2 2 3" xfId="17787" xr:uid="{F9549715-E147-4061-899E-75B5FE69D806}"/>
    <cellStyle name="Currency 5 7 5 2 2 4" xfId="34681" xr:uid="{2F7512D3-44ED-4BA6-8F6F-B399BA7F1D44}"/>
    <cellStyle name="Currency 5 7 5 2 3" xfId="22017" xr:uid="{88DE4DBB-AF97-478D-9330-B73D9562B899}"/>
    <cellStyle name="Currency 5 7 5 2 3 2" xfId="38911" xr:uid="{CD240920-58F1-433C-A9C8-A05F2C1C4484}"/>
    <cellStyle name="Currency 5 7 5 2 4" xfId="13570" xr:uid="{C4E3E232-3FD2-446F-9028-AB2DAA9C95E9}"/>
    <cellStyle name="Currency 5 7 5 2 5" xfId="30464" xr:uid="{A9AC0451-0665-419A-8BF0-DB2850B00DDC}"/>
    <cellStyle name="Currency 5 7 5 3" xfId="6316" xr:uid="{00000000-0005-0000-0000-0000900D0000}"/>
    <cellStyle name="Currency 5 7 5 3 2" xfId="24089" xr:uid="{CC68B2AF-D502-43C1-9E1E-0E1ECC88A6E1}"/>
    <cellStyle name="Currency 5 7 5 3 2 2" xfId="40983" xr:uid="{82F0E7D6-8E9E-49AB-A782-7832E0FDA61A}"/>
    <cellStyle name="Currency 5 7 5 3 3" xfId="15642" xr:uid="{465C6AD0-7E7C-49D8-AF5B-80B7929A0949}"/>
    <cellStyle name="Currency 5 7 5 3 4" xfId="32536" xr:uid="{C56617F5-3144-45E8-AEF4-D569EF53DB3C}"/>
    <cellStyle name="Currency 5 7 5 4" xfId="19872" xr:uid="{CC6C5CFF-C62D-47C6-8F11-44A34A92FD71}"/>
    <cellStyle name="Currency 5 7 5 4 2" xfId="36766" xr:uid="{4A8DAC24-AD3A-4C49-8E28-7066F3E4EB7C}"/>
    <cellStyle name="Currency 5 7 5 5" xfId="11425" xr:uid="{3C8D1A7F-D433-46A3-A1BC-B7E31224E97F}"/>
    <cellStyle name="Currency 5 7 5 6" xfId="28319" xr:uid="{9AB525C6-FBBD-43B8-A9D3-3DA8C4F4DED6}"/>
    <cellStyle name="Currency 5 7 6" xfId="2445" xr:uid="{00000000-0005-0000-0000-0000910D0000}"/>
    <cellStyle name="Currency 5 7 6 2" xfId="6729" xr:uid="{00000000-0005-0000-0000-0000920D0000}"/>
    <cellStyle name="Currency 5 7 6 2 2" xfId="24502" xr:uid="{BBDB61FC-973C-4AC6-BB01-1CE5276148B3}"/>
    <cellStyle name="Currency 5 7 6 2 2 2" xfId="41396" xr:uid="{B8A48CBC-62E7-4111-9BA1-ADAB9D4FC9F3}"/>
    <cellStyle name="Currency 5 7 6 2 3" xfId="16055" xr:uid="{3131B226-D590-4EB2-99FE-4FA80E459966}"/>
    <cellStyle name="Currency 5 7 6 2 4" xfId="32949" xr:uid="{F8702341-F3EF-479B-9C01-3436E9D612BD}"/>
    <cellStyle name="Currency 5 7 6 3" xfId="20285" xr:uid="{392CAB2A-244E-460F-9E4D-441E19B099D1}"/>
    <cellStyle name="Currency 5 7 6 3 2" xfId="37179" xr:uid="{F268778A-908C-483E-80A2-579CA189578D}"/>
    <cellStyle name="Currency 5 7 6 4" xfId="11838" xr:uid="{BCE3B9A4-1E15-4C09-B16B-85CF3236B74E}"/>
    <cellStyle name="Currency 5 7 6 5" xfId="28732" xr:uid="{57529D27-C7E0-4925-A1D8-F94355382D1A}"/>
    <cellStyle name="Currency 5 7 7" xfId="2742" xr:uid="{00000000-0005-0000-0000-0000930D0000}"/>
    <cellStyle name="Currency 5 7 8" xfId="2823" xr:uid="{00000000-0005-0000-0000-0000940D0000}"/>
    <cellStyle name="Currency 5 7 8 2" xfId="7046" xr:uid="{00000000-0005-0000-0000-0000950D0000}"/>
    <cellStyle name="Currency 5 7 8 2 2" xfId="24819" xr:uid="{4D9A39C1-82C7-4F3B-A259-8D140CFC36E4}"/>
    <cellStyle name="Currency 5 7 8 2 2 2" xfId="41713" xr:uid="{0B538556-EF0E-4D43-9F33-A012B296AD3D}"/>
    <cellStyle name="Currency 5 7 8 2 3" xfId="16372" xr:uid="{6D8F2079-6CC5-43CE-9792-E358B06AC0AD}"/>
    <cellStyle name="Currency 5 7 8 2 4" xfId="33266" xr:uid="{ACC2AB18-5229-4B05-8C8C-BA380240E6F2}"/>
    <cellStyle name="Currency 5 7 8 3" xfId="20602" xr:uid="{81C9A8EF-40FB-4172-91A1-601BF722DABD}"/>
    <cellStyle name="Currency 5 7 8 3 2" xfId="37496" xr:uid="{2DF6D58E-4743-4C8D-B722-069C50C07C1F}"/>
    <cellStyle name="Currency 5 7 8 4" xfId="12155" xr:uid="{88923830-4067-4090-94D6-0D86B4199848}"/>
    <cellStyle name="Currency 5 7 8 5" xfId="29049" xr:uid="{741E5E2B-8B58-4A92-BCCD-33796C4AF79D}"/>
    <cellStyle name="Currency 5 7 9" xfId="4663" xr:uid="{00000000-0005-0000-0000-0000960D0000}"/>
    <cellStyle name="Currency 5 7 9 2" xfId="22436" xr:uid="{4037CB89-B5D5-413B-A0DC-1A07F7D2A513}"/>
    <cellStyle name="Currency 5 7 9 2 2" xfId="39330" xr:uid="{0E8698F8-FC8D-4BCE-8DDB-A9583FE0B390}"/>
    <cellStyle name="Currency 5 7 9 3" xfId="13989" xr:uid="{F627A6C2-F6CD-4E8E-811D-F6C9296E92DA}"/>
    <cellStyle name="Currency 5 7 9 4" xfId="30883" xr:uid="{8851D139-2C3E-4E4C-9A8C-C6A509DE459B}"/>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0 2 2" xfId="24503" xr:uid="{3E37844D-6F7A-436A-ACAD-8AE87E01449D}"/>
    <cellStyle name="Normal 12 10 2 2 2" xfId="41397" xr:uid="{C7CDF4CF-BBE9-4953-8A66-DCC6EDF910B5}"/>
    <cellStyle name="Normal 12 10 2 3" xfId="16056" xr:uid="{9B760E34-6202-4E38-B095-ED3ADD22E833}"/>
    <cellStyle name="Normal 12 10 2 4" xfId="32950" xr:uid="{41E9B7F5-5841-49A3-BC86-B969629AF1BD}"/>
    <cellStyle name="Normal 12 10 3" xfId="20286" xr:uid="{08EE5188-9B26-45EA-AAAE-B2262902A971}"/>
    <cellStyle name="Normal 12 10 3 2" xfId="37180" xr:uid="{88E11D5C-BC1A-4D31-B838-4B9981720716}"/>
    <cellStyle name="Normal 12 10 4" xfId="11839" xr:uid="{1BEEF6E7-8DDB-4D1C-807E-F8CFF605DABD}"/>
    <cellStyle name="Normal 12 10 5" xfId="28733" xr:uid="{70C971E3-7CA4-417E-82CA-D95A6278BEE9}"/>
    <cellStyle name="Normal 12 11" xfId="4664" xr:uid="{00000000-0005-0000-0000-0000CC0D0000}"/>
    <cellStyle name="Normal 12 11 2" xfId="22437" xr:uid="{B3F5DA3F-0876-4743-A130-F8793474E92F}"/>
    <cellStyle name="Normal 12 11 2 2" xfId="39331" xr:uid="{CEE2DFB3-0602-4ABA-9F68-FF32EB568086}"/>
    <cellStyle name="Normal 12 11 3" xfId="13990" xr:uid="{59EC4270-2052-4C0B-88D5-7AD3FBCF8519}"/>
    <cellStyle name="Normal 12 11 4" xfId="30884" xr:uid="{C59F9979-25A3-4AA5-9EAD-D84FD962FACA}"/>
    <cellStyle name="Normal 12 12" xfId="8770" xr:uid="{16E7F001-A88D-4413-825E-78352A31064A}"/>
    <cellStyle name="Normal 12 12 2" xfId="18220" xr:uid="{0BB9C65F-6ACE-4FC8-84C4-E788AD480FEA}"/>
    <cellStyle name="Normal 12 12 3" xfId="35114" xr:uid="{174F80C3-AB39-4EA8-9C0B-35D6E3F7765A}"/>
    <cellStyle name="Normal 12 13" xfId="9773" xr:uid="{8CF3D98F-92FC-423E-A7BE-17FDE7530F4D}"/>
    <cellStyle name="Normal 12 14" xfId="26667" xr:uid="{F3333490-DAD7-449F-B6F4-9145DF4773EC}"/>
    <cellStyle name="Normal 12 2" xfId="260" xr:uid="{00000000-0005-0000-0000-0000CD0D0000}"/>
    <cellStyle name="Normal 12 2 10" xfId="8811" xr:uid="{C610EFA7-DF28-475D-A7AA-61B6675A083B}"/>
    <cellStyle name="Normal 12 2 10 2" xfId="18221" xr:uid="{2C77B236-DC7D-4C3F-9F09-A2FC6BF99F07}"/>
    <cellStyle name="Normal 12 2 10 3" xfId="35115" xr:uid="{4F89E003-C448-486D-BAE0-7F517DC8EDA4}"/>
    <cellStyle name="Normal 12 2 11" xfId="9774" xr:uid="{E55AF867-CD85-4800-83BD-57625C4CC17A}"/>
    <cellStyle name="Normal 12 2 12" xfId="26668" xr:uid="{44F8B348-94C5-4A8A-984D-1B621357988A}"/>
    <cellStyle name="Normal 12 2 2" xfId="261" xr:uid="{00000000-0005-0000-0000-0000CE0D0000}"/>
    <cellStyle name="Normal 12 2 2 10" xfId="9775" xr:uid="{28E6421A-E130-490C-B28C-43ABDF270B79}"/>
    <cellStyle name="Normal 12 2 2 11" xfId="26669" xr:uid="{EE1AF04D-AF55-4014-85ED-D4DA89E00C78}"/>
    <cellStyle name="Normal 12 2 2 2" xfId="262" xr:uid="{00000000-0005-0000-0000-0000CF0D0000}"/>
    <cellStyle name="Normal 12 2 2 2 10" xfId="26670" xr:uid="{7D64150B-3024-431B-87AD-72136AF0D775}"/>
    <cellStyle name="Normal 12 2 2 2 2" xfId="763" xr:uid="{00000000-0005-0000-0000-0000D00D0000}"/>
    <cellStyle name="Normal 12 2 2 2 2 2" xfId="3004" xr:uid="{00000000-0005-0000-0000-0000D10D0000}"/>
    <cellStyle name="Normal 12 2 2 2 2 2 2" xfId="7226" xr:uid="{00000000-0005-0000-0000-0000D20D0000}"/>
    <cellStyle name="Normal 12 2 2 2 2 2 2 2" xfId="24999" xr:uid="{5EB91270-ABA9-4B56-8DF8-42F11A4FF66C}"/>
    <cellStyle name="Normal 12 2 2 2 2 2 2 2 2" xfId="41893" xr:uid="{28E185F0-3D13-4C4D-90C8-828AEDDDCF6F}"/>
    <cellStyle name="Normal 12 2 2 2 2 2 2 3" xfId="16552" xr:uid="{B1F5CEEF-267B-410A-9349-0F56C7553F60}"/>
    <cellStyle name="Normal 12 2 2 2 2 2 2 4" xfId="33446" xr:uid="{225C3923-8D0E-4FD0-858F-0508B9A54366}"/>
    <cellStyle name="Normal 12 2 2 2 2 2 3" xfId="20782" xr:uid="{4B2E3D14-9C12-44BF-A11D-C71D3119F672}"/>
    <cellStyle name="Normal 12 2 2 2 2 2 3 2" xfId="37676" xr:uid="{8FFF6536-DEB6-447E-B76C-876B885E2295}"/>
    <cellStyle name="Normal 12 2 2 2 2 2 4" xfId="12335" xr:uid="{64C0518B-615F-41D8-A31B-3544626DEDCE}"/>
    <cellStyle name="Normal 12 2 2 2 2 2 5" xfId="29229" xr:uid="{8023BB86-0AF4-447B-ABD4-1B56E4381B64}"/>
    <cellStyle name="Normal 12 2 2 2 2 3" xfId="5081" xr:uid="{00000000-0005-0000-0000-0000D30D0000}"/>
    <cellStyle name="Normal 12 2 2 2 2 3 2" xfId="22854" xr:uid="{C3F0630A-C522-46D3-92DE-50B97AAF329B}"/>
    <cellStyle name="Normal 12 2 2 2 2 3 2 2" xfId="39748" xr:uid="{1C6259C3-FD70-4C52-A729-E92E31F19710}"/>
    <cellStyle name="Normal 12 2 2 2 2 3 3" xfId="14407" xr:uid="{6BD33E2D-119C-4A87-B037-4F80800CB2CE}"/>
    <cellStyle name="Normal 12 2 2 2 2 3 4" xfId="31301" xr:uid="{7E3310D9-6A3C-47F3-B9A4-904D1F7BB36B}"/>
    <cellStyle name="Normal 12 2 2 2 2 4" xfId="9546" xr:uid="{609DE280-4DA3-4355-9F1C-9E01708347EA}"/>
    <cellStyle name="Normal 12 2 2 2 2 4 2" xfId="18637" xr:uid="{0CB56E0A-F89E-48E4-A8B6-41154BCA4AAA}"/>
    <cellStyle name="Normal 12 2 2 2 2 4 3" xfId="35531" xr:uid="{F6BDB16D-2F24-4DC5-A09F-5E10E153F4AE}"/>
    <cellStyle name="Normal 12 2 2 2 2 5" xfId="10190" xr:uid="{9C15D3D2-99C2-48CA-91B9-D3533878010E}"/>
    <cellStyle name="Normal 12 2 2 2 2 6" xfId="27084" xr:uid="{40D5331D-8F9B-4C94-8486-59ED56508BB2}"/>
    <cellStyle name="Normal 12 2 2 2 3" xfId="1186" xr:uid="{00000000-0005-0000-0000-0000D40D0000}"/>
    <cellStyle name="Normal 12 2 2 2 3 2" xfId="3417" xr:uid="{00000000-0005-0000-0000-0000D50D0000}"/>
    <cellStyle name="Normal 12 2 2 2 3 2 2" xfId="7639" xr:uid="{00000000-0005-0000-0000-0000D60D0000}"/>
    <cellStyle name="Normal 12 2 2 2 3 2 2 2" xfId="25412" xr:uid="{1DF81298-B7A7-4018-B3E1-9D4A757E7755}"/>
    <cellStyle name="Normal 12 2 2 2 3 2 2 2 2" xfId="42306" xr:uid="{F1CD4696-88D1-40DF-ABF8-73B5A41B1671}"/>
    <cellStyle name="Normal 12 2 2 2 3 2 2 3" xfId="16965" xr:uid="{2457C999-8D04-4529-AF5D-DA9E6DE9683C}"/>
    <cellStyle name="Normal 12 2 2 2 3 2 2 4" xfId="33859" xr:uid="{D0EA0D7D-441D-4CFB-AA87-B6B45F6BA62A}"/>
    <cellStyle name="Normal 12 2 2 2 3 2 3" xfId="21195" xr:uid="{1FF5E160-CD23-4D81-967F-2C999F833AB4}"/>
    <cellStyle name="Normal 12 2 2 2 3 2 3 2" xfId="38089" xr:uid="{329D7A50-D620-4C19-907B-C6534609B3C2}"/>
    <cellStyle name="Normal 12 2 2 2 3 2 4" xfId="12748" xr:uid="{9B2804EC-983A-471E-A679-1D6A442B7D8E}"/>
    <cellStyle name="Normal 12 2 2 2 3 2 5" xfId="29642" xr:uid="{F6AE11D4-A4CE-4870-9B4A-9BA81BA0E8B1}"/>
    <cellStyle name="Normal 12 2 2 2 3 3" xfId="5494" xr:uid="{00000000-0005-0000-0000-0000D70D0000}"/>
    <cellStyle name="Normal 12 2 2 2 3 3 2" xfId="23267" xr:uid="{10FCA02B-75E8-4CE3-903C-11EA43DE3F12}"/>
    <cellStyle name="Normal 12 2 2 2 3 3 2 2" xfId="40161" xr:uid="{31F82FDE-802D-4672-BE47-8F8AFF18D59B}"/>
    <cellStyle name="Normal 12 2 2 2 3 3 3" xfId="14820" xr:uid="{6F3272AC-F0C0-475F-A8C6-6F6CAEABF69E}"/>
    <cellStyle name="Normal 12 2 2 2 3 3 4" xfId="31714" xr:uid="{9EF79808-2988-4B73-8346-667C52AC79F5}"/>
    <cellStyle name="Normal 12 2 2 2 3 4" xfId="19050" xr:uid="{31621F1E-F2A5-44F0-AE11-2D9BAC6F4251}"/>
    <cellStyle name="Normal 12 2 2 2 3 4 2" xfId="35944" xr:uid="{C2856019-4C66-4E70-BD24-A1F80B8FB170}"/>
    <cellStyle name="Normal 12 2 2 2 3 5" xfId="10603" xr:uid="{E43EF47D-901E-48C2-AB4C-3EB0AD2C3D62}"/>
    <cellStyle name="Normal 12 2 2 2 3 6" xfId="27497" xr:uid="{85C13BCB-73DD-4251-8B21-164575A438DF}"/>
    <cellStyle name="Normal 12 2 2 2 4" xfId="1600" xr:uid="{00000000-0005-0000-0000-0000D80D0000}"/>
    <cellStyle name="Normal 12 2 2 2 4 2" xfId="3830" xr:uid="{00000000-0005-0000-0000-0000D90D0000}"/>
    <cellStyle name="Normal 12 2 2 2 4 2 2" xfId="8052" xr:uid="{00000000-0005-0000-0000-0000DA0D0000}"/>
    <cellStyle name="Normal 12 2 2 2 4 2 2 2" xfId="25825" xr:uid="{30B5AC1C-8B44-4072-8A35-0D46CF0BE584}"/>
    <cellStyle name="Normal 12 2 2 2 4 2 2 2 2" xfId="42719" xr:uid="{E227CC82-8372-40D0-AD5A-E4F3EACF32BC}"/>
    <cellStyle name="Normal 12 2 2 2 4 2 2 3" xfId="17378" xr:uid="{CEBF86AD-C74C-482D-B2CB-6D5689DDA7B9}"/>
    <cellStyle name="Normal 12 2 2 2 4 2 2 4" xfId="34272" xr:uid="{A654EDB9-0A05-45E2-9909-D4218471B705}"/>
    <cellStyle name="Normal 12 2 2 2 4 2 3" xfId="21608" xr:uid="{06903973-95E9-4FA6-A61C-C9CBE9A43B1A}"/>
    <cellStyle name="Normal 12 2 2 2 4 2 3 2" xfId="38502" xr:uid="{DAB6C458-AD98-403A-A0DE-E1E63E4EFF92}"/>
    <cellStyle name="Normal 12 2 2 2 4 2 4" xfId="13161" xr:uid="{41BDBDEC-DB48-4184-9622-770CB3E2290C}"/>
    <cellStyle name="Normal 12 2 2 2 4 2 5" xfId="30055" xr:uid="{7385F231-BC4B-44FB-A57C-0C2E9A9846F7}"/>
    <cellStyle name="Normal 12 2 2 2 4 3" xfId="5907" xr:uid="{00000000-0005-0000-0000-0000DB0D0000}"/>
    <cellStyle name="Normal 12 2 2 2 4 3 2" xfId="23680" xr:uid="{550DFF03-51DC-4558-A580-6F84B3BB6F2D}"/>
    <cellStyle name="Normal 12 2 2 2 4 3 2 2" xfId="40574" xr:uid="{482D3DEF-247A-44A3-8F8E-96017B7781B4}"/>
    <cellStyle name="Normal 12 2 2 2 4 3 3" xfId="15233" xr:uid="{A5653613-238B-4DA7-AEB6-4BB29FA358F0}"/>
    <cellStyle name="Normal 12 2 2 2 4 3 4" xfId="32127" xr:uid="{27999566-9197-4724-AC7F-60136440876D}"/>
    <cellStyle name="Normal 12 2 2 2 4 4" xfId="19463" xr:uid="{DD7C2504-FC3A-4072-97DE-E4F0D247AF7E}"/>
    <cellStyle name="Normal 12 2 2 2 4 4 2" xfId="36357" xr:uid="{1D4AC4A3-1A64-42B8-A843-9905D9BC6DDD}"/>
    <cellStyle name="Normal 12 2 2 2 4 5" xfId="11016" xr:uid="{C61356AD-DEB9-42DC-9E50-A468EB143CE5}"/>
    <cellStyle name="Normal 12 2 2 2 4 6" xfId="27910" xr:uid="{1D846B75-46C7-4C65-9978-0E60689FD650}"/>
    <cellStyle name="Normal 12 2 2 2 5" xfId="2014" xr:uid="{00000000-0005-0000-0000-0000DC0D0000}"/>
    <cellStyle name="Normal 12 2 2 2 5 2" xfId="4243" xr:uid="{00000000-0005-0000-0000-0000DD0D0000}"/>
    <cellStyle name="Normal 12 2 2 2 5 2 2" xfId="8465" xr:uid="{00000000-0005-0000-0000-0000DE0D0000}"/>
    <cellStyle name="Normal 12 2 2 2 5 2 2 2" xfId="26238" xr:uid="{E21EF55A-04F2-42FD-A806-F9E71A682C22}"/>
    <cellStyle name="Normal 12 2 2 2 5 2 2 2 2" xfId="43132" xr:uid="{93F2C5C1-6CAA-4ACD-BBD0-331D16274527}"/>
    <cellStyle name="Normal 12 2 2 2 5 2 2 3" xfId="17791" xr:uid="{CB092AD2-F43A-4648-85ED-96A7878AD52B}"/>
    <cellStyle name="Normal 12 2 2 2 5 2 2 4" xfId="34685" xr:uid="{1AEFA485-5711-49D4-9170-0C191D9A18E9}"/>
    <cellStyle name="Normal 12 2 2 2 5 2 3" xfId="22021" xr:uid="{6ACB363E-4EC0-4FA6-9F77-EDE9B9FFA045}"/>
    <cellStyle name="Normal 12 2 2 2 5 2 3 2" xfId="38915" xr:uid="{966D866C-7998-4E46-91C2-FCBEC98CEF96}"/>
    <cellStyle name="Normal 12 2 2 2 5 2 4" xfId="13574" xr:uid="{A49B85AE-663A-4F01-BCD3-DBBEDE5C74BA}"/>
    <cellStyle name="Normal 12 2 2 2 5 2 5" xfId="30468" xr:uid="{C2DBECCB-95C8-4683-B3D4-286FD2330024}"/>
    <cellStyle name="Normal 12 2 2 2 5 3" xfId="6320" xr:uid="{00000000-0005-0000-0000-0000DF0D0000}"/>
    <cellStyle name="Normal 12 2 2 2 5 3 2" xfId="24093" xr:uid="{A82B8BAC-0E13-40B1-8650-44A743343B57}"/>
    <cellStyle name="Normal 12 2 2 2 5 3 2 2" xfId="40987" xr:uid="{65306ED0-550E-4321-BD31-2447B18A7806}"/>
    <cellStyle name="Normal 12 2 2 2 5 3 3" xfId="15646" xr:uid="{0B6B75B5-B27D-4818-826D-E7B71CC6A098}"/>
    <cellStyle name="Normal 12 2 2 2 5 3 4" xfId="32540" xr:uid="{077DEBB4-46FC-4E10-9532-312EDAE03A4A}"/>
    <cellStyle name="Normal 12 2 2 2 5 4" xfId="19876" xr:uid="{8A732275-A4DB-4B47-BFC1-E1F51BBA2B06}"/>
    <cellStyle name="Normal 12 2 2 2 5 4 2" xfId="36770" xr:uid="{736652E2-A31E-4482-9D03-357655404CC2}"/>
    <cellStyle name="Normal 12 2 2 2 5 5" xfId="11429" xr:uid="{967BA197-67C9-4B75-8842-024F11D09210}"/>
    <cellStyle name="Normal 12 2 2 2 5 6" xfId="28323" xr:uid="{9047281A-7003-4220-A120-0BC64F8549C3}"/>
    <cellStyle name="Normal 12 2 2 2 6" xfId="2450" xr:uid="{00000000-0005-0000-0000-0000E00D0000}"/>
    <cellStyle name="Normal 12 2 2 2 6 2" xfId="6733" xr:uid="{00000000-0005-0000-0000-0000E10D0000}"/>
    <cellStyle name="Normal 12 2 2 2 6 2 2" xfId="24506" xr:uid="{9632FB02-225E-4ED2-8046-A70AA37E8FCD}"/>
    <cellStyle name="Normal 12 2 2 2 6 2 2 2" xfId="41400" xr:uid="{7BB40749-0EE9-454E-9C79-6C540FBC041C}"/>
    <cellStyle name="Normal 12 2 2 2 6 2 3" xfId="16059" xr:uid="{2AF3247E-FB38-4C59-8ACC-46A1D44FC2DE}"/>
    <cellStyle name="Normal 12 2 2 2 6 2 4" xfId="32953" xr:uid="{16D45ECD-7CF5-4D3D-B063-D9BAF2A60A62}"/>
    <cellStyle name="Normal 12 2 2 2 6 3" xfId="20289" xr:uid="{DA42CBDF-9B0F-4869-9E21-E40DB2635887}"/>
    <cellStyle name="Normal 12 2 2 2 6 3 2" xfId="37183" xr:uid="{8C4FBE55-4336-417D-BAB9-E57A7E57EFFF}"/>
    <cellStyle name="Normal 12 2 2 2 6 4" xfId="11842" xr:uid="{50095BC6-95C1-47C8-97D3-14F14935AE9A}"/>
    <cellStyle name="Normal 12 2 2 2 6 5" xfId="28736" xr:uid="{42154438-1B4E-4996-8702-E78A6FCA32AD}"/>
    <cellStyle name="Normal 12 2 2 2 7" xfId="4667" xr:uid="{00000000-0005-0000-0000-0000E20D0000}"/>
    <cellStyle name="Normal 12 2 2 2 7 2" xfId="22440" xr:uid="{FDE6886F-AABD-4D25-A4F1-34611BAF6362}"/>
    <cellStyle name="Normal 12 2 2 2 7 2 2" xfId="39334" xr:uid="{C3023D54-3435-481A-AD67-110D442A954C}"/>
    <cellStyle name="Normal 12 2 2 2 7 3" xfId="13993" xr:uid="{1C9ECE22-2243-4A7E-9E16-B3C32C468EF4}"/>
    <cellStyle name="Normal 12 2 2 2 7 4" xfId="30887" xr:uid="{354D8FBD-2F8B-46E5-A4B8-F5C1D8999340}"/>
    <cellStyle name="Normal 12 2 2 2 8" xfId="9121" xr:uid="{527C15BB-BE4D-46AB-9317-CC8E6838C91D}"/>
    <cellStyle name="Normal 12 2 2 2 8 2" xfId="18223" xr:uid="{85216C39-173B-4B65-AD55-0C90B0209C6B}"/>
    <cellStyle name="Normal 12 2 2 2 8 3" xfId="35117" xr:uid="{DF178AA8-299D-4BED-B8A7-7079431CE7B4}"/>
    <cellStyle name="Normal 12 2 2 2 9" xfId="9776" xr:uid="{6A851B96-DC9F-4B66-A4CC-BAD48E2A25CB}"/>
    <cellStyle name="Normal 12 2 2 3" xfId="762" xr:uid="{00000000-0005-0000-0000-0000E30D0000}"/>
    <cellStyle name="Normal 12 2 2 3 2" xfId="3003" xr:uid="{00000000-0005-0000-0000-0000E40D0000}"/>
    <cellStyle name="Normal 12 2 2 3 2 2" xfId="7225" xr:uid="{00000000-0005-0000-0000-0000E50D0000}"/>
    <cellStyle name="Normal 12 2 2 3 2 2 2" xfId="24998" xr:uid="{961AFA8D-27DE-4901-9737-BEAEC0AB31BD}"/>
    <cellStyle name="Normal 12 2 2 3 2 2 2 2" xfId="41892" xr:uid="{CF037966-4B9E-4D6C-85A0-22C39991CD11}"/>
    <cellStyle name="Normal 12 2 2 3 2 2 3" xfId="16551" xr:uid="{26F80D1B-1F0C-4F44-A3A6-7D9C0151D432}"/>
    <cellStyle name="Normal 12 2 2 3 2 2 4" xfId="33445" xr:uid="{9414550C-4A21-490C-AB09-192B21C291CE}"/>
    <cellStyle name="Normal 12 2 2 3 2 3" xfId="20781" xr:uid="{91D225C0-633C-417B-A091-1134BE9B7BB3}"/>
    <cellStyle name="Normal 12 2 2 3 2 3 2" xfId="37675" xr:uid="{B7A79D80-AA26-4A06-B563-D2B750C7DCDE}"/>
    <cellStyle name="Normal 12 2 2 3 2 4" xfId="12334" xr:uid="{B1B2B7C7-08D1-4F39-AAB2-F0A20B867E23}"/>
    <cellStyle name="Normal 12 2 2 3 2 5" xfId="29228" xr:uid="{CCC29C86-585B-4703-ACFA-5C8B8B5C0BB4}"/>
    <cellStyle name="Normal 12 2 2 3 3" xfId="5080" xr:uid="{00000000-0005-0000-0000-0000E60D0000}"/>
    <cellStyle name="Normal 12 2 2 3 3 2" xfId="22853" xr:uid="{206CD8C5-5734-4BA5-8441-43640408869A}"/>
    <cellStyle name="Normal 12 2 2 3 3 2 2" xfId="39747" xr:uid="{BF476ED9-1BEF-4F73-88E7-2321BBE4E201}"/>
    <cellStyle name="Normal 12 2 2 3 3 3" xfId="14406" xr:uid="{80E021BB-4E59-467D-ABB5-D487B45F9EAF}"/>
    <cellStyle name="Normal 12 2 2 3 3 4" xfId="31300" xr:uid="{5C005929-621F-4888-B143-137A5214F0DE}"/>
    <cellStyle name="Normal 12 2 2 3 4" xfId="9339" xr:uid="{F3F800C1-92DF-4F1F-A561-C3F3C7F8BAD1}"/>
    <cellStyle name="Normal 12 2 2 3 4 2" xfId="18636" xr:uid="{F6D116F0-CE12-4745-AC7A-B66BF09B0370}"/>
    <cellStyle name="Normal 12 2 2 3 4 3" xfId="35530" xr:uid="{A6EC2D04-346D-4419-BFE3-089A4116AD54}"/>
    <cellStyle name="Normal 12 2 2 3 5" xfId="10189" xr:uid="{4859D3B1-3385-4DD4-AECA-1342BE9E979D}"/>
    <cellStyle name="Normal 12 2 2 3 6" xfId="27083" xr:uid="{61C6AC0B-B8A6-4F38-9257-B51D7EE1D571}"/>
    <cellStyle name="Normal 12 2 2 4" xfId="1185" xr:uid="{00000000-0005-0000-0000-0000E70D0000}"/>
    <cellStyle name="Normal 12 2 2 4 2" xfId="3416" xr:uid="{00000000-0005-0000-0000-0000E80D0000}"/>
    <cellStyle name="Normal 12 2 2 4 2 2" xfId="7638" xr:uid="{00000000-0005-0000-0000-0000E90D0000}"/>
    <cellStyle name="Normal 12 2 2 4 2 2 2" xfId="25411" xr:uid="{73B99141-A66E-48D5-84D0-428E8D6505FB}"/>
    <cellStyle name="Normal 12 2 2 4 2 2 2 2" xfId="42305" xr:uid="{0E343460-6309-401F-A6F5-4E5DE501E9B0}"/>
    <cellStyle name="Normal 12 2 2 4 2 2 3" xfId="16964" xr:uid="{93F33691-C422-4730-8104-F46CCCAFA45F}"/>
    <cellStyle name="Normal 12 2 2 4 2 2 4" xfId="33858" xr:uid="{8E3DDC83-0F32-42AA-82CB-E1AE4C1E7889}"/>
    <cellStyle name="Normal 12 2 2 4 2 3" xfId="21194" xr:uid="{240DBA7F-8F2B-490D-A59B-C44CD1DCA7B4}"/>
    <cellStyle name="Normal 12 2 2 4 2 3 2" xfId="38088" xr:uid="{D2CD0A3D-7C17-4BC8-8920-33B9151F6463}"/>
    <cellStyle name="Normal 12 2 2 4 2 4" xfId="12747" xr:uid="{2EE5A1E8-0C5F-44DB-A27B-526114CD1793}"/>
    <cellStyle name="Normal 12 2 2 4 2 5" xfId="29641" xr:uid="{A37EF80A-BF4C-4ADB-A691-3738C9B05769}"/>
    <cellStyle name="Normal 12 2 2 4 3" xfId="5493" xr:uid="{00000000-0005-0000-0000-0000EA0D0000}"/>
    <cellStyle name="Normal 12 2 2 4 3 2" xfId="23266" xr:uid="{9C3B6EBA-3C25-444D-8704-F88360B3AB81}"/>
    <cellStyle name="Normal 12 2 2 4 3 2 2" xfId="40160" xr:uid="{6B998380-A606-49FA-9AE9-7D4A6229DE14}"/>
    <cellStyle name="Normal 12 2 2 4 3 3" xfId="14819" xr:uid="{765AD3FE-8143-4B32-81B5-6B07CF01D373}"/>
    <cellStyle name="Normal 12 2 2 4 3 4" xfId="31713" xr:uid="{D54AD2A4-C969-43D8-ADE3-ED6D520D8DBE}"/>
    <cellStyle name="Normal 12 2 2 4 4" xfId="19049" xr:uid="{6227B267-C1B9-4DCB-84D3-3591F2558CCC}"/>
    <cellStyle name="Normal 12 2 2 4 4 2" xfId="35943" xr:uid="{AC2E7668-B2D4-46F5-95D5-7EAE02826736}"/>
    <cellStyle name="Normal 12 2 2 4 5" xfId="10602" xr:uid="{F1DE83B7-1E52-41D0-949C-434EACE60382}"/>
    <cellStyle name="Normal 12 2 2 4 6" xfId="27496" xr:uid="{B47B142F-9A42-45D5-BE9E-A2D63A5AC1CF}"/>
    <cellStyle name="Normal 12 2 2 5" xfId="1599" xr:uid="{00000000-0005-0000-0000-0000EB0D0000}"/>
    <cellStyle name="Normal 12 2 2 5 2" xfId="3829" xr:uid="{00000000-0005-0000-0000-0000EC0D0000}"/>
    <cellStyle name="Normal 12 2 2 5 2 2" xfId="8051" xr:uid="{00000000-0005-0000-0000-0000ED0D0000}"/>
    <cellStyle name="Normal 12 2 2 5 2 2 2" xfId="25824" xr:uid="{6BEC0C67-AA06-4D97-91EB-6B4BBB1789B2}"/>
    <cellStyle name="Normal 12 2 2 5 2 2 2 2" xfId="42718" xr:uid="{5A61155F-ACCC-44BD-880F-F37D4B5FE8C8}"/>
    <cellStyle name="Normal 12 2 2 5 2 2 3" xfId="17377" xr:uid="{591893FB-754F-4AB6-AEAC-FC0B96D702BF}"/>
    <cellStyle name="Normal 12 2 2 5 2 2 4" xfId="34271" xr:uid="{ECDC0ABC-2D0C-43C9-B0F7-99A3561DCEB5}"/>
    <cellStyle name="Normal 12 2 2 5 2 3" xfId="21607" xr:uid="{5EC3BA9E-6D8A-455E-BC4D-50BC49701629}"/>
    <cellStyle name="Normal 12 2 2 5 2 3 2" xfId="38501" xr:uid="{B9F7A580-B558-466A-95FB-5298DDEB6494}"/>
    <cellStyle name="Normal 12 2 2 5 2 4" xfId="13160" xr:uid="{78C00FA7-D975-4BD5-970D-AA47DE1CB111}"/>
    <cellStyle name="Normal 12 2 2 5 2 5" xfId="30054" xr:uid="{EDA770B8-0B69-4BC5-9073-48AA4CE47D3E}"/>
    <cellStyle name="Normal 12 2 2 5 3" xfId="5906" xr:uid="{00000000-0005-0000-0000-0000EE0D0000}"/>
    <cellStyle name="Normal 12 2 2 5 3 2" xfId="23679" xr:uid="{09CB5AE5-1C5E-406A-86DB-2A6904120D1B}"/>
    <cellStyle name="Normal 12 2 2 5 3 2 2" xfId="40573" xr:uid="{923BD1A1-10C2-4000-BA15-AAB15D9A3672}"/>
    <cellStyle name="Normal 12 2 2 5 3 3" xfId="15232" xr:uid="{CA6DFD83-C547-4B6E-8511-195E05C824F1}"/>
    <cellStyle name="Normal 12 2 2 5 3 4" xfId="32126" xr:uid="{55691C90-E003-43C4-82EB-2DAB5589149A}"/>
    <cellStyle name="Normal 12 2 2 5 4" xfId="19462" xr:uid="{7138894B-83AB-4FD4-AEA9-3B1092E12341}"/>
    <cellStyle name="Normal 12 2 2 5 4 2" xfId="36356" xr:uid="{E8FABB2A-236C-4485-AA7E-468729208186}"/>
    <cellStyle name="Normal 12 2 2 5 5" xfId="11015" xr:uid="{41625182-5B5E-4E9C-B273-D9E3319FEEF1}"/>
    <cellStyle name="Normal 12 2 2 5 6" xfId="27909" xr:uid="{900C92AE-AA1A-400F-B8F7-F0D0FCDAB95A}"/>
    <cellStyle name="Normal 12 2 2 6" xfId="2013" xr:uid="{00000000-0005-0000-0000-0000EF0D0000}"/>
    <cellStyle name="Normal 12 2 2 6 2" xfId="4242" xr:uid="{00000000-0005-0000-0000-0000F00D0000}"/>
    <cellStyle name="Normal 12 2 2 6 2 2" xfId="8464" xr:uid="{00000000-0005-0000-0000-0000F10D0000}"/>
    <cellStyle name="Normal 12 2 2 6 2 2 2" xfId="26237" xr:uid="{15925002-F1CA-46C8-9140-0093E0472507}"/>
    <cellStyle name="Normal 12 2 2 6 2 2 2 2" xfId="43131" xr:uid="{3EA2D276-8BE9-4F4F-ACA8-990D80CDCCD5}"/>
    <cellStyle name="Normal 12 2 2 6 2 2 3" xfId="17790" xr:uid="{08DF1AB9-03A1-4B4C-92E0-F2B14478116A}"/>
    <cellStyle name="Normal 12 2 2 6 2 2 4" xfId="34684" xr:uid="{04029328-43AA-4420-AC34-F8DBEFCE50B6}"/>
    <cellStyle name="Normal 12 2 2 6 2 3" xfId="22020" xr:uid="{97C38AEB-E0F0-4C81-923F-7DB7D0F64535}"/>
    <cellStyle name="Normal 12 2 2 6 2 3 2" xfId="38914" xr:uid="{6C38EFF3-E691-4781-8391-C2F2F21C0251}"/>
    <cellStyle name="Normal 12 2 2 6 2 4" xfId="13573" xr:uid="{87B9EA42-A7D0-4F55-9990-25B8BBB03AFB}"/>
    <cellStyle name="Normal 12 2 2 6 2 5" xfId="30467" xr:uid="{50B6838F-ED5F-4B2C-96D8-C4AD6A724692}"/>
    <cellStyle name="Normal 12 2 2 6 3" xfId="6319" xr:uid="{00000000-0005-0000-0000-0000F20D0000}"/>
    <cellStyle name="Normal 12 2 2 6 3 2" xfId="24092" xr:uid="{7A1A2033-2254-4A80-82A1-D60D6CB74B62}"/>
    <cellStyle name="Normal 12 2 2 6 3 2 2" xfId="40986" xr:uid="{99B95105-0312-4750-8FBF-F1F0519E6CA8}"/>
    <cellStyle name="Normal 12 2 2 6 3 3" xfId="15645" xr:uid="{D4FC6C06-A9E0-4E96-9CFC-FC7973046E79}"/>
    <cellStyle name="Normal 12 2 2 6 3 4" xfId="32539" xr:uid="{05F8C254-3AFD-4FB8-88E6-3EB5DF2DD2E3}"/>
    <cellStyle name="Normal 12 2 2 6 4" xfId="19875" xr:uid="{27F6A858-EF7F-4B11-AAC5-57B1B23449F1}"/>
    <cellStyle name="Normal 12 2 2 6 4 2" xfId="36769" xr:uid="{2A5908C5-0C4A-4B77-B056-C0B5C06F1A97}"/>
    <cellStyle name="Normal 12 2 2 6 5" xfId="11428" xr:uid="{03063B8C-E4AB-46E9-A60D-D3901D87D261}"/>
    <cellStyle name="Normal 12 2 2 6 6" xfId="28322" xr:uid="{B53F1D7A-9CBA-4999-BCB9-10E97881453E}"/>
    <cellStyle name="Normal 12 2 2 7" xfId="2449" xr:uid="{00000000-0005-0000-0000-0000F30D0000}"/>
    <cellStyle name="Normal 12 2 2 7 2" xfId="6732" xr:uid="{00000000-0005-0000-0000-0000F40D0000}"/>
    <cellStyle name="Normal 12 2 2 7 2 2" xfId="24505" xr:uid="{787AAE0B-86AA-4C04-9C99-638B56E7F41F}"/>
    <cellStyle name="Normal 12 2 2 7 2 2 2" xfId="41399" xr:uid="{E6961D7D-7592-416B-918F-AF3F7EE10CDC}"/>
    <cellStyle name="Normal 12 2 2 7 2 3" xfId="16058" xr:uid="{37375EF5-1E2E-4FA6-945D-5DB8772E581B}"/>
    <cellStyle name="Normal 12 2 2 7 2 4" xfId="32952" xr:uid="{6D4375D0-5CDD-4B33-BC55-B94D9C85A3B8}"/>
    <cellStyle name="Normal 12 2 2 7 3" xfId="20288" xr:uid="{36678B81-2CD0-4E2E-9D40-79E1135878E0}"/>
    <cellStyle name="Normal 12 2 2 7 3 2" xfId="37182" xr:uid="{43F750AE-F670-4C21-9731-1877D82F0AAB}"/>
    <cellStyle name="Normal 12 2 2 7 4" xfId="11841" xr:uid="{3FD1D914-7B17-4446-B0D2-679B56350155}"/>
    <cellStyle name="Normal 12 2 2 7 5" xfId="28735" xr:uid="{410DB426-6FCA-40FB-8137-4CB8612D9D42}"/>
    <cellStyle name="Normal 12 2 2 8" xfId="4666" xr:uid="{00000000-0005-0000-0000-0000F50D0000}"/>
    <cellStyle name="Normal 12 2 2 8 2" xfId="22439" xr:uid="{D3B78044-4804-4E2B-AABF-12E3654CDD7D}"/>
    <cellStyle name="Normal 12 2 2 8 2 2" xfId="39333" xr:uid="{B4700DD4-2441-4577-BFFB-8C499A044B71}"/>
    <cellStyle name="Normal 12 2 2 8 3" xfId="13992" xr:uid="{413C4615-0EFC-4EFC-8BE5-0FF67589FBBB}"/>
    <cellStyle name="Normal 12 2 2 8 4" xfId="30886" xr:uid="{611B2E0D-523E-46D8-B134-FE7D3B8E2D84}"/>
    <cellStyle name="Normal 12 2 2 9" xfId="8914" xr:uid="{85903DBC-FA0A-4A9D-9FB4-BA36A4B6F510}"/>
    <cellStyle name="Normal 12 2 2 9 2" xfId="18222" xr:uid="{0F22A8F8-EB01-40B5-AE0A-F1E45D4DF18A}"/>
    <cellStyle name="Normal 12 2 2 9 3" xfId="35116" xr:uid="{3A8EF441-3925-4E0F-8C0F-0D434E8BE931}"/>
    <cellStyle name="Normal 12 2 3" xfId="263" xr:uid="{00000000-0005-0000-0000-0000F60D0000}"/>
    <cellStyle name="Normal 12 2 3 10" xfId="26671" xr:uid="{C1750556-1D3F-498A-8D8B-2B64E6760FED}"/>
    <cellStyle name="Normal 12 2 3 2" xfId="764" xr:uid="{00000000-0005-0000-0000-0000F70D0000}"/>
    <cellStyle name="Normal 12 2 3 2 2" xfId="3005" xr:uid="{00000000-0005-0000-0000-0000F80D0000}"/>
    <cellStyle name="Normal 12 2 3 2 2 2" xfId="7227" xr:uid="{00000000-0005-0000-0000-0000F90D0000}"/>
    <cellStyle name="Normal 12 2 3 2 2 2 2" xfId="25000" xr:uid="{A4CAD573-3C14-473C-A79C-DC08B2B78050}"/>
    <cellStyle name="Normal 12 2 3 2 2 2 2 2" xfId="41894" xr:uid="{552BEFD8-0ABA-4D4B-9965-7E59F05D537A}"/>
    <cellStyle name="Normal 12 2 3 2 2 2 3" xfId="16553" xr:uid="{C33B0055-3D36-4502-839E-49D2B09BD9B0}"/>
    <cellStyle name="Normal 12 2 3 2 2 2 4" xfId="33447" xr:uid="{80FF5F42-597C-4661-862A-BD576E53C979}"/>
    <cellStyle name="Normal 12 2 3 2 2 3" xfId="20783" xr:uid="{CD798872-1BEB-4862-A6A6-EEF882126F17}"/>
    <cellStyle name="Normal 12 2 3 2 2 3 2" xfId="37677" xr:uid="{FCF2C437-45B3-4D1D-A07C-8B2F9787FA7D}"/>
    <cellStyle name="Normal 12 2 3 2 2 4" xfId="12336" xr:uid="{9CF36CEC-EB08-4810-BB00-30041B8A2FCC}"/>
    <cellStyle name="Normal 12 2 3 2 2 5" xfId="29230" xr:uid="{D1589FDC-BD91-4A1E-9BEF-95B8D3A0C027}"/>
    <cellStyle name="Normal 12 2 3 2 3" xfId="5082" xr:uid="{00000000-0005-0000-0000-0000FA0D0000}"/>
    <cellStyle name="Normal 12 2 3 2 3 2" xfId="22855" xr:uid="{48513560-BE5E-4446-8C70-623A55E70561}"/>
    <cellStyle name="Normal 12 2 3 2 3 2 2" xfId="39749" xr:uid="{8CCAD599-90DF-4009-9A15-E5EA14210F57}"/>
    <cellStyle name="Normal 12 2 3 2 3 3" xfId="14408" xr:uid="{C6C0BE32-C22E-4CC9-9B5A-A24E5486193C}"/>
    <cellStyle name="Normal 12 2 3 2 3 4" xfId="31302" xr:uid="{03A9DD1C-50E9-42F8-93A9-92A12A82A6E6}"/>
    <cellStyle name="Normal 12 2 3 2 4" xfId="9443" xr:uid="{61F0A971-1285-4215-8170-49D07520551A}"/>
    <cellStyle name="Normal 12 2 3 2 4 2" xfId="18638" xr:uid="{56503065-E014-4D78-A0A8-34D1DD7284D3}"/>
    <cellStyle name="Normal 12 2 3 2 4 3" xfId="35532" xr:uid="{33E4890D-F905-443D-BCE1-686A7C9E84C4}"/>
    <cellStyle name="Normal 12 2 3 2 5" xfId="10191" xr:uid="{882E0359-6E4B-4FC0-AF83-DACC6133BB4C}"/>
    <cellStyle name="Normal 12 2 3 2 6" xfId="27085" xr:uid="{7FFBED06-10B1-42D2-B82B-8E3F074EACF5}"/>
    <cellStyle name="Normal 12 2 3 3" xfId="1187" xr:uid="{00000000-0005-0000-0000-0000FB0D0000}"/>
    <cellStyle name="Normal 12 2 3 3 2" xfId="3418" xr:uid="{00000000-0005-0000-0000-0000FC0D0000}"/>
    <cellStyle name="Normal 12 2 3 3 2 2" xfId="7640" xr:uid="{00000000-0005-0000-0000-0000FD0D0000}"/>
    <cellStyle name="Normal 12 2 3 3 2 2 2" xfId="25413" xr:uid="{F95B36E9-CCC1-4A41-9F22-86DD69E13123}"/>
    <cellStyle name="Normal 12 2 3 3 2 2 2 2" xfId="42307" xr:uid="{ABAF52D2-C6AF-4B96-8D94-695C8DBC6E97}"/>
    <cellStyle name="Normal 12 2 3 3 2 2 3" xfId="16966" xr:uid="{F9EB98B7-BD3C-48CB-A0BA-6A88C393CBCC}"/>
    <cellStyle name="Normal 12 2 3 3 2 2 4" xfId="33860" xr:uid="{A2347B6F-51BE-440C-8C1A-469BB47E7CE3}"/>
    <cellStyle name="Normal 12 2 3 3 2 3" xfId="21196" xr:uid="{8937D309-8B01-44C5-B451-66D6067A4800}"/>
    <cellStyle name="Normal 12 2 3 3 2 3 2" xfId="38090" xr:uid="{BDDD331D-CA0A-43FF-A0DD-86038BCD1A8D}"/>
    <cellStyle name="Normal 12 2 3 3 2 4" xfId="12749" xr:uid="{289C7DB9-4864-42EA-AF12-2E7DE2EBFF05}"/>
    <cellStyle name="Normal 12 2 3 3 2 5" xfId="29643" xr:uid="{B768DEAD-39F1-41F1-B6FC-3D21B000B669}"/>
    <cellStyle name="Normal 12 2 3 3 3" xfId="5495" xr:uid="{00000000-0005-0000-0000-0000FE0D0000}"/>
    <cellStyle name="Normal 12 2 3 3 3 2" xfId="23268" xr:uid="{11872DC8-8269-472D-8EFC-DDFC81A49BF2}"/>
    <cellStyle name="Normal 12 2 3 3 3 2 2" xfId="40162" xr:uid="{02137BAE-02B7-402E-AECA-22457900E7B8}"/>
    <cellStyle name="Normal 12 2 3 3 3 3" xfId="14821" xr:uid="{B562F31C-F8BE-45DB-8501-12343C4F086B}"/>
    <cellStyle name="Normal 12 2 3 3 3 4" xfId="31715" xr:uid="{F85162ED-AF22-403C-9193-ADE7F09D5B8C}"/>
    <cellStyle name="Normal 12 2 3 3 4" xfId="19051" xr:uid="{5EF11207-EFE3-4547-B596-DD1A82C73756}"/>
    <cellStyle name="Normal 12 2 3 3 4 2" xfId="35945" xr:uid="{FF531412-B6F9-45C2-B45B-2DB4C5A9F007}"/>
    <cellStyle name="Normal 12 2 3 3 5" xfId="10604" xr:uid="{5BFADE1E-E888-41AD-854D-7729ADD80E7D}"/>
    <cellStyle name="Normal 12 2 3 3 6" xfId="27498" xr:uid="{9F46C209-2D23-4432-A8E9-E959216175AB}"/>
    <cellStyle name="Normal 12 2 3 4" xfId="1601" xr:uid="{00000000-0005-0000-0000-0000FF0D0000}"/>
    <cellStyle name="Normal 12 2 3 4 2" xfId="3831" xr:uid="{00000000-0005-0000-0000-0000000E0000}"/>
    <cellStyle name="Normal 12 2 3 4 2 2" xfId="8053" xr:uid="{00000000-0005-0000-0000-0000010E0000}"/>
    <cellStyle name="Normal 12 2 3 4 2 2 2" xfId="25826" xr:uid="{425E880B-A04F-4283-906F-9D7E383D150A}"/>
    <cellStyle name="Normal 12 2 3 4 2 2 2 2" xfId="42720" xr:uid="{E8A7171B-F389-4C23-9481-795758CE87E5}"/>
    <cellStyle name="Normal 12 2 3 4 2 2 3" xfId="17379" xr:uid="{367037A3-2B1B-4420-B2C7-1A7C8AD7425F}"/>
    <cellStyle name="Normal 12 2 3 4 2 2 4" xfId="34273" xr:uid="{E0AFF763-6A7C-4BFC-9919-86B3DC353FCD}"/>
    <cellStyle name="Normal 12 2 3 4 2 3" xfId="21609" xr:uid="{0BF766B8-301E-4E96-9296-546BBB70124B}"/>
    <cellStyle name="Normal 12 2 3 4 2 3 2" xfId="38503" xr:uid="{1174255E-F5C4-4338-A888-03387688D6E8}"/>
    <cellStyle name="Normal 12 2 3 4 2 4" xfId="13162" xr:uid="{5E077260-999A-4C31-8139-1B34E5BF6F19}"/>
    <cellStyle name="Normal 12 2 3 4 2 5" xfId="30056" xr:uid="{BD02011B-7D3F-4770-AF42-BA738C59DCCA}"/>
    <cellStyle name="Normal 12 2 3 4 3" xfId="5908" xr:uid="{00000000-0005-0000-0000-0000020E0000}"/>
    <cellStyle name="Normal 12 2 3 4 3 2" xfId="23681" xr:uid="{BD621938-1B50-4F23-ACC4-A5EC49DDC331}"/>
    <cellStyle name="Normal 12 2 3 4 3 2 2" xfId="40575" xr:uid="{3B0E2F8E-E590-40C0-8572-5F1B5871905C}"/>
    <cellStyle name="Normal 12 2 3 4 3 3" xfId="15234" xr:uid="{20AC6635-EDB5-476D-9C00-74E78EE9506C}"/>
    <cellStyle name="Normal 12 2 3 4 3 4" xfId="32128" xr:uid="{3792BD52-3CC1-4002-9143-DCA0714CF014}"/>
    <cellStyle name="Normal 12 2 3 4 4" xfId="19464" xr:uid="{3D94F978-E0AA-4F9C-B027-243CC790D261}"/>
    <cellStyle name="Normal 12 2 3 4 4 2" xfId="36358" xr:uid="{334D2637-E1C5-4640-8753-5C7455E0FC46}"/>
    <cellStyle name="Normal 12 2 3 4 5" xfId="11017" xr:uid="{2D49939D-0433-40A5-8EDE-809660BB3250}"/>
    <cellStyle name="Normal 12 2 3 4 6" xfId="27911" xr:uid="{D6F939DC-E345-48B6-98E4-9CB4B7E160C5}"/>
    <cellStyle name="Normal 12 2 3 5" xfId="2015" xr:uid="{00000000-0005-0000-0000-0000030E0000}"/>
    <cellStyle name="Normal 12 2 3 5 2" xfId="4244" xr:uid="{00000000-0005-0000-0000-0000040E0000}"/>
    <cellStyle name="Normal 12 2 3 5 2 2" xfId="8466" xr:uid="{00000000-0005-0000-0000-0000050E0000}"/>
    <cellStyle name="Normal 12 2 3 5 2 2 2" xfId="26239" xr:uid="{B202A613-881B-45B2-BBD5-B172E584DFF0}"/>
    <cellStyle name="Normal 12 2 3 5 2 2 2 2" xfId="43133" xr:uid="{76016B64-91FA-474B-9BA8-1B33F667D754}"/>
    <cellStyle name="Normal 12 2 3 5 2 2 3" xfId="17792" xr:uid="{ED2A6864-FEA5-41FA-85F3-8B90C5CD57AD}"/>
    <cellStyle name="Normal 12 2 3 5 2 2 4" xfId="34686" xr:uid="{38D4E531-68E9-4E5C-93CF-E2B79056CA32}"/>
    <cellStyle name="Normal 12 2 3 5 2 3" xfId="22022" xr:uid="{D7BF367C-FF0D-49B3-9F41-7575741DF758}"/>
    <cellStyle name="Normal 12 2 3 5 2 3 2" xfId="38916" xr:uid="{AE6EF95C-2313-450B-9563-56B524E5D602}"/>
    <cellStyle name="Normal 12 2 3 5 2 4" xfId="13575" xr:uid="{D1E830A2-BBCD-42C1-95F5-617D1DC372AC}"/>
    <cellStyle name="Normal 12 2 3 5 2 5" xfId="30469" xr:uid="{58AD6CD8-D1CA-4739-8129-BEB301C18654}"/>
    <cellStyle name="Normal 12 2 3 5 3" xfId="6321" xr:uid="{00000000-0005-0000-0000-0000060E0000}"/>
    <cellStyle name="Normal 12 2 3 5 3 2" xfId="24094" xr:uid="{01A5B766-A995-42FB-B78D-B4F5FAD80BFB}"/>
    <cellStyle name="Normal 12 2 3 5 3 2 2" xfId="40988" xr:uid="{D412F80C-9132-4EEE-90A8-8DF04E565278}"/>
    <cellStyle name="Normal 12 2 3 5 3 3" xfId="15647" xr:uid="{B872CDF2-263B-4058-AE25-1DC8132BE91E}"/>
    <cellStyle name="Normal 12 2 3 5 3 4" xfId="32541" xr:uid="{53C1E44D-D88F-4C5B-BF07-86EBB76EE27E}"/>
    <cellStyle name="Normal 12 2 3 5 4" xfId="19877" xr:uid="{67970A94-6564-4EDD-A540-9227A3C9FB1A}"/>
    <cellStyle name="Normal 12 2 3 5 4 2" xfId="36771" xr:uid="{9432ACFF-585A-411A-A1A6-95821388921B}"/>
    <cellStyle name="Normal 12 2 3 5 5" xfId="11430" xr:uid="{F241FB1C-6101-4202-A893-F8E7A4606A6F}"/>
    <cellStyle name="Normal 12 2 3 5 6" xfId="28324" xr:uid="{CBEDE375-BD3B-4081-BE78-5FD6AC0C164A}"/>
    <cellStyle name="Normal 12 2 3 6" xfId="2451" xr:uid="{00000000-0005-0000-0000-0000070E0000}"/>
    <cellStyle name="Normal 12 2 3 6 2" xfId="6734" xr:uid="{00000000-0005-0000-0000-0000080E0000}"/>
    <cellStyle name="Normal 12 2 3 6 2 2" xfId="24507" xr:uid="{32FBA6E7-6388-40A0-904A-BE2D991DB2E0}"/>
    <cellStyle name="Normal 12 2 3 6 2 2 2" xfId="41401" xr:uid="{39A43DD7-E8AA-4668-91A8-E6480E1C98B0}"/>
    <cellStyle name="Normal 12 2 3 6 2 3" xfId="16060" xr:uid="{A1AF7385-6359-4ABF-8F28-F55237CE0E2A}"/>
    <cellStyle name="Normal 12 2 3 6 2 4" xfId="32954" xr:uid="{FA0B7AF4-FB2A-46E7-B570-77A561B993A3}"/>
    <cellStyle name="Normal 12 2 3 6 3" xfId="20290" xr:uid="{38A46EA3-A0CB-44DD-8807-E6E66FA0455F}"/>
    <cellStyle name="Normal 12 2 3 6 3 2" xfId="37184" xr:uid="{4D31B636-2FE7-4516-B536-21CB3FB35B1A}"/>
    <cellStyle name="Normal 12 2 3 6 4" xfId="11843" xr:uid="{AD52FCAB-753B-4893-B318-BE4F45238995}"/>
    <cellStyle name="Normal 12 2 3 6 5" xfId="28737" xr:uid="{CB611208-9396-4419-A51A-06A4EC6AC062}"/>
    <cellStyle name="Normal 12 2 3 7" xfId="4668" xr:uid="{00000000-0005-0000-0000-0000090E0000}"/>
    <cellStyle name="Normal 12 2 3 7 2" xfId="22441" xr:uid="{94B92715-00B6-45CE-967C-7DF7F02FCD3A}"/>
    <cellStyle name="Normal 12 2 3 7 2 2" xfId="39335" xr:uid="{FF3149A6-5018-4E23-AFCE-6B6E3D61E261}"/>
    <cellStyle name="Normal 12 2 3 7 3" xfId="13994" xr:uid="{A369F929-438D-4CFA-874E-7CBCD79C40F2}"/>
    <cellStyle name="Normal 12 2 3 7 4" xfId="30888" xr:uid="{0047586E-67DC-48B2-9818-036DEC1E09FB}"/>
    <cellStyle name="Normal 12 2 3 8" xfId="9018" xr:uid="{C3F41DC6-3A80-4145-A68D-169ABB54B6D0}"/>
    <cellStyle name="Normal 12 2 3 8 2" xfId="18224" xr:uid="{7C64BB74-3085-4FEC-BB3A-6AB134EA6D7E}"/>
    <cellStyle name="Normal 12 2 3 8 3" xfId="35118" xr:uid="{57CFBE24-3379-48C2-ABD4-499868737A39}"/>
    <cellStyle name="Normal 12 2 3 9" xfId="9777" xr:uid="{5E9086FF-2C50-4AD8-81AE-E4BF78B27353}"/>
    <cellStyle name="Normal 12 2 4" xfId="761" xr:uid="{00000000-0005-0000-0000-00000A0E0000}"/>
    <cellStyle name="Normal 12 2 4 2" xfId="3002" xr:uid="{00000000-0005-0000-0000-00000B0E0000}"/>
    <cellStyle name="Normal 12 2 4 2 2" xfId="7224" xr:uid="{00000000-0005-0000-0000-00000C0E0000}"/>
    <cellStyle name="Normal 12 2 4 2 2 2" xfId="24997" xr:uid="{C4C1CE86-2CAF-4595-A523-9280293B3103}"/>
    <cellStyle name="Normal 12 2 4 2 2 2 2" xfId="41891" xr:uid="{D070EF45-8796-40CD-A8B1-02C14167385F}"/>
    <cellStyle name="Normal 12 2 4 2 2 3" xfId="16550" xr:uid="{C384B329-D88E-451B-B6F8-332F4D46D148}"/>
    <cellStyle name="Normal 12 2 4 2 2 4" xfId="33444" xr:uid="{F57C46EA-7D8A-472D-BE67-1772F0F4F750}"/>
    <cellStyle name="Normal 12 2 4 2 3" xfId="20780" xr:uid="{1AED5E9A-B0C8-4FDC-B951-43A96D453096}"/>
    <cellStyle name="Normal 12 2 4 2 3 2" xfId="37674" xr:uid="{70F2816D-920F-4CE7-9B92-F49760A325C3}"/>
    <cellStyle name="Normal 12 2 4 2 4" xfId="12333" xr:uid="{634BF2C8-7E7C-4D64-9890-F94B0F0713E1}"/>
    <cellStyle name="Normal 12 2 4 2 5" xfId="29227" xr:uid="{B004C4E5-60D2-4242-9991-E9BDF573C139}"/>
    <cellStyle name="Normal 12 2 4 3" xfId="5079" xr:uid="{00000000-0005-0000-0000-00000D0E0000}"/>
    <cellStyle name="Normal 12 2 4 3 2" xfId="22852" xr:uid="{94E5420B-FA32-4A78-A72A-433A1EE464FD}"/>
    <cellStyle name="Normal 12 2 4 3 2 2" xfId="39746" xr:uid="{BD26B365-8FE8-4AD1-8BBC-E7D486406BA0}"/>
    <cellStyle name="Normal 12 2 4 3 3" xfId="14405" xr:uid="{83A73AAA-728C-4EDC-857E-5759F697621C}"/>
    <cellStyle name="Normal 12 2 4 3 4" xfId="31299" xr:uid="{AD194C6A-CFF3-4D28-B69B-76B79928AFCD}"/>
    <cellStyle name="Normal 12 2 4 4" xfId="9236" xr:uid="{C3D0196D-4BB3-4870-9762-A3CF40E5B45B}"/>
    <cellStyle name="Normal 12 2 4 4 2" xfId="18635" xr:uid="{D2C3884F-3DCA-442F-9EBD-F0EFC768C770}"/>
    <cellStyle name="Normal 12 2 4 4 3" xfId="35529" xr:uid="{B82CE825-559C-4FA6-9251-E62C808DE793}"/>
    <cellStyle name="Normal 12 2 4 5" xfId="10188" xr:uid="{F90D5C0E-304A-47F0-85F1-9E43BEB3654D}"/>
    <cellStyle name="Normal 12 2 4 6" xfId="27082" xr:uid="{0353FD6C-4FB0-4798-96BD-B13FA0C8E107}"/>
    <cellStyle name="Normal 12 2 5" xfId="1184" xr:uid="{00000000-0005-0000-0000-00000E0E0000}"/>
    <cellStyle name="Normal 12 2 5 2" xfId="3415" xr:uid="{00000000-0005-0000-0000-00000F0E0000}"/>
    <cellStyle name="Normal 12 2 5 2 2" xfId="7637" xr:uid="{00000000-0005-0000-0000-0000100E0000}"/>
    <cellStyle name="Normal 12 2 5 2 2 2" xfId="25410" xr:uid="{40EEC840-713F-4CB6-8732-AFB220B48487}"/>
    <cellStyle name="Normal 12 2 5 2 2 2 2" xfId="42304" xr:uid="{346003F9-DC07-40AB-8DDB-3DB837FE187E}"/>
    <cellStyle name="Normal 12 2 5 2 2 3" xfId="16963" xr:uid="{209596C2-04B5-4180-83A3-B5D570DF67DB}"/>
    <cellStyle name="Normal 12 2 5 2 2 4" xfId="33857" xr:uid="{1AC200D5-5C53-4FE2-B447-F117CC9C5860}"/>
    <cellStyle name="Normal 12 2 5 2 3" xfId="21193" xr:uid="{FAFE9F99-578A-4D9B-A109-B4E713ADD95E}"/>
    <cellStyle name="Normal 12 2 5 2 3 2" xfId="38087" xr:uid="{562E2C1D-2F86-4EFD-845B-D00B0ACD386B}"/>
    <cellStyle name="Normal 12 2 5 2 4" xfId="12746" xr:uid="{B8F135B6-F3B0-4405-BDA9-DB9F760CCC42}"/>
    <cellStyle name="Normal 12 2 5 2 5" xfId="29640" xr:uid="{D4E4817A-5F97-4325-9D6D-5C37D5CF6567}"/>
    <cellStyle name="Normal 12 2 5 3" xfId="5492" xr:uid="{00000000-0005-0000-0000-0000110E0000}"/>
    <cellStyle name="Normal 12 2 5 3 2" xfId="23265" xr:uid="{BBAD37CA-D52D-419D-BB6F-2F6808E60D65}"/>
    <cellStyle name="Normal 12 2 5 3 2 2" xfId="40159" xr:uid="{09690931-C12B-4E37-A97C-3FB93EEF5B00}"/>
    <cellStyle name="Normal 12 2 5 3 3" xfId="14818" xr:uid="{433E68B4-DA5C-4616-9447-D9B2F0C7575A}"/>
    <cellStyle name="Normal 12 2 5 3 4" xfId="31712" xr:uid="{34763B7F-E8E8-4224-9F61-8E8512D27310}"/>
    <cellStyle name="Normal 12 2 5 4" xfId="19048" xr:uid="{C603CA34-4BB1-4F45-84A9-6C7C95FEA04C}"/>
    <cellStyle name="Normal 12 2 5 4 2" xfId="35942" xr:uid="{7A275F7B-7B87-43B5-BF3A-FD4ED8FED4D2}"/>
    <cellStyle name="Normal 12 2 5 5" xfId="10601" xr:uid="{1EF80A58-6949-41FF-9AEA-32187664884A}"/>
    <cellStyle name="Normal 12 2 5 6" xfId="27495" xr:uid="{8BE9A9A5-0554-4993-880A-32B044BC1766}"/>
    <cellStyle name="Normal 12 2 6" xfId="1598" xr:uid="{00000000-0005-0000-0000-0000120E0000}"/>
    <cellStyle name="Normal 12 2 6 2" xfId="3828" xr:uid="{00000000-0005-0000-0000-0000130E0000}"/>
    <cellStyle name="Normal 12 2 6 2 2" xfId="8050" xr:uid="{00000000-0005-0000-0000-0000140E0000}"/>
    <cellStyle name="Normal 12 2 6 2 2 2" xfId="25823" xr:uid="{D4EA5BE9-6A77-4DD4-85BB-5FA330BE2591}"/>
    <cellStyle name="Normal 12 2 6 2 2 2 2" xfId="42717" xr:uid="{0B298BAC-02BA-4F71-8FBC-22E6850E1F54}"/>
    <cellStyle name="Normal 12 2 6 2 2 3" xfId="17376" xr:uid="{003876BB-B160-4B39-9476-3E5989AE8625}"/>
    <cellStyle name="Normal 12 2 6 2 2 4" xfId="34270" xr:uid="{8456C52B-1320-4D33-ADA6-48932997ECDC}"/>
    <cellStyle name="Normal 12 2 6 2 3" xfId="21606" xr:uid="{A99A765D-F14B-47E8-999C-6747559AF3CA}"/>
    <cellStyle name="Normal 12 2 6 2 3 2" xfId="38500" xr:uid="{7CF01F19-1E8D-455C-9C6E-ADB1E1E98A97}"/>
    <cellStyle name="Normal 12 2 6 2 4" xfId="13159" xr:uid="{6C35C289-EFC3-4EB4-B45A-F210DF6BF5D2}"/>
    <cellStyle name="Normal 12 2 6 2 5" xfId="30053" xr:uid="{0DC69568-7315-4D5A-8069-E7C7C8A0766E}"/>
    <cellStyle name="Normal 12 2 6 3" xfId="5905" xr:uid="{00000000-0005-0000-0000-0000150E0000}"/>
    <cellStyle name="Normal 12 2 6 3 2" xfId="23678" xr:uid="{5F7C3009-3225-4019-AA05-58DEB846FE92}"/>
    <cellStyle name="Normal 12 2 6 3 2 2" xfId="40572" xr:uid="{AA3384FA-CFA2-4136-9E2C-A64429BF901C}"/>
    <cellStyle name="Normal 12 2 6 3 3" xfId="15231" xr:uid="{2D7B32E9-0D4F-4DC0-88B2-8E7088FFEA98}"/>
    <cellStyle name="Normal 12 2 6 3 4" xfId="32125" xr:uid="{F9527B8B-F64A-4234-830B-DBE8A4D1AC8E}"/>
    <cellStyle name="Normal 12 2 6 4" xfId="19461" xr:uid="{B1F7C219-5751-473A-B7A2-5CD49C400DBA}"/>
    <cellStyle name="Normal 12 2 6 4 2" xfId="36355" xr:uid="{3633579D-374B-444C-BE29-7E77CAAAFB0F}"/>
    <cellStyle name="Normal 12 2 6 5" xfId="11014" xr:uid="{E1F402CA-7E6A-4E11-89E1-5E96951C1B62}"/>
    <cellStyle name="Normal 12 2 6 6" xfId="27908" xr:uid="{004F2269-B548-4B6C-82F1-23391B8A8CFC}"/>
    <cellStyle name="Normal 12 2 7" xfId="2012" xr:uid="{00000000-0005-0000-0000-0000160E0000}"/>
    <cellStyle name="Normal 12 2 7 2" xfId="4241" xr:uid="{00000000-0005-0000-0000-0000170E0000}"/>
    <cellStyle name="Normal 12 2 7 2 2" xfId="8463" xr:uid="{00000000-0005-0000-0000-0000180E0000}"/>
    <cellStyle name="Normal 12 2 7 2 2 2" xfId="26236" xr:uid="{8E1CA79B-7CDC-42AD-B0CA-6CA0746CB12C}"/>
    <cellStyle name="Normal 12 2 7 2 2 2 2" xfId="43130" xr:uid="{DF7B2A87-A4B4-4B6D-B0D4-5A7E1AABFCF5}"/>
    <cellStyle name="Normal 12 2 7 2 2 3" xfId="17789" xr:uid="{40A0B7F3-081F-4825-A8F0-75E0DCE3FF02}"/>
    <cellStyle name="Normal 12 2 7 2 2 4" xfId="34683" xr:uid="{2CCDEBE9-908B-4C74-9F1D-C53B45EEB222}"/>
    <cellStyle name="Normal 12 2 7 2 3" xfId="22019" xr:uid="{23E2FA44-9B69-4053-A03B-344AF617B986}"/>
    <cellStyle name="Normal 12 2 7 2 3 2" xfId="38913" xr:uid="{E0834990-ADCA-4C06-BF42-3E36F1367BBA}"/>
    <cellStyle name="Normal 12 2 7 2 4" xfId="13572" xr:uid="{A6C45178-ABB8-4AE5-B5A6-0420983A5664}"/>
    <cellStyle name="Normal 12 2 7 2 5" xfId="30466" xr:uid="{3001B563-89B7-4211-9AA9-51362FAF9A32}"/>
    <cellStyle name="Normal 12 2 7 3" xfId="6318" xr:uid="{00000000-0005-0000-0000-0000190E0000}"/>
    <cellStyle name="Normal 12 2 7 3 2" xfId="24091" xr:uid="{A845C14B-4B39-41FB-AC25-C5CFD97FC71A}"/>
    <cellStyle name="Normal 12 2 7 3 2 2" xfId="40985" xr:uid="{7B98352D-05DE-4156-A434-0747504F7EB7}"/>
    <cellStyle name="Normal 12 2 7 3 3" xfId="15644" xr:uid="{930D6915-6478-4B32-AA78-0E2ADE03C0FF}"/>
    <cellStyle name="Normal 12 2 7 3 4" xfId="32538" xr:uid="{2418FD27-9D6F-42A0-B4EF-9D1C3F1CF12B}"/>
    <cellStyle name="Normal 12 2 7 4" xfId="19874" xr:uid="{3DF8C71F-5753-433F-8793-D8A1A1F29B96}"/>
    <cellStyle name="Normal 12 2 7 4 2" xfId="36768" xr:uid="{EF5EBF47-479A-468B-994A-E25E552F358F}"/>
    <cellStyle name="Normal 12 2 7 5" xfId="11427" xr:uid="{3D177AF3-5228-4214-907C-193791422CF1}"/>
    <cellStyle name="Normal 12 2 7 6" xfId="28321" xr:uid="{26423C7F-273B-4F85-8B6E-6EFF80E0E058}"/>
    <cellStyle name="Normal 12 2 8" xfId="2448" xr:uid="{00000000-0005-0000-0000-00001A0E0000}"/>
    <cellStyle name="Normal 12 2 8 2" xfId="6731" xr:uid="{00000000-0005-0000-0000-00001B0E0000}"/>
    <cellStyle name="Normal 12 2 8 2 2" xfId="24504" xr:uid="{922BFD37-A29B-4326-AD96-87E3FDA6EEE5}"/>
    <cellStyle name="Normal 12 2 8 2 2 2" xfId="41398" xr:uid="{55224BE6-9B97-4F13-86B3-EEE6DBA8C0C4}"/>
    <cellStyle name="Normal 12 2 8 2 3" xfId="16057" xr:uid="{B630F6C4-EE33-476E-A519-0C9838C447F9}"/>
    <cellStyle name="Normal 12 2 8 2 4" xfId="32951" xr:uid="{4C72257C-12EB-44C0-AFBD-70F389C8887F}"/>
    <cellStyle name="Normal 12 2 8 3" xfId="20287" xr:uid="{02EB8C9B-3699-4AD6-844A-055A7A5D958F}"/>
    <cellStyle name="Normal 12 2 8 3 2" xfId="37181" xr:uid="{8F0262AC-62A1-4EBE-873F-88DE2039911A}"/>
    <cellStyle name="Normal 12 2 8 4" xfId="11840" xr:uid="{D26C5629-1EA0-47C5-B8D7-856F905056CF}"/>
    <cellStyle name="Normal 12 2 8 5" xfId="28734" xr:uid="{185F60CD-77B8-4BEC-8995-615F3869FB50}"/>
    <cellStyle name="Normal 12 2 9" xfId="4665" xr:uid="{00000000-0005-0000-0000-00001C0E0000}"/>
    <cellStyle name="Normal 12 2 9 2" xfId="22438" xr:uid="{5A14024D-8E7E-45C4-BA2D-796A2964A45D}"/>
    <cellStyle name="Normal 12 2 9 2 2" xfId="39332" xr:uid="{A67ACE9D-76FA-45F5-8BE7-EDA7648F96D6}"/>
    <cellStyle name="Normal 12 2 9 3" xfId="13991" xr:uid="{64EA334E-D79B-4940-ACB5-87CFEBE4323D}"/>
    <cellStyle name="Normal 12 2 9 4" xfId="30885" xr:uid="{269DB4B7-C501-4E6D-8DA2-20B3B1070FC9}"/>
    <cellStyle name="Normal 12 3" xfId="264" xr:uid="{00000000-0005-0000-0000-00001D0E0000}"/>
    <cellStyle name="Normal 12 3 10" xfId="9778" xr:uid="{909C124F-3207-43A1-B521-19D9D842900A}"/>
    <cellStyle name="Normal 12 3 11" xfId="26672" xr:uid="{3E5049D6-7843-465D-8FE5-0D373B49B83F}"/>
    <cellStyle name="Normal 12 3 2" xfId="265" xr:uid="{00000000-0005-0000-0000-00001E0E0000}"/>
    <cellStyle name="Normal 12 3 2 10" xfId="26673" xr:uid="{758B6E69-95E2-4F48-AC92-6ACDCFEA94D4}"/>
    <cellStyle name="Normal 12 3 2 2" xfId="766" xr:uid="{00000000-0005-0000-0000-00001F0E0000}"/>
    <cellStyle name="Normal 12 3 2 2 2" xfId="3007" xr:uid="{00000000-0005-0000-0000-0000200E0000}"/>
    <cellStyle name="Normal 12 3 2 2 2 2" xfId="7229" xr:uid="{00000000-0005-0000-0000-0000210E0000}"/>
    <cellStyle name="Normal 12 3 2 2 2 2 2" xfId="25002" xr:uid="{8E3E4423-A88F-4A6C-877E-03D75A7EDDBB}"/>
    <cellStyle name="Normal 12 3 2 2 2 2 2 2" xfId="41896" xr:uid="{92CE6494-579B-4CE4-BD53-C3664289C19B}"/>
    <cellStyle name="Normal 12 3 2 2 2 2 3" xfId="16555" xr:uid="{988E8113-6FC9-4C15-9084-FD69216CF63C}"/>
    <cellStyle name="Normal 12 3 2 2 2 2 4" xfId="33449" xr:uid="{189E1719-614D-4CA3-929F-2526D658702C}"/>
    <cellStyle name="Normal 12 3 2 2 2 3" xfId="20785" xr:uid="{8B64D79E-C4AB-4EFF-8B34-534D40C8F0F5}"/>
    <cellStyle name="Normal 12 3 2 2 2 3 2" xfId="37679" xr:uid="{DC6904D0-32F9-4CC7-B76D-BF47FABBA6D5}"/>
    <cellStyle name="Normal 12 3 2 2 2 4" xfId="12338" xr:uid="{DA84473D-A5AC-46F2-863A-1BB94BACB481}"/>
    <cellStyle name="Normal 12 3 2 2 2 5" xfId="29232" xr:uid="{84799272-1998-4D4F-A787-2239D051B46B}"/>
    <cellStyle name="Normal 12 3 2 2 3" xfId="5084" xr:uid="{00000000-0005-0000-0000-0000220E0000}"/>
    <cellStyle name="Normal 12 3 2 2 3 2" xfId="22857" xr:uid="{F0773BE9-B269-44D5-A6D8-F5FCB52881EB}"/>
    <cellStyle name="Normal 12 3 2 2 3 2 2" xfId="39751" xr:uid="{4139B3CD-FF2C-470D-94E2-0C163B6A80EE}"/>
    <cellStyle name="Normal 12 3 2 2 3 3" xfId="14410" xr:uid="{36112FFC-07C7-48A7-85EA-141B147C9C99}"/>
    <cellStyle name="Normal 12 3 2 2 3 4" xfId="31304" xr:uid="{94FA8412-9197-440F-9192-9FF917F02A79}"/>
    <cellStyle name="Normal 12 3 2 2 4" xfId="9505" xr:uid="{B127619B-367D-40AD-851E-01DDBB2DCD13}"/>
    <cellStyle name="Normal 12 3 2 2 4 2" xfId="18640" xr:uid="{E1ACF82A-DE22-43CF-BC0B-AA20A8B30D6E}"/>
    <cellStyle name="Normal 12 3 2 2 4 3" xfId="35534" xr:uid="{2BAEABE2-A8E4-490F-80C2-66D756673F59}"/>
    <cellStyle name="Normal 12 3 2 2 5" xfId="10193" xr:uid="{A8D919AB-5329-4E5A-9A90-D30AD83C3CF2}"/>
    <cellStyle name="Normal 12 3 2 2 6" xfId="27087" xr:uid="{0B08A285-D2D7-4E2B-9EAF-97C4CD9C66BE}"/>
    <cellStyle name="Normal 12 3 2 3" xfId="1189" xr:uid="{00000000-0005-0000-0000-0000230E0000}"/>
    <cellStyle name="Normal 12 3 2 3 2" xfId="3420" xr:uid="{00000000-0005-0000-0000-0000240E0000}"/>
    <cellStyle name="Normal 12 3 2 3 2 2" xfId="7642" xr:uid="{00000000-0005-0000-0000-0000250E0000}"/>
    <cellStyle name="Normal 12 3 2 3 2 2 2" xfId="25415" xr:uid="{BCDEBFB1-AA6F-426F-8A89-3AB9D8A89ABB}"/>
    <cellStyle name="Normal 12 3 2 3 2 2 2 2" xfId="42309" xr:uid="{4842E7D1-B767-4A6A-BFEB-BD853131EE15}"/>
    <cellStyle name="Normal 12 3 2 3 2 2 3" xfId="16968" xr:uid="{A9B0A334-834A-4923-B78C-A78C46887D29}"/>
    <cellStyle name="Normal 12 3 2 3 2 2 4" xfId="33862" xr:uid="{1947548C-DDB0-48CD-924E-B88EB0778DB5}"/>
    <cellStyle name="Normal 12 3 2 3 2 3" xfId="21198" xr:uid="{6AB89703-FEFE-4E5F-9BB8-C88B2CCBAA06}"/>
    <cellStyle name="Normal 12 3 2 3 2 3 2" xfId="38092" xr:uid="{D3885A46-E65C-4FCF-A309-5F7516CDA0EC}"/>
    <cellStyle name="Normal 12 3 2 3 2 4" xfId="12751" xr:uid="{A8D87B89-8385-45B9-84CC-A1FBADF2404C}"/>
    <cellStyle name="Normal 12 3 2 3 2 5" xfId="29645" xr:uid="{E7DDD638-CF50-4C8E-8914-4CC1874C1AFE}"/>
    <cellStyle name="Normal 12 3 2 3 3" xfId="5497" xr:uid="{00000000-0005-0000-0000-0000260E0000}"/>
    <cellStyle name="Normal 12 3 2 3 3 2" xfId="23270" xr:uid="{20BE36B6-DF83-4257-9828-7FCF5933234A}"/>
    <cellStyle name="Normal 12 3 2 3 3 2 2" xfId="40164" xr:uid="{5819C4A2-4AC0-4672-89AF-E01A494BEEB3}"/>
    <cellStyle name="Normal 12 3 2 3 3 3" xfId="14823" xr:uid="{BD137FDC-4F15-4D60-98F8-CC107EBC5C7B}"/>
    <cellStyle name="Normal 12 3 2 3 3 4" xfId="31717" xr:uid="{C4E4361D-CFF3-4509-83C2-B19B0735C910}"/>
    <cellStyle name="Normal 12 3 2 3 4" xfId="19053" xr:uid="{AA277060-73F3-4E48-B8FC-682DEA6C870F}"/>
    <cellStyle name="Normal 12 3 2 3 4 2" xfId="35947" xr:uid="{4BEAEEC6-D6DB-4A33-95C9-DE13CA97D2B4}"/>
    <cellStyle name="Normal 12 3 2 3 5" xfId="10606" xr:uid="{E6701B48-75C3-4269-8E1C-417DE15E2E1B}"/>
    <cellStyle name="Normal 12 3 2 3 6" xfId="27500" xr:uid="{290426D5-A81D-44A0-8779-67BB2FAE6B2E}"/>
    <cellStyle name="Normal 12 3 2 4" xfId="1603" xr:uid="{00000000-0005-0000-0000-0000270E0000}"/>
    <cellStyle name="Normal 12 3 2 4 2" xfId="3833" xr:uid="{00000000-0005-0000-0000-0000280E0000}"/>
    <cellStyle name="Normal 12 3 2 4 2 2" xfId="8055" xr:uid="{00000000-0005-0000-0000-0000290E0000}"/>
    <cellStyle name="Normal 12 3 2 4 2 2 2" xfId="25828" xr:uid="{189D918D-C961-41B5-A9C5-3B8E1A1D09D8}"/>
    <cellStyle name="Normal 12 3 2 4 2 2 2 2" xfId="42722" xr:uid="{0508059A-A02E-4AF9-995B-B4CC14E7A787}"/>
    <cellStyle name="Normal 12 3 2 4 2 2 3" xfId="17381" xr:uid="{3CA44C39-0664-4333-8197-FCEC6C61C35C}"/>
    <cellStyle name="Normal 12 3 2 4 2 2 4" xfId="34275" xr:uid="{EA38E647-38F6-4596-BA18-57C08533C378}"/>
    <cellStyle name="Normal 12 3 2 4 2 3" xfId="21611" xr:uid="{777CC9D9-C85B-4D50-9F47-7B46FA437F4B}"/>
    <cellStyle name="Normal 12 3 2 4 2 3 2" xfId="38505" xr:uid="{AEB8D2BE-4A61-4DF4-ACEE-14E1A0C9C32C}"/>
    <cellStyle name="Normal 12 3 2 4 2 4" xfId="13164" xr:uid="{8C49E96D-615F-423A-88FC-63CEA7C154C3}"/>
    <cellStyle name="Normal 12 3 2 4 2 5" xfId="30058" xr:uid="{3CC1B921-5599-462A-AE94-F251DE1852E2}"/>
    <cellStyle name="Normal 12 3 2 4 3" xfId="5910" xr:uid="{00000000-0005-0000-0000-00002A0E0000}"/>
    <cellStyle name="Normal 12 3 2 4 3 2" xfId="23683" xr:uid="{1D93AC66-F920-4445-8E22-C556AE77C656}"/>
    <cellStyle name="Normal 12 3 2 4 3 2 2" xfId="40577" xr:uid="{F8232212-B476-4647-902F-B3993A034345}"/>
    <cellStyle name="Normal 12 3 2 4 3 3" xfId="15236" xr:uid="{95CF62A5-40CF-4053-96A0-E11B0A81F0DC}"/>
    <cellStyle name="Normal 12 3 2 4 3 4" xfId="32130" xr:uid="{F1A5E5A7-3688-47DA-8971-B30840BCE574}"/>
    <cellStyle name="Normal 12 3 2 4 4" xfId="19466" xr:uid="{E1406EDB-D032-4474-9711-7376294AF6D7}"/>
    <cellStyle name="Normal 12 3 2 4 4 2" xfId="36360" xr:uid="{E8729989-8616-4FCC-9A98-EAFCF9BA4D17}"/>
    <cellStyle name="Normal 12 3 2 4 5" xfId="11019" xr:uid="{E63BBA48-CDC5-451D-BA33-199E1FE19632}"/>
    <cellStyle name="Normal 12 3 2 4 6" xfId="27913" xr:uid="{A6F1F58B-35AF-4108-B1B0-BB4F6CFD5A0C}"/>
    <cellStyle name="Normal 12 3 2 5" xfId="2017" xr:uid="{00000000-0005-0000-0000-00002B0E0000}"/>
    <cellStyle name="Normal 12 3 2 5 2" xfId="4246" xr:uid="{00000000-0005-0000-0000-00002C0E0000}"/>
    <cellStyle name="Normal 12 3 2 5 2 2" xfId="8468" xr:uid="{00000000-0005-0000-0000-00002D0E0000}"/>
    <cellStyle name="Normal 12 3 2 5 2 2 2" xfId="26241" xr:uid="{C48F4349-79C6-40D5-A5BD-4FE17368513D}"/>
    <cellStyle name="Normal 12 3 2 5 2 2 2 2" xfId="43135" xr:uid="{014832C8-149E-436B-A40E-6AA03493CCE8}"/>
    <cellStyle name="Normal 12 3 2 5 2 2 3" xfId="17794" xr:uid="{DDB3B20C-6D5A-429B-ABF3-848586457AE6}"/>
    <cellStyle name="Normal 12 3 2 5 2 2 4" xfId="34688" xr:uid="{36EB98A6-28B8-4A71-B7FF-89A80B78E9EA}"/>
    <cellStyle name="Normal 12 3 2 5 2 3" xfId="22024" xr:uid="{749A0455-9D71-4455-BCDE-A367174A7EBC}"/>
    <cellStyle name="Normal 12 3 2 5 2 3 2" xfId="38918" xr:uid="{22740075-120B-477E-8313-28731B181167}"/>
    <cellStyle name="Normal 12 3 2 5 2 4" xfId="13577" xr:uid="{9A9ED754-E34A-4657-A569-FDBCB8AA4227}"/>
    <cellStyle name="Normal 12 3 2 5 2 5" xfId="30471" xr:uid="{3B002313-FF35-4A02-9026-F6C94891F951}"/>
    <cellStyle name="Normal 12 3 2 5 3" xfId="6323" xr:uid="{00000000-0005-0000-0000-00002E0E0000}"/>
    <cellStyle name="Normal 12 3 2 5 3 2" xfId="24096" xr:uid="{3413BDF9-E21D-4DCF-B83F-D3B60669C403}"/>
    <cellStyle name="Normal 12 3 2 5 3 2 2" xfId="40990" xr:uid="{8E02A10C-4073-4BAD-A187-CF078231AE44}"/>
    <cellStyle name="Normal 12 3 2 5 3 3" xfId="15649" xr:uid="{458BA4F0-8C63-4970-9DF2-CE336FD37208}"/>
    <cellStyle name="Normal 12 3 2 5 3 4" xfId="32543" xr:uid="{9639051E-BA25-4AC0-ABE5-5A3A9E0F5766}"/>
    <cellStyle name="Normal 12 3 2 5 4" xfId="19879" xr:uid="{2279D3C7-0C49-47F1-8353-AF4B8BB914F1}"/>
    <cellStyle name="Normal 12 3 2 5 4 2" xfId="36773" xr:uid="{F08FD1C9-A933-43E8-A3C0-278DB46E1F52}"/>
    <cellStyle name="Normal 12 3 2 5 5" xfId="11432" xr:uid="{C852D995-AC4F-48D6-A624-3262E8EB3C92}"/>
    <cellStyle name="Normal 12 3 2 5 6" xfId="28326" xr:uid="{CA40B164-5447-4DA6-B25C-FFC96B82EA6A}"/>
    <cellStyle name="Normal 12 3 2 6" xfId="2453" xr:uid="{00000000-0005-0000-0000-00002F0E0000}"/>
    <cellStyle name="Normal 12 3 2 6 2" xfId="6736" xr:uid="{00000000-0005-0000-0000-0000300E0000}"/>
    <cellStyle name="Normal 12 3 2 6 2 2" xfId="24509" xr:uid="{7F28F986-FD23-450E-B8D0-3C9425BE7135}"/>
    <cellStyle name="Normal 12 3 2 6 2 2 2" xfId="41403" xr:uid="{2738DBEE-167B-4BDC-9BBD-31B07057771E}"/>
    <cellStyle name="Normal 12 3 2 6 2 3" xfId="16062" xr:uid="{397BE0AF-C876-4645-A3BB-D12FB5AF7E0C}"/>
    <cellStyle name="Normal 12 3 2 6 2 4" xfId="32956" xr:uid="{7A904E7A-D49E-4DB8-B1EE-15F9F104E8FD}"/>
    <cellStyle name="Normal 12 3 2 6 3" xfId="20292" xr:uid="{7732C215-6025-4223-A568-DAA22E39727E}"/>
    <cellStyle name="Normal 12 3 2 6 3 2" xfId="37186" xr:uid="{0993ADD8-84B3-4AD7-ADA5-D66C06B46B33}"/>
    <cellStyle name="Normal 12 3 2 6 4" xfId="11845" xr:uid="{297035CB-DBE7-48E6-B2B5-A23D36D43AA5}"/>
    <cellStyle name="Normal 12 3 2 6 5" xfId="28739" xr:uid="{BA9A074A-3CF1-4E90-A55E-0EA4FF80118C}"/>
    <cellStyle name="Normal 12 3 2 7" xfId="4670" xr:uid="{00000000-0005-0000-0000-0000310E0000}"/>
    <cellStyle name="Normal 12 3 2 7 2" xfId="22443" xr:uid="{12A1E9A2-2493-458C-8694-A909B6D5B2DF}"/>
    <cellStyle name="Normal 12 3 2 7 2 2" xfId="39337" xr:uid="{467CE452-6F23-4588-BFDF-14B94F536B4F}"/>
    <cellStyle name="Normal 12 3 2 7 3" xfId="13996" xr:uid="{35726527-E276-4F11-8CC8-E4D431AB89CE}"/>
    <cellStyle name="Normal 12 3 2 7 4" xfId="30890" xr:uid="{DCB0DAC5-D9D4-464B-B05D-670846B774AF}"/>
    <cellStyle name="Normal 12 3 2 8" xfId="9080" xr:uid="{403F3083-4A9F-4295-B676-C31241B8936E}"/>
    <cellStyle name="Normal 12 3 2 8 2" xfId="18226" xr:uid="{621989BB-6A3D-4EAC-A0DF-F1959A521A49}"/>
    <cellStyle name="Normal 12 3 2 8 3" xfId="35120" xr:uid="{B18A0A18-61E0-43D1-89D0-1E88E1E5269B}"/>
    <cellStyle name="Normal 12 3 2 9" xfId="9779" xr:uid="{8576BEC2-6E93-44CD-BA64-EDE232C4E294}"/>
    <cellStyle name="Normal 12 3 3" xfId="765" xr:uid="{00000000-0005-0000-0000-0000320E0000}"/>
    <cellStyle name="Normal 12 3 3 2" xfId="3006" xr:uid="{00000000-0005-0000-0000-0000330E0000}"/>
    <cellStyle name="Normal 12 3 3 2 2" xfId="7228" xr:uid="{00000000-0005-0000-0000-0000340E0000}"/>
    <cellStyle name="Normal 12 3 3 2 2 2" xfId="25001" xr:uid="{C387FD41-10B7-4919-B480-A4DB5215BF0A}"/>
    <cellStyle name="Normal 12 3 3 2 2 2 2" xfId="41895" xr:uid="{0C624FAD-13E2-4211-9EA1-2B68D2F38E9B}"/>
    <cellStyle name="Normal 12 3 3 2 2 3" xfId="16554" xr:uid="{609EC4FB-A9B5-4CD0-87C9-F9567791D3D1}"/>
    <cellStyle name="Normal 12 3 3 2 2 4" xfId="33448" xr:uid="{D8D57DEF-83AE-4DEA-9177-1FF0863A2951}"/>
    <cellStyle name="Normal 12 3 3 2 3" xfId="20784" xr:uid="{148876FA-61C1-4892-9141-A4200F0EA415}"/>
    <cellStyle name="Normal 12 3 3 2 3 2" xfId="37678" xr:uid="{87C1F534-F7A1-4C2F-B50F-9E538E74E830}"/>
    <cellStyle name="Normal 12 3 3 2 4" xfId="12337" xr:uid="{AF748D91-8846-4C4D-A0B3-973F5E572065}"/>
    <cellStyle name="Normal 12 3 3 2 5" xfId="29231" xr:uid="{A9DCBBDB-29AD-4748-B372-893DBC91E3AF}"/>
    <cellStyle name="Normal 12 3 3 3" xfId="5083" xr:uid="{00000000-0005-0000-0000-0000350E0000}"/>
    <cellStyle name="Normal 12 3 3 3 2" xfId="22856" xr:uid="{5CE14271-9CB5-4140-94F9-A2BB40828E9D}"/>
    <cellStyle name="Normal 12 3 3 3 2 2" xfId="39750" xr:uid="{961E866C-CBA4-4752-80FB-B3BFB570AF6D}"/>
    <cellStyle name="Normal 12 3 3 3 3" xfId="14409" xr:uid="{F10108DA-E302-4E38-9EFA-7F9926176A3F}"/>
    <cellStyle name="Normal 12 3 3 3 4" xfId="31303" xr:uid="{A80481D1-6343-4D65-9A3F-F10B42CFB38C}"/>
    <cellStyle name="Normal 12 3 3 4" xfId="9298" xr:uid="{A6F9D711-F86A-406D-B160-91678C261745}"/>
    <cellStyle name="Normal 12 3 3 4 2" xfId="18639" xr:uid="{80345406-BE31-4477-BDD4-9F55D25E2953}"/>
    <cellStyle name="Normal 12 3 3 4 3" xfId="35533" xr:uid="{D9BFFCBF-CB31-4501-A09A-79202581A20C}"/>
    <cellStyle name="Normal 12 3 3 5" xfId="10192" xr:uid="{397B313B-D74C-4E05-8827-DE3A40FBC462}"/>
    <cellStyle name="Normal 12 3 3 6" xfId="27086" xr:uid="{E5C222EE-34B5-4BEF-A40A-93CADEAA2AE0}"/>
    <cellStyle name="Normal 12 3 4" xfId="1188" xr:uid="{00000000-0005-0000-0000-0000360E0000}"/>
    <cellStyle name="Normal 12 3 4 2" xfId="3419" xr:uid="{00000000-0005-0000-0000-0000370E0000}"/>
    <cellStyle name="Normal 12 3 4 2 2" xfId="7641" xr:uid="{00000000-0005-0000-0000-0000380E0000}"/>
    <cellStyle name="Normal 12 3 4 2 2 2" xfId="25414" xr:uid="{2B38E38D-4103-41A9-AC8A-E6EEA2BA2135}"/>
    <cellStyle name="Normal 12 3 4 2 2 2 2" xfId="42308" xr:uid="{E0904EAD-90A6-43F8-A6E3-6C7CC8B1F955}"/>
    <cellStyle name="Normal 12 3 4 2 2 3" xfId="16967" xr:uid="{A23E48DB-79DA-4FB6-B34F-F43699A8CCDB}"/>
    <cellStyle name="Normal 12 3 4 2 2 4" xfId="33861" xr:uid="{427DE53B-3514-4251-8F8E-DF62814DFB68}"/>
    <cellStyle name="Normal 12 3 4 2 3" xfId="21197" xr:uid="{5D69E37B-20D1-46C3-B3F0-008D94795B94}"/>
    <cellStyle name="Normal 12 3 4 2 3 2" xfId="38091" xr:uid="{59166A3F-B89C-45D8-B450-9FE3A6713AB5}"/>
    <cellStyle name="Normal 12 3 4 2 4" xfId="12750" xr:uid="{08D2AA69-6A72-41C4-89D0-F2BFE0F12F0B}"/>
    <cellStyle name="Normal 12 3 4 2 5" xfId="29644" xr:uid="{B9DCBEAC-DF0F-4C16-B6F3-473897DE54C3}"/>
    <cellStyle name="Normal 12 3 4 3" xfId="5496" xr:uid="{00000000-0005-0000-0000-0000390E0000}"/>
    <cellStyle name="Normal 12 3 4 3 2" xfId="23269" xr:uid="{752F6059-B433-494B-BCB9-A5BD4DCF6D51}"/>
    <cellStyle name="Normal 12 3 4 3 2 2" xfId="40163" xr:uid="{35D4FCF2-4DDA-4718-A4A7-BCB116847D05}"/>
    <cellStyle name="Normal 12 3 4 3 3" xfId="14822" xr:uid="{867D9844-424F-460D-AB81-F655C826D0F5}"/>
    <cellStyle name="Normal 12 3 4 3 4" xfId="31716" xr:uid="{19BE1308-7656-47EA-A261-DE0700CC3707}"/>
    <cellStyle name="Normal 12 3 4 4" xfId="19052" xr:uid="{F68970F2-769A-420F-B956-BB8D6C017BB5}"/>
    <cellStyle name="Normal 12 3 4 4 2" xfId="35946" xr:uid="{1AAEF74C-B7FD-4020-9958-38FC62086A66}"/>
    <cellStyle name="Normal 12 3 4 5" xfId="10605" xr:uid="{1497C9EE-1E48-4F01-A9A7-3402730C41A7}"/>
    <cellStyle name="Normal 12 3 4 6" xfId="27499" xr:uid="{33E06DC5-EC2A-40D9-AA1F-EBD4F87908AD}"/>
    <cellStyle name="Normal 12 3 5" xfId="1602" xr:uid="{00000000-0005-0000-0000-00003A0E0000}"/>
    <cellStyle name="Normal 12 3 5 2" xfId="3832" xr:uid="{00000000-0005-0000-0000-00003B0E0000}"/>
    <cellStyle name="Normal 12 3 5 2 2" xfId="8054" xr:uid="{00000000-0005-0000-0000-00003C0E0000}"/>
    <cellStyle name="Normal 12 3 5 2 2 2" xfId="25827" xr:uid="{4C97D22D-778B-45F3-B08E-F9638A47F152}"/>
    <cellStyle name="Normal 12 3 5 2 2 2 2" xfId="42721" xr:uid="{FA9113C2-2A22-4A9E-9CF6-2DE72302A6D3}"/>
    <cellStyle name="Normal 12 3 5 2 2 3" xfId="17380" xr:uid="{2F5A0740-9F6B-4D48-A4CE-68F4EB54AD31}"/>
    <cellStyle name="Normal 12 3 5 2 2 4" xfId="34274" xr:uid="{54D2A123-19B1-40E7-81A7-838523E65528}"/>
    <cellStyle name="Normal 12 3 5 2 3" xfId="21610" xr:uid="{58B34715-7A7E-4482-93FC-C5E7F31BE0C9}"/>
    <cellStyle name="Normal 12 3 5 2 3 2" xfId="38504" xr:uid="{E7D23C8A-2ECE-4C06-9BFB-D37AD89F6403}"/>
    <cellStyle name="Normal 12 3 5 2 4" xfId="13163" xr:uid="{03B83A09-E806-4745-9A8A-78F2EB4180D7}"/>
    <cellStyle name="Normal 12 3 5 2 5" xfId="30057" xr:uid="{F41ADA9D-BBA8-4300-BC49-D2F6EFC8415E}"/>
    <cellStyle name="Normal 12 3 5 3" xfId="5909" xr:uid="{00000000-0005-0000-0000-00003D0E0000}"/>
    <cellStyle name="Normal 12 3 5 3 2" xfId="23682" xr:uid="{DDA6DA10-34FC-4DB2-825C-C5CF6FD38C15}"/>
    <cellStyle name="Normal 12 3 5 3 2 2" xfId="40576" xr:uid="{409F0E26-7FBE-4E21-8514-059CABC4C0B6}"/>
    <cellStyle name="Normal 12 3 5 3 3" xfId="15235" xr:uid="{F0D93AE8-4FA7-419C-9784-AA35F349A0B4}"/>
    <cellStyle name="Normal 12 3 5 3 4" xfId="32129" xr:uid="{9AD380AB-36AB-4C8B-849F-026F3389431D}"/>
    <cellStyle name="Normal 12 3 5 4" xfId="19465" xr:uid="{F339C447-2D06-4020-AAC6-3271580E7B47}"/>
    <cellStyle name="Normal 12 3 5 4 2" xfId="36359" xr:uid="{7C18A372-A2AC-49E3-838F-4DB7D92FDAEF}"/>
    <cellStyle name="Normal 12 3 5 5" xfId="11018" xr:uid="{1F0CCA19-E5C6-48E8-B08A-B6507A63F2E9}"/>
    <cellStyle name="Normal 12 3 5 6" xfId="27912" xr:uid="{6C1754F6-9A3F-4AF0-89DD-7A3C29AB0CD5}"/>
    <cellStyle name="Normal 12 3 6" xfId="2016" xr:uid="{00000000-0005-0000-0000-00003E0E0000}"/>
    <cellStyle name="Normal 12 3 6 2" xfId="4245" xr:uid="{00000000-0005-0000-0000-00003F0E0000}"/>
    <cellStyle name="Normal 12 3 6 2 2" xfId="8467" xr:uid="{00000000-0005-0000-0000-0000400E0000}"/>
    <cellStyle name="Normal 12 3 6 2 2 2" xfId="26240" xr:uid="{2E66DC50-96D2-45C4-B0A1-C4BBC793A422}"/>
    <cellStyle name="Normal 12 3 6 2 2 2 2" xfId="43134" xr:uid="{36218A17-96EC-4138-B31C-8C9D12274E43}"/>
    <cellStyle name="Normal 12 3 6 2 2 3" xfId="17793" xr:uid="{1B897798-6D48-4137-BEFD-4B6F0DA9BFDB}"/>
    <cellStyle name="Normal 12 3 6 2 2 4" xfId="34687" xr:uid="{C23E8F79-C04B-4FA0-9E6F-1C3AB9542217}"/>
    <cellStyle name="Normal 12 3 6 2 3" xfId="22023" xr:uid="{8FA717C0-F075-4F1C-8F5B-0CA8D40CD3D7}"/>
    <cellStyle name="Normal 12 3 6 2 3 2" xfId="38917" xr:uid="{4D12C8E6-D5BD-40B0-BDFF-0A308136BFB9}"/>
    <cellStyle name="Normal 12 3 6 2 4" xfId="13576" xr:uid="{B216CC5D-C025-4E71-8C50-904DB50A95E4}"/>
    <cellStyle name="Normal 12 3 6 2 5" xfId="30470" xr:uid="{DCA6DA54-AEBE-470F-9891-A6939FD6BADE}"/>
    <cellStyle name="Normal 12 3 6 3" xfId="6322" xr:uid="{00000000-0005-0000-0000-0000410E0000}"/>
    <cellStyle name="Normal 12 3 6 3 2" xfId="24095" xr:uid="{7BB20067-B64A-4CFC-BF23-4FC66899D9F8}"/>
    <cellStyle name="Normal 12 3 6 3 2 2" xfId="40989" xr:uid="{FC911E28-86EB-4597-AE94-582C1931D1F4}"/>
    <cellStyle name="Normal 12 3 6 3 3" xfId="15648" xr:uid="{8302724D-3FDA-42BA-B915-D3E53145748B}"/>
    <cellStyle name="Normal 12 3 6 3 4" xfId="32542" xr:uid="{DAB4D452-9CE2-4611-BDC4-7C5F061F984E}"/>
    <cellStyle name="Normal 12 3 6 4" xfId="19878" xr:uid="{2F9EA0A9-A9E4-4851-8B30-C6057CF62B1A}"/>
    <cellStyle name="Normal 12 3 6 4 2" xfId="36772" xr:uid="{B5197822-4E62-442F-8C54-7ED565D3150D}"/>
    <cellStyle name="Normal 12 3 6 5" xfId="11431" xr:uid="{BC9DD4CC-2445-4CC2-8454-5C8483F70A5A}"/>
    <cellStyle name="Normal 12 3 6 6" xfId="28325" xr:uid="{9625ECA2-DE43-4E4E-9A6C-3978EBA0BDF8}"/>
    <cellStyle name="Normal 12 3 7" xfId="2452" xr:uid="{00000000-0005-0000-0000-0000420E0000}"/>
    <cellStyle name="Normal 12 3 7 2" xfId="6735" xr:uid="{00000000-0005-0000-0000-0000430E0000}"/>
    <cellStyle name="Normal 12 3 7 2 2" xfId="24508" xr:uid="{65F92E64-0E37-42E1-A7C3-D4A3C45FDFB9}"/>
    <cellStyle name="Normal 12 3 7 2 2 2" xfId="41402" xr:uid="{964F8800-150C-4521-8414-23E40A6C3348}"/>
    <cellStyle name="Normal 12 3 7 2 3" xfId="16061" xr:uid="{1B608151-CF35-4605-BE27-52C3F4B2EFDF}"/>
    <cellStyle name="Normal 12 3 7 2 4" xfId="32955" xr:uid="{D09390F6-CA62-40D1-8DDC-5F6EF366AC84}"/>
    <cellStyle name="Normal 12 3 7 3" xfId="20291" xr:uid="{B281DB66-229A-45CA-BB61-062A8289C9A9}"/>
    <cellStyle name="Normal 12 3 7 3 2" xfId="37185" xr:uid="{C0C39CD0-D1A8-48BB-B763-AFF0DDC9B279}"/>
    <cellStyle name="Normal 12 3 7 4" xfId="11844" xr:uid="{B36904CD-B501-49FD-9E0A-B47A23F5D64F}"/>
    <cellStyle name="Normal 12 3 7 5" xfId="28738" xr:uid="{D090C318-7276-4801-9C36-B84C0EEA7F39}"/>
    <cellStyle name="Normal 12 3 8" xfId="4669" xr:uid="{00000000-0005-0000-0000-0000440E0000}"/>
    <cellStyle name="Normal 12 3 8 2" xfId="22442" xr:uid="{54557401-703A-42FF-94D5-14CFA5B7D0A1}"/>
    <cellStyle name="Normal 12 3 8 2 2" xfId="39336" xr:uid="{65AAD23A-DC0D-4E59-BEF0-E740DA70E1D8}"/>
    <cellStyle name="Normal 12 3 8 3" xfId="13995" xr:uid="{005FE4F6-1AA6-4783-8231-663AE5566D62}"/>
    <cellStyle name="Normal 12 3 8 4" xfId="30889" xr:uid="{84EF7343-9B0F-4229-8107-5B1C5136EFD2}"/>
    <cellStyle name="Normal 12 3 9" xfId="8873" xr:uid="{72AE7E6C-F254-4BFC-80A7-F73848FA4F21}"/>
    <cellStyle name="Normal 12 3 9 2" xfId="18225" xr:uid="{CD1A4DB8-9214-43BD-9F6B-01EE7790E85F}"/>
    <cellStyle name="Normal 12 3 9 3" xfId="35119" xr:uid="{33BCB446-646A-4CC6-A7ED-F6AF4329FAA8}"/>
    <cellStyle name="Normal 12 4" xfId="266" xr:uid="{00000000-0005-0000-0000-0000450E0000}"/>
    <cellStyle name="Normal 12 4 10" xfId="26674" xr:uid="{23AB360B-3ECA-4695-AF26-D40B95660CE2}"/>
    <cellStyle name="Normal 12 4 2" xfId="767" xr:uid="{00000000-0005-0000-0000-0000460E0000}"/>
    <cellStyle name="Normal 12 4 2 2" xfId="3008" xr:uid="{00000000-0005-0000-0000-0000470E0000}"/>
    <cellStyle name="Normal 12 4 2 2 2" xfId="7230" xr:uid="{00000000-0005-0000-0000-0000480E0000}"/>
    <cellStyle name="Normal 12 4 2 2 2 2" xfId="25003" xr:uid="{E79D51B9-7643-4ACA-B41B-712FD70ECF1D}"/>
    <cellStyle name="Normal 12 4 2 2 2 2 2" xfId="41897" xr:uid="{CA9C6E44-DCA2-40C3-AEA0-01324B950C6C}"/>
    <cellStyle name="Normal 12 4 2 2 2 3" xfId="16556" xr:uid="{75334DA2-6AED-45BE-9858-70FE700FA5BA}"/>
    <cellStyle name="Normal 12 4 2 2 2 4" xfId="33450" xr:uid="{2E268577-03B8-41D6-A612-639531F3FD71}"/>
    <cellStyle name="Normal 12 4 2 2 3" xfId="20786" xr:uid="{A43381C2-A4CE-4273-AD3F-2A90C2FE1508}"/>
    <cellStyle name="Normal 12 4 2 2 3 2" xfId="37680" xr:uid="{EEE829DE-D56A-4A0E-B078-AE03E85BED9B}"/>
    <cellStyle name="Normal 12 4 2 2 4" xfId="12339" xr:uid="{F5E3D84C-B010-40C9-965F-8197715448B9}"/>
    <cellStyle name="Normal 12 4 2 2 5" xfId="29233" xr:uid="{E0C84A16-3F48-4F85-8288-3B852DAC09E2}"/>
    <cellStyle name="Normal 12 4 2 3" xfId="5085" xr:uid="{00000000-0005-0000-0000-0000490E0000}"/>
    <cellStyle name="Normal 12 4 2 3 2" xfId="22858" xr:uid="{40EE18D1-C50D-4662-AD6B-61FD0C81A1DA}"/>
    <cellStyle name="Normal 12 4 2 3 2 2" xfId="39752" xr:uid="{7B3B0600-BD8A-4929-8E20-FB104ABDEE1C}"/>
    <cellStyle name="Normal 12 4 2 3 3" xfId="14411" xr:uid="{85F740D9-F1F5-440F-AB25-C9FB0F59AFAB}"/>
    <cellStyle name="Normal 12 4 2 3 4" xfId="31305" xr:uid="{0B3EB6DC-5887-4E6C-80BF-84BC30FE8CAD}"/>
    <cellStyle name="Normal 12 4 2 4" xfId="9402" xr:uid="{F40C9AB7-F4D0-4A65-BBAA-FF5409160FE5}"/>
    <cellStyle name="Normal 12 4 2 4 2" xfId="18641" xr:uid="{03E441C8-FB99-492D-9128-60122C1D655B}"/>
    <cellStyle name="Normal 12 4 2 4 3" xfId="35535" xr:uid="{10E637B9-C843-4F51-9FE6-D7BAEF60D476}"/>
    <cellStyle name="Normal 12 4 2 5" xfId="10194" xr:uid="{6893F614-6D2D-4B7A-9D5F-A162B6F6AC3B}"/>
    <cellStyle name="Normal 12 4 2 6" xfId="27088" xr:uid="{83602D12-CC0C-445D-A250-9D47ABA48D48}"/>
    <cellStyle name="Normal 12 4 3" xfId="1190" xr:uid="{00000000-0005-0000-0000-00004A0E0000}"/>
    <cellStyle name="Normal 12 4 3 2" xfId="3421" xr:uid="{00000000-0005-0000-0000-00004B0E0000}"/>
    <cellStyle name="Normal 12 4 3 2 2" xfId="7643" xr:uid="{00000000-0005-0000-0000-00004C0E0000}"/>
    <cellStyle name="Normal 12 4 3 2 2 2" xfId="25416" xr:uid="{F4BACD2F-DAD1-41F5-B4AA-9897F098E5B4}"/>
    <cellStyle name="Normal 12 4 3 2 2 2 2" xfId="42310" xr:uid="{FE91AEB4-87E2-419B-AA57-5E623B1612E3}"/>
    <cellStyle name="Normal 12 4 3 2 2 3" xfId="16969" xr:uid="{8B6E7AF7-34BB-4C35-8CC7-7DBAA4304564}"/>
    <cellStyle name="Normal 12 4 3 2 2 4" xfId="33863" xr:uid="{84EB2591-8FD4-42E3-BD8C-55E28EB76309}"/>
    <cellStyle name="Normal 12 4 3 2 3" xfId="21199" xr:uid="{1A2F17AB-70E6-4CED-9727-77F1EB29936C}"/>
    <cellStyle name="Normal 12 4 3 2 3 2" xfId="38093" xr:uid="{572E60AD-087B-462A-93E9-EAF58B0FB22E}"/>
    <cellStyle name="Normal 12 4 3 2 4" xfId="12752" xr:uid="{E61D69FB-2D0C-48CE-AE3E-40C115427F43}"/>
    <cellStyle name="Normal 12 4 3 2 5" xfId="29646" xr:uid="{5F41F33F-1A64-4C36-9B4F-9106AD8D65A7}"/>
    <cellStyle name="Normal 12 4 3 3" xfId="5498" xr:uid="{00000000-0005-0000-0000-00004D0E0000}"/>
    <cellStyle name="Normal 12 4 3 3 2" xfId="23271" xr:uid="{B937B91B-2ACC-4195-9515-C7CBD70A9ACB}"/>
    <cellStyle name="Normal 12 4 3 3 2 2" xfId="40165" xr:uid="{0FE35825-B945-4D4E-8A47-884BB143ABB8}"/>
    <cellStyle name="Normal 12 4 3 3 3" xfId="14824" xr:uid="{6EAFB9DA-6D5B-43B6-BB43-FAA6CBEF92F8}"/>
    <cellStyle name="Normal 12 4 3 3 4" xfId="31718" xr:uid="{D17B1DD1-20D7-499B-BE76-6F1B8F465699}"/>
    <cellStyle name="Normal 12 4 3 4" xfId="19054" xr:uid="{7B2236CD-F283-4E1B-BDE0-94959F79E304}"/>
    <cellStyle name="Normal 12 4 3 4 2" xfId="35948" xr:uid="{D8248375-EA68-4293-A24E-DEE38E1BEF45}"/>
    <cellStyle name="Normal 12 4 3 5" xfId="10607" xr:uid="{696A0250-042C-41BE-A54B-8F8F06DDBAAC}"/>
    <cellStyle name="Normal 12 4 3 6" xfId="27501" xr:uid="{15DFD81B-83E2-4595-8BFF-D1286786BBE1}"/>
    <cellStyle name="Normal 12 4 4" xfId="1604" xr:uid="{00000000-0005-0000-0000-00004E0E0000}"/>
    <cellStyle name="Normal 12 4 4 2" xfId="3834" xr:uid="{00000000-0005-0000-0000-00004F0E0000}"/>
    <cellStyle name="Normal 12 4 4 2 2" xfId="8056" xr:uid="{00000000-0005-0000-0000-0000500E0000}"/>
    <cellStyle name="Normal 12 4 4 2 2 2" xfId="25829" xr:uid="{0BF5C3A0-EC2D-481C-8D38-E8ECA9746F52}"/>
    <cellStyle name="Normal 12 4 4 2 2 2 2" xfId="42723" xr:uid="{D6FE55DC-26EB-4FE1-ACFD-64314C1208A6}"/>
    <cellStyle name="Normal 12 4 4 2 2 3" xfId="17382" xr:uid="{06540932-E577-418D-9D13-5E4868A73943}"/>
    <cellStyle name="Normal 12 4 4 2 2 4" xfId="34276" xr:uid="{8DCD9BA6-472A-431C-B602-FC4AE352115E}"/>
    <cellStyle name="Normal 12 4 4 2 3" xfId="21612" xr:uid="{FA488D7E-8F2E-473C-8851-9F322465E0B8}"/>
    <cellStyle name="Normal 12 4 4 2 3 2" xfId="38506" xr:uid="{852F6397-4AD1-4098-BCC0-F1DAFD89A1C6}"/>
    <cellStyle name="Normal 12 4 4 2 4" xfId="13165" xr:uid="{D13FF863-4D50-4816-9DE1-7265BDB83D97}"/>
    <cellStyle name="Normal 12 4 4 2 5" xfId="30059" xr:uid="{E2F3AE43-0E79-4612-9E1D-92CB8F44BE4C}"/>
    <cellStyle name="Normal 12 4 4 3" xfId="5911" xr:uid="{00000000-0005-0000-0000-0000510E0000}"/>
    <cellStyle name="Normal 12 4 4 3 2" xfId="23684" xr:uid="{8A377A56-88E8-4C9D-BC3E-9EEBF439EEA3}"/>
    <cellStyle name="Normal 12 4 4 3 2 2" xfId="40578" xr:uid="{72650608-EAD1-4702-A3BF-5E8DF245811B}"/>
    <cellStyle name="Normal 12 4 4 3 3" xfId="15237" xr:uid="{5CFAB024-716F-414E-AEF5-D336CA5AC087}"/>
    <cellStyle name="Normal 12 4 4 3 4" xfId="32131" xr:uid="{E7DCC41A-E622-4A8B-8575-34FDD9FEBA14}"/>
    <cellStyle name="Normal 12 4 4 4" xfId="19467" xr:uid="{95E0FD7E-E68E-4D13-B3C7-91B996138FF5}"/>
    <cellStyle name="Normal 12 4 4 4 2" xfId="36361" xr:uid="{1DB0D910-6990-4A09-B533-4AA0F618DE20}"/>
    <cellStyle name="Normal 12 4 4 5" xfId="11020" xr:uid="{260F82E7-71C7-4611-8E20-E662E7D6DCE9}"/>
    <cellStyle name="Normal 12 4 4 6" xfId="27914" xr:uid="{5D1301EA-40CD-4826-A4C5-03D68CC003FF}"/>
    <cellStyle name="Normal 12 4 5" xfId="2018" xr:uid="{00000000-0005-0000-0000-0000520E0000}"/>
    <cellStyle name="Normal 12 4 5 2" xfId="4247" xr:uid="{00000000-0005-0000-0000-0000530E0000}"/>
    <cellStyle name="Normal 12 4 5 2 2" xfId="8469" xr:uid="{00000000-0005-0000-0000-0000540E0000}"/>
    <cellStyle name="Normal 12 4 5 2 2 2" xfId="26242" xr:uid="{2478A63A-AE47-49AB-85EA-112965EFC765}"/>
    <cellStyle name="Normal 12 4 5 2 2 2 2" xfId="43136" xr:uid="{F35555B1-038B-4B5E-A683-66D36A720409}"/>
    <cellStyle name="Normal 12 4 5 2 2 3" xfId="17795" xr:uid="{C7494B01-4843-41A1-B5F1-C7BA3FF569D6}"/>
    <cellStyle name="Normal 12 4 5 2 2 4" xfId="34689" xr:uid="{32EBCB95-196E-40FC-B754-CF71703B31EE}"/>
    <cellStyle name="Normal 12 4 5 2 3" xfId="22025" xr:uid="{6E82A6E8-C12F-41FC-8D2F-A4A9FCA83053}"/>
    <cellStyle name="Normal 12 4 5 2 3 2" xfId="38919" xr:uid="{A4E13880-5852-47E9-96BD-A2EDAFA7BDC4}"/>
    <cellStyle name="Normal 12 4 5 2 4" xfId="13578" xr:uid="{7EE00D67-778B-4BD7-ACCC-8D9AD6F28B0E}"/>
    <cellStyle name="Normal 12 4 5 2 5" xfId="30472" xr:uid="{9B061B77-E80F-49ED-B846-F2798F1AC273}"/>
    <cellStyle name="Normal 12 4 5 3" xfId="6324" xr:uid="{00000000-0005-0000-0000-0000550E0000}"/>
    <cellStyle name="Normal 12 4 5 3 2" xfId="24097" xr:uid="{D1E1A6EC-0691-4C4E-98EB-CF531ABCC8B7}"/>
    <cellStyle name="Normal 12 4 5 3 2 2" xfId="40991" xr:uid="{9A72C360-FE50-44B6-B2E5-3C7E4A8A5FE7}"/>
    <cellStyle name="Normal 12 4 5 3 3" xfId="15650" xr:uid="{EAE6C6F4-D1D6-44FE-A6D5-F3084CBA632B}"/>
    <cellStyle name="Normal 12 4 5 3 4" xfId="32544" xr:uid="{721DE669-58F8-435B-8EC0-6223B174D1FE}"/>
    <cellStyle name="Normal 12 4 5 4" xfId="19880" xr:uid="{A74FBB3F-020A-4D83-8D94-AE4F142EC565}"/>
    <cellStyle name="Normal 12 4 5 4 2" xfId="36774" xr:uid="{7FB0EAC1-2ED0-4D46-B2C3-EA124454EA67}"/>
    <cellStyle name="Normal 12 4 5 5" xfId="11433" xr:uid="{CC3BBAD8-752A-4D49-A546-FE530C5CB215}"/>
    <cellStyle name="Normal 12 4 5 6" xfId="28327" xr:uid="{E354D71B-7E11-492F-B5EF-EC652570F262}"/>
    <cellStyle name="Normal 12 4 6" xfId="2454" xr:uid="{00000000-0005-0000-0000-0000560E0000}"/>
    <cellStyle name="Normal 12 4 6 2" xfId="6737" xr:uid="{00000000-0005-0000-0000-0000570E0000}"/>
    <cellStyle name="Normal 12 4 6 2 2" xfId="24510" xr:uid="{923A7231-7BEC-4E22-A46E-4A200C2D428B}"/>
    <cellStyle name="Normal 12 4 6 2 2 2" xfId="41404" xr:uid="{00D1B533-B20C-4E28-8065-7CCBAB90B73B}"/>
    <cellStyle name="Normal 12 4 6 2 3" xfId="16063" xr:uid="{3C4BCECE-026B-45F1-9E17-FA63986E6BFE}"/>
    <cellStyle name="Normal 12 4 6 2 4" xfId="32957" xr:uid="{FE128CD0-D3C2-4B64-B09D-696505B166FA}"/>
    <cellStyle name="Normal 12 4 6 3" xfId="20293" xr:uid="{38B9211F-6AA8-4A79-8BE3-601917D4B3D2}"/>
    <cellStyle name="Normal 12 4 6 3 2" xfId="37187" xr:uid="{7356422F-605C-4A48-B9EF-BACA57297905}"/>
    <cellStyle name="Normal 12 4 6 4" xfId="11846" xr:uid="{92C4BCD2-CE37-431F-9094-D401105F9874}"/>
    <cellStyle name="Normal 12 4 6 5" xfId="28740" xr:uid="{CF714F67-7B35-46D4-9648-43B747EB3165}"/>
    <cellStyle name="Normal 12 4 7" xfId="4671" xr:uid="{00000000-0005-0000-0000-0000580E0000}"/>
    <cellStyle name="Normal 12 4 7 2" xfId="22444" xr:uid="{A3BF573E-7829-4DF1-8E5C-CAFEB2870B1D}"/>
    <cellStyle name="Normal 12 4 7 2 2" xfId="39338" xr:uid="{19AEFA1E-4801-4F94-90A9-91D2FC33E247}"/>
    <cellStyle name="Normal 12 4 7 3" xfId="13997" xr:uid="{2117B946-E163-4534-845F-037BBDDB8E9E}"/>
    <cellStyle name="Normal 12 4 7 4" xfId="30891" xr:uid="{B1F63BE9-30F2-4350-98B2-4A6801018945}"/>
    <cellStyle name="Normal 12 4 8" xfId="8977" xr:uid="{5BFFE5F3-99F6-4DA1-A3EF-BF749B3B7ACB}"/>
    <cellStyle name="Normal 12 4 8 2" xfId="18227" xr:uid="{D5739A66-2909-4FA9-B914-8377FC2BE53A}"/>
    <cellStyle name="Normal 12 4 8 3" xfId="35121" xr:uid="{62EA6645-BA6C-465B-BFF1-9AD1D81E7FBD}"/>
    <cellStyle name="Normal 12 4 9" xfId="9780" xr:uid="{DB8B2282-DFC8-431A-A933-A57EC0B6E662}"/>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2 2 2" xfId="24996" xr:uid="{5D30AAC7-03A1-45AC-9B44-F5BFD03FBC97}"/>
    <cellStyle name="Normal 12 6 2 2 2 2" xfId="41890" xr:uid="{037BCF13-A16D-46E8-BCD1-A02CE6E46C33}"/>
    <cellStyle name="Normal 12 6 2 2 3" xfId="16549" xr:uid="{59B2A4B9-BFF9-452F-B07F-0889C7B78F99}"/>
    <cellStyle name="Normal 12 6 2 2 4" xfId="33443" xr:uid="{5EC54155-4D78-4F21-AF08-8B21BF549B44}"/>
    <cellStyle name="Normal 12 6 2 3" xfId="20779" xr:uid="{26AF91BC-D073-4FBD-8997-0942D6722D1A}"/>
    <cellStyle name="Normal 12 6 2 3 2" xfId="37673" xr:uid="{B7864840-1E72-494D-AE60-A6257863C672}"/>
    <cellStyle name="Normal 12 6 2 4" xfId="12332" xr:uid="{3C5CEA25-52A8-456A-A72A-56D9D27145A9}"/>
    <cellStyle name="Normal 12 6 2 5" xfId="29226" xr:uid="{BA0F998B-E57D-4F75-8A61-EF64BCCE7C16}"/>
    <cellStyle name="Normal 12 6 3" xfId="5078" xr:uid="{00000000-0005-0000-0000-00005D0E0000}"/>
    <cellStyle name="Normal 12 6 3 2" xfId="22851" xr:uid="{5D07B494-38DB-408A-B56B-304B3C346C73}"/>
    <cellStyle name="Normal 12 6 3 2 2" xfId="39745" xr:uid="{634347DB-DD20-4D2D-AAC1-5373D2FE4335}"/>
    <cellStyle name="Normal 12 6 3 3" xfId="14404" xr:uid="{B005EB11-5A11-4751-A47D-A9C244431621}"/>
    <cellStyle name="Normal 12 6 3 4" xfId="31298" xr:uid="{EDF54434-2EFA-495B-B3E0-7DF29F56D907}"/>
    <cellStyle name="Normal 12 6 4" xfId="9194" xr:uid="{92D32932-3865-4F6F-A551-9A99EC116A43}"/>
    <cellStyle name="Normal 12 6 4 2" xfId="18634" xr:uid="{A5790491-47FA-401A-A4B7-B5EB321E96CA}"/>
    <cellStyle name="Normal 12 6 4 3" xfId="35528" xr:uid="{9E024C99-776F-4B57-B320-B21E3C602DE0}"/>
    <cellStyle name="Normal 12 6 5" xfId="10187" xr:uid="{B44BB8A7-D405-4C57-B4ED-F0BFDD923E44}"/>
    <cellStyle name="Normal 12 6 6" xfId="27081" xr:uid="{E6A4CACA-CCA7-44C3-9F1B-F220EE7019E7}"/>
    <cellStyle name="Normal 12 7" xfId="1183" xr:uid="{00000000-0005-0000-0000-00005E0E0000}"/>
    <cellStyle name="Normal 12 7 2" xfId="3414" xr:uid="{00000000-0005-0000-0000-00005F0E0000}"/>
    <cellStyle name="Normal 12 7 2 2" xfId="7636" xr:uid="{00000000-0005-0000-0000-0000600E0000}"/>
    <cellStyle name="Normal 12 7 2 2 2" xfId="25409" xr:uid="{BD0BB728-808A-4A8D-A18B-9469C80E2349}"/>
    <cellStyle name="Normal 12 7 2 2 2 2" xfId="42303" xr:uid="{A482A6BE-8DBB-4469-80FE-D74945C5ADDF}"/>
    <cellStyle name="Normal 12 7 2 2 3" xfId="16962" xr:uid="{EF6BFE61-97D6-45BD-A791-2CB138BA4B4F}"/>
    <cellStyle name="Normal 12 7 2 2 4" xfId="33856" xr:uid="{3BB86315-FFD2-41CA-83B0-2F36A036A00F}"/>
    <cellStyle name="Normal 12 7 2 3" xfId="21192" xr:uid="{7620FF29-1461-407D-A857-F91EA708FBEC}"/>
    <cellStyle name="Normal 12 7 2 3 2" xfId="38086" xr:uid="{B76640BF-E717-43F9-988D-1CAA430B7DFC}"/>
    <cellStyle name="Normal 12 7 2 4" xfId="12745" xr:uid="{DBCCCFB7-097F-4398-871A-DDBCED8D739E}"/>
    <cellStyle name="Normal 12 7 2 5" xfId="29639" xr:uid="{A5490B1A-C2DA-4F9E-AC4C-7BFAC00CF6F5}"/>
    <cellStyle name="Normal 12 7 3" xfId="5491" xr:uid="{00000000-0005-0000-0000-0000610E0000}"/>
    <cellStyle name="Normal 12 7 3 2" xfId="23264" xr:uid="{AA9B2356-C6F7-40BA-A167-F31CC3802138}"/>
    <cellStyle name="Normal 12 7 3 2 2" xfId="40158" xr:uid="{E1235BDB-6012-49CF-90FB-D37C2D681256}"/>
    <cellStyle name="Normal 12 7 3 3" xfId="14817" xr:uid="{21E42C22-EC3B-4BC0-AB50-3DADC6CC46D6}"/>
    <cellStyle name="Normal 12 7 3 4" xfId="31711" xr:uid="{279B2F29-FA29-4377-A868-2BE9092D3D17}"/>
    <cellStyle name="Normal 12 7 4" xfId="19047" xr:uid="{E7D88546-9FDA-4747-BD67-A678E0E320D2}"/>
    <cellStyle name="Normal 12 7 4 2" xfId="35941" xr:uid="{98971B8F-8364-4C66-9AC9-D3D686A897A3}"/>
    <cellStyle name="Normal 12 7 5" xfId="10600" xr:uid="{314C97E8-4801-4E1D-A30C-3E55A624A5FB}"/>
    <cellStyle name="Normal 12 7 6" xfId="27494" xr:uid="{34F96DE0-E32B-4A92-B6A5-83463F7F8440}"/>
    <cellStyle name="Normal 12 8" xfId="1597" xr:uid="{00000000-0005-0000-0000-0000620E0000}"/>
    <cellStyle name="Normal 12 8 2" xfId="3827" xr:uid="{00000000-0005-0000-0000-0000630E0000}"/>
    <cellStyle name="Normal 12 8 2 2" xfId="8049" xr:uid="{00000000-0005-0000-0000-0000640E0000}"/>
    <cellStyle name="Normal 12 8 2 2 2" xfId="25822" xr:uid="{89B42781-EB01-41E8-AE19-FA065F5538ED}"/>
    <cellStyle name="Normal 12 8 2 2 2 2" xfId="42716" xr:uid="{2E1A210E-4FFF-4F4A-AF17-771FC9D3C9AA}"/>
    <cellStyle name="Normal 12 8 2 2 3" xfId="17375" xr:uid="{1A22F105-D4FA-4E9B-84C3-A4B331C76F7E}"/>
    <cellStyle name="Normal 12 8 2 2 4" xfId="34269" xr:uid="{E79B3CEC-BE5C-455D-9026-A8C92F6C1261}"/>
    <cellStyle name="Normal 12 8 2 3" xfId="21605" xr:uid="{848A686D-AB13-4603-9FB2-D2463D81B910}"/>
    <cellStyle name="Normal 12 8 2 3 2" xfId="38499" xr:uid="{72128A1D-142E-4220-B12C-EC343B041746}"/>
    <cellStyle name="Normal 12 8 2 4" xfId="13158" xr:uid="{7C26C68E-4313-4813-A389-42BB9D27C7F3}"/>
    <cellStyle name="Normal 12 8 2 5" xfId="30052" xr:uid="{7D76C8D8-EF6D-4535-9582-0D4E9DF63855}"/>
    <cellStyle name="Normal 12 8 3" xfId="5904" xr:uid="{00000000-0005-0000-0000-0000650E0000}"/>
    <cellStyle name="Normal 12 8 3 2" xfId="23677" xr:uid="{EB89A53B-8D75-4EED-985E-8781C3C1C1C4}"/>
    <cellStyle name="Normal 12 8 3 2 2" xfId="40571" xr:uid="{D573E78A-8D16-4FB5-B5C4-714A4F598DDE}"/>
    <cellStyle name="Normal 12 8 3 3" xfId="15230" xr:uid="{73C4F785-D6A7-4B87-A866-39B5345CD4D6}"/>
    <cellStyle name="Normal 12 8 3 4" xfId="32124" xr:uid="{CB914784-A30E-44B3-90E6-5910B6BD1357}"/>
    <cellStyle name="Normal 12 8 4" xfId="19460" xr:uid="{5DD586A7-E91D-4955-A1F5-AC7C68D2EE9B}"/>
    <cellStyle name="Normal 12 8 4 2" xfId="36354" xr:uid="{2539FFD4-7A95-4D69-8ED5-34B8FC01AEC2}"/>
    <cellStyle name="Normal 12 8 5" xfId="11013" xr:uid="{9411170F-5BC9-49F1-BD99-41FE55EBF1E3}"/>
    <cellStyle name="Normal 12 8 6" xfId="27907" xr:uid="{029C4E91-2C94-4509-9E6A-C146ED69F40C}"/>
    <cellStyle name="Normal 12 9" xfId="2011" xr:uid="{00000000-0005-0000-0000-0000660E0000}"/>
    <cellStyle name="Normal 12 9 2" xfId="4240" xr:uid="{00000000-0005-0000-0000-0000670E0000}"/>
    <cellStyle name="Normal 12 9 2 2" xfId="8462" xr:uid="{00000000-0005-0000-0000-0000680E0000}"/>
    <cellStyle name="Normal 12 9 2 2 2" xfId="26235" xr:uid="{3C389AC2-9837-4CC8-A336-FA5F4DAC7B24}"/>
    <cellStyle name="Normal 12 9 2 2 2 2" xfId="43129" xr:uid="{BD1B4FF0-5BD2-434E-BB5E-2AE5B9DF7EA7}"/>
    <cellStyle name="Normal 12 9 2 2 3" xfId="17788" xr:uid="{36E19B96-06CA-4DB7-85EF-FFE28C8FB4F5}"/>
    <cellStyle name="Normal 12 9 2 2 4" xfId="34682" xr:uid="{B3D504AD-E26C-4918-B8A3-089A40C75894}"/>
    <cellStyle name="Normal 12 9 2 3" xfId="22018" xr:uid="{8D3355E1-194F-4942-AFFF-527FAC869606}"/>
    <cellStyle name="Normal 12 9 2 3 2" xfId="38912" xr:uid="{7280704E-954F-4BE7-8DA8-024550C4F116}"/>
    <cellStyle name="Normal 12 9 2 4" xfId="13571" xr:uid="{1EE39B19-FF08-4D80-AE70-4B76F714B94C}"/>
    <cellStyle name="Normal 12 9 2 5" xfId="30465" xr:uid="{72A9376E-82F7-4F34-9636-5B543DE7A16A}"/>
    <cellStyle name="Normal 12 9 3" xfId="6317" xr:uid="{00000000-0005-0000-0000-0000690E0000}"/>
    <cellStyle name="Normal 12 9 3 2" xfId="24090" xr:uid="{80660CD9-C7C2-4CFA-B031-C9F376E1165F}"/>
    <cellStyle name="Normal 12 9 3 2 2" xfId="40984" xr:uid="{A16D507E-71C9-4FB8-AC7F-9F0161D06B81}"/>
    <cellStyle name="Normal 12 9 3 3" xfId="15643" xr:uid="{B7E8692C-B105-44D8-A380-A2F772DB8135}"/>
    <cellStyle name="Normal 12 9 3 4" xfId="32537" xr:uid="{1DDAB179-A364-4742-816D-96263F383088}"/>
    <cellStyle name="Normal 12 9 4" xfId="19873" xr:uid="{ED22ED42-AD04-4B34-B6D3-47FA1FD8CF31}"/>
    <cellStyle name="Normal 12 9 4 2" xfId="36767" xr:uid="{2EE27F4F-B363-497D-A5C4-7AC490779ADF}"/>
    <cellStyle name="Normal 12 9 5" xfId="11426" xr:uid="{25AAA443-7600-40CC-AB4A-EFC735C297B0}"/>
    <cellStyle name="Normal 12 9 6" xfId="28320" xr:uid="{3EEF8D5E-8B0B-4312-B2C8-381BBD84641E}"/>
    <cellStyle name="Normal 13" xfId="268" xr:uid="{00000000-0005-0000-0000-00006A0E0000}"/>
    <cellStyle name="Normal 13 2" xfId="269" xr:uid="{00000000-0005-0000-0000-00006B0E0000}"/>
    <cellStyle name="Normal 14" xfId="270" xr:uid="{00000000-0005-0000-0000-00006C0E0000}"/>
    <cellStyle name="Normal 14 10" xfId="26675" xr:uid="{B0141272-B7CF-4678-A297-6546CEB81CA1}"/>
    <cellStyle name="Normal 14 2" xfId="768" xr:uid="{00000000-0005-0000-0000-00006D0E0000}"/>
    <cellStyle name="Normal 14 2 2" xfId="3009" xr:uid="{00000000-0005-0000-0000-00006E0E0000}"/>
    <cellStyle name="Normal 14 2 2 2" xfId="7231" xr:uid="{00000000-0005-0000-0000-00006F0E0000}"/>
    <cellStyle name="Normal 14 2 2 2 2" xfId="25004" xr:uid="{F8F996FC-4ED7-4B1C-BC3F-006B7461D325}"/>
    <cellStyle name="Normal 14 2 2 2 2 2" xfId="41898" xr:uid="{BAB45474-E05D-46EE-A81D-9A94748F9E6F}"/>
    <cellStyle name="Normal 14 2 2 2 3" xfId="16557" xr:uid="{47253898-324F-4FC7-B6AF-03549F807A42}"/>
    <cellStyle name="Normal 14 2 2 2 4" xfId="33451" xr:uid="{9A2E74DA-B425-4AB3-B582-611F56DEE501}"/>
    <cellStyle name="Normal 14 2 2 3" xfId="20787" xr:uid="{5D5A50E0-5AE2-455D-95EA-48C15762A196}"/>
    <cellStyle name="Normal 14 2 2 3 2" xfId="37681" xr:uid="{24BB2EBA-89D6-4A7D-BF36-2A21C30F26BD}"/>
    <cellStyle name="Normal 14 2 2 4" xfId="12340" xr:uid="{F165930A-2FDE-435D-B4B1-4B2E76C693AC}"/>
    <cellStyle name="Normal 14 2 2 5" xfId="29234" xr:uid="{42950D4D-AE15-4D8E-89C3-BBFC1D3E0395}"/>
    <cellStyle name="Normal 14 2 3" xfId="5086" xr:uid="{00000000-0005-0000-0000-0000700E0000}"/>
    <cellStyle name="Normal 14 2 3 2" xfId="22859" xr:uid="{6B6E937E-61C1-486E-863C-BE3519F82F54}"/>
    <cellStyle name="Normal 14 2 3 2 2" xfId="39753" xr:uid="{8560E95A-98CE-499F-B565-4CEA5D8A2583}"/>
    <cellStyle name="Normal 14 2 3 3" xfId="14412" xr:uid="{DD9B8D79-4379-4A63-8D3D-8EE74D209C74}"/>
    <cellStyle name="Normal 14 2 3 4" xfId="31306" xr:uid="{3ABF6C87-54A1-47F3-AFD0-37EC9564BC63}"/>
    <cellStyle name="Normal 14 2 4" xfId="9371" xr:uid="{E1AFB5B4-F468-480A-B09F-3374B2F03BDA}"/>
    <cellStyle name="Normal 14 2 4 2" xfId="18642" xr:uid="{D7195DBC-5D54-40A4-BA8D-D4158DB17F71}"/>
    <cellStyle name="Normal 14 2 4 3" xfId="35536" xr:uid="{76A20182-5646-4989-A62B-4C5EAC7FA8E7}"/>
    <cellStyle name="Normal 14 2 5" xfId="10195" xr:uid="{0EF1C02A-6B3B-4D72-A0A5-67A60F843B7A}"/>
    <cellStyle name="Normal 14 2 6" xfId="27089" xr:uid="{F6202E38-E23B-4B6F-86B3-F95AC086F4B6}"/>
    <cellStyle name="Normal 14 3" xfId="1191" xr:uid="{00000000-0005-0000-0000-0000710E0000}"/>
    <cellStyle name="Normal 14 3 2" xfId="3422" xr:uid="{00000000-0005-0000-0000-0000720E0000}"/>
    <cellStyle name="Normal 14 3 2 2" xfId="7644" xr:uid="{00000000-0005-0000-0000-0000730E0000}"/>
    <cellStyle name="Normal 14 3 2 2 2" xfId="25417" xr:uid="{5E66C2F7-1E88-4A26-8FDE-48449A93F7BF}"/>
    <cellStyle name="Normal 14 3 2 2 2 2" xfId="42311" xr:uid="{618A9C49-98B7-46DD-B50B-6A7BDF083FBB}"/>
    <cellStyle name="Normal 14 3 2 2 3" xfId="16970" xr:uid="{4726BEEC-019E-45BB-9E04-21842E9E5422}"/>
    <cellStyle name="Normal 14 3 2 2 4" xfId="33864" xr:uid="{973A15C9-364A-49A2-AA3C-4CBE29A3DD8E}"/>
    <cellStyle name="Normal 14 3 2 3" xfId="21200" xr:uid="{AD2A0879-4A74-4882-941A-4FB86E46F95A}"/>
    <cellStyle name="Normal 14 3 2 3 2" xfId="38094" xr:uid="{038172D0-9481-44DF-963C-20D1D704DF5C}"/>
    <cellStyle name="Normal 14 3 2 4" xfId="12753" xr:uid="{90D2CFEB-37F8-4BFB-BAD0-5DD854AB97D5}"/>
    <cellStyle name="Normal 14 3 2 5" xfId="29647" xr:uid="{1205044A-D6A6-4DC5-A318-419DC04229E9}"/>
    <cellStyle name="Normal 14 3 3" xfId="5499" xr:uid="{00000000-0005-0000-0000-0000740E0000}"/>
    <cellStyle name="Normal 14 3 3 2" xfId="23272" xr:uid="{F92EC403-94E9-41B2-B712-9480A596333D}"/>
    <cellStyle name="Normal 14 3 3 2 2" xfId="40166" xr:uid="{5D7AFFF0-39CB-43CC-B429-A5A21FB8708A}"/>
    <cellStyle name="Normal 14 3 3 3" xfId="14825" xr:uid="{645C8C0A-CAAB-4AA1-88F3-45A6A638FBF2}"/>
    <cellStyle name="Normal 14 3 3 4" xfId="31719" xr:uid="{26F21DC9-8554-4BEE-920C-F167856F5DB0}"/>
    <cellStyle name="Normal 14 3 4" xfId="19055" xr:uid="{010F199F-B1D0-4F0C-A922-3C5E12403093}"/>
    <cellStyle name="Normal 14 3 4 2" xfId="35949" xr:uid="{2A02D6E1-A81D-4060-8FB4-3FCD162ECB43}"/>
    <cellStyle name="Normal 14 3 5" xfId="10608" xr:uid="{23160FEF-FD44-4655-BFB5-29A0225CDE88}"/>
    <cellStyle name="Normal 14 3 6" xfId="27502" xr:uid="{E24F0A35-80D6-4725-BE6E-C751D294A0BF}"/>
    <cellStyle name="Normal 14 4" xfId="1605" xr:uid="{00000000-0005-0000-0000-0000750E0000}"/>
    <cellStyle name="Normal 14 4 2" xfId="3835" xr:uid="{00000000-0005-0000-0000-0000760E0000}"/>
    <cellStyle name="Normal 14 4 2 2" xfId="8057" xr:uid="{00000000-0005-0000-0000-0000770E0000}"/>
    <cellStyle name="Normal 14 4 2 2 2" xfId="25830" xr:uid="{2E22D630-0CD2-4859-912F-E829E85C4940}"/>
    <cellStyle name="Normal 14 4 2 2 2 2" xfId="42724" xr:uid="{5F55A0CA-01BD-42E3-9132-08012F01E22F}"/>
    <cellStyle name="Normal 14 4 2 2 3" xfId="17383" xr:uid="{78E707D7-F2AA-4626-ABAF-993FDC4D1CB3}"/>
    <cellStyle name="Normal 14 4 2 2 4" xfId="34277" xr:uid="{2BA783C5-9FDF-43DA-8B9F-5E5DCD9B71FF}"/>
    <cellStyle name="Normal 14 4 2 3" xfId="21613" xr:uid="{BE91928B-E948-4F24-99EE-420B7C7D7587}"/>
    <cellStyle name="Normal 14 4 2 3 2" xfId="38507" xr:uid="{19F6D235-708B-414D-919F-19871FCAC376}"/>
    <cellStyle name="Normal 14 4 2 4" xfId="13166" xr:uid="{2905E6C7-2885-4F34-BACF-87DE3EEC6602}"/>
    <cellStyle name="Normal 14 4 2 5" xfId="30060" xr:uid="{CC207312-A2AC-43F3-B3BE-49D7D27D2F85}"/>
    <cellStyle name="Normal 14 4 3" xfId="5912" xr:uid="{00000000-0005-0000-0000-0000780E0000}"/>
    <cellStyle name="Normal 14 4 3 2" xfId="23685" xr:uid="{6FD2B44C-CC28-482B-9899-3C5E4088CE3E}"/>
    <cellStyle name="Normal 14 4 3 2 2" xfId="40579" xr:uid="{5EB50399-BC31-4C01-870F-49A1CC7D07D0}"/>
    <cellStyle name="Normal 14 4 3 3" xfId="15238" xr:uid="{88E027C3-1EE2-4C63-BF9B-D43B4F3343F9}"/>
    <cellStyle name="Normal 14 4 3 4" xfId="32132" xr:uid="{13135C01-B898-4985-A757-F705FA44F247}"/>
    <cellStyle name="Normal 14 4 4" xfId="19468" xr:uid="{F665ACF3-02D9-4E98-9AA1-943A27049BBE}"/>
    <cellStyle name="Normal 14 4 4 2" xfId="36362" xr:uid="{B0BCA5DE-CDBC-4E25-A917-86A1C5EF4B91}"/>
    <cellStyle name="Normal 14 4 5" xfId="11021" xr:uid="{F1F4B420-2CEF-47A7-843F-101AAA435C07}"/>
    <cellStyle name="Normal 14 4 6" xfId="27915" xr:uid="{72C79323-E411-424A-B534-DDEB620CD329}"/>
    <cellStyle name="Normal 14 5" xfId="2019" xr:uid="{00000000-0005-0000-0000-0000790E0000}"/>
    <cellStyle name="Normal 14 5 2" xfId="4248" xr:uid="{00000000-0005-0000-0000-00007A0E0000}"/>
    <cellStyle name="Normal 14 5 2 2" xfId="8470" xr:uid="{00000000-0005-0000-0000-00007B0E0000}"/>
    <cellStyle name="Normal 14 5 2 2 2" xfId="26243" xr:uid="{B46702EF-A925-4FA2-8140-B85A2F74B299}"/>
    <cellStyle name="Normal 14 5 2 2 2 2" xfId="43137" xr:uid="{BB28E72D-C2A0-4272-AEF3-DAF107D372A5}"/>
    <cellStyle name="Normal 14 5 2 2 3" xfId="17796" xr:uid="{5EFA786E-7EE0-48A9-B447-303891153527}"/>
    <cellStyle name="Normal 14 5 2 2 4" xfId="34690" xr:uid="{DD830C0C-5EA5-4DF2-9E10-E0049B56FA25}"/>
    <cellStyle name="Normal 14 5 2 3" xfId="22026" xr:uid="{59A44AD5-67AF-4916-A075-0E2B50B111E3}"/>
    <cellStyle name="Normal 14 5 2 3 2" xfId="38920" xr:uid="{781FF208-3D91-4A5F-BED6-66788B1F0839}"/>
    <cellStyle name="Normal 14 5 2 4" xfId="13579" xr:uid="{D9E1DBF5-F709-4696-AE15-6940AF6BE188}"/>
    <cellStyle name="Normal 14 5 2 5" xfId="30473" xr:uid="{7FCC6704-FE57-4B3F-A8BF-F3F22A185096}"/>
    <cellStyle name="Normal 14 5 3" xfId="6325" xr:uid="{00000000-0005-0000-0000-00007C0E0000}"/>
    <cellStyle name="Normal 14 5 3 2" xfId="24098" xr:uid="{D3C56423-8813-4148-BD06-C5083C399277}"/>
    <cellStyle name="Normal 14 5 3 2 2" xfId="40992" xr:uid="{942DAB40-67B5-46AA-B623-76FF29D26260}"/>
    <cellStyle name="Normal 14 5 3 3" xfId="15651" xr:uid="{5B4F71B9-CACB-426D-A681-829BE215BFA1}"/>
    <cellStyle name="Normal 14 5 3 4" xfId="32545" xr:uid="{AF3CE462-30D2-4740-BCAD-6FB1ED4FC4BD}"/>
    <cellStyle name="Normal 14 5 4" xfId="19881" xr:uid="{809A7BED-143D-425A-9605-59C63F2648E5}"/>
    <cellStyle name="Normal 14 5 4 2" xfId="36775" xr:uid="{C761B78E-501F-4EF5-B1A6-6651ECFB4852}"/>
    <cellStyle name="Normal 14 5 5" xfId="11434" xr:uid="{461E9FD5-46E8-4200-AF90-6277C091A140}"/>
    <cellStyle name="Normal 14 5 6" xfId="28328" xr:uid="{31E0A939-34AC-4499-817F-CB3C45A26AD8}"/>
    <cellStyle name="Normal 14 6" xfId="2455" xr:uid="{00000000-0005-0000-0000-00007D0E0000}"/>
    <cellStyle name="Normal 14 6 2" xfId="6738" xr:uid="{00000000-0005-0000-0000-00007E0E0000}"/>
    <cellStyle name="Normal 14 6 2 2" xfId="24511" xr:uid="{2897C174-DB41-4775-925D-C311FFBE3D3F}"/>
    <cellStyle name="Normal 14 6 2 2 2" xfId="41405" xr:uid="{76483067-05A5-46ED-AD92-AD147FBB0AC1}"/>
    <cellStyle name="Normal 14 6 2 3" xfId="16064" xr:uid="{7114F25A-0D43-48B1-9802-6597D5B4E891}"/>
    <cellStyle name="Normal 14 6 2 4" xfId="32958" xr:uid="{920B5440-2900-48AA-BADD-24DD83C8B2AB}"/>
    <cellStyle name="Normal 14 6 3" xfId="20294" xr:uid="{ED15C844-64FF-4DD9-88A0-1FC779024364}"/>
    <cellStyle name="Normal 14 6 3 2" xfId="37188" xr:uid="{5870E7CA-4B13-4E3C-8B07-CF6F88B9285E}"/>
    <cellStyle name="Normal 14 6 4" xfId="11847" xr:uid="{B17B20AC-7610-45DC-8936-C68F221402E4}"/>
    <cellStyle name="Normal 14 6 5" xfId="28741" xr:uid="{507AFB8A-3A7D-495E-BC77-33A8E737CE2A}"/>
    <cellStyle name="Normal 14 7" xfId="4672" xr:uid="{00000000-0005-0000-0000-00007F0E0000}"/>
    <cellStyle name="Normal 14 7 2" xfId="22445" xr:uid="{84B945E1-865F-42D4-8FFF-A4A0400D8698}"/>
    <cellStyle name="Normal 14 7 2 2" xfId="39339" xr:uid="{789E5F97-9C1E-44E2-A784-E0911E97E3E7}"/>
    <cellStyle name="Normal 14 7 3" xfId="13998" xr:uid="{8F623942-048C-4BE4-B6E1-90B91CF9C0AE}"/>
    <cellStyle name="Normal 14 7 4" xfId="30892" xr:uid="{8EFC9412-2438-4410-B841-5BF84B5585F3}"/>
    <cellStyle name="Normal 14 8" xfId="8946" xr:uid="{DD997A1C-6669-41AA-8AC1-78121AFC796C}"/>
    <cellStyle name="Normal 14 8 2" xfId="18228" xr:uid="{DBF0F64D-0B86-4F3B-B4B5-7E1070E979F9}"/>
    <cellStyle name="Normal 14 8 3" xfId="35122" xr:uid="{5903D4EC-5845-4522-8105-FB2BE0E9C97C}"/>
    <cellStyle name="Normal 14 9" xfId="9781" xr:uid="{3223E47A-0743-4FBF-A926-846A47D2FC00}"/>
    <cellStyle name="Normal 15" xfId="4496" xr:uid="{00000000-0005-0000-0000-0000800E0000}"/>
    <cellStyle name="Normal 15 2" xfId="9578" xr:uid="{99513E76-E7E2-49D8-ADC5-F882C61FFC79}"/>
    <cellStyle name="Normal 15 2 2" xfId="22271" xr:uid="{CB4EB525-9451-44AC-A1B3-BA66555F3A98}"/>
    <cellStyle name="Normal 15 2 3" xfId="39165" xr:uid="{7416A249-8E91-49A0-98E1-8F79A011D66A}"/>
    <cellStyle name="Normal 15 3" xfId="9155" xr:uid="{47700DD8-A88A-4CB4-BFAD-BA75A2D4FC8E}"/>
    <cellStyle name="Normal 15 4" xfId="13824" xr:uid="{ED529E11-C27C-45AE-AF81-3DBF1AD3D179}"/>
    <cellStyle name="Normal 15 5" xfId="30718" xr:uid="{61EBF913-649B-4DF1-8E94-850ABFDDCC5B}"/>
    <cellStyle name="Normal 16" xfId="4500" xr:uid="{00000000-0005-0000-0000-0000810E0000}"/>
    <cellStyle name="Normal 16 2" xfId="8715" xr:uid="{00000000-0005-0000-0000-0000820E0000}"/>
    <cellStyle name="Normal 16 2 2" xfId="26488" xr:uid="{CE24A08E-9045-4150-BB95-53E374219F99}"/>
    <cellStyle name="Normal 16 2 2 2" xfId="43382" xr:uid="{E7D76658-01C6-4EB7-BED4-77B4CA36BCEE}"/>
    <cellStyle name="Normal 16 2 3" xfId="18041" xr:uid="{7AB64864-563F-4E32-8C15-14B98B676B4B}"/>
    <cellStyle name="Normal 16 2 4" xfId="34935" xr:uid="{9B98B042-53F4-459D-91D2-D31FFB9B5466}"/>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3 2 2 2 2 2 2" xfId="26504" xr:uid="{10A1EE64-2E75-49B4-B519-07A2CDE1CD65}"/>
    <cellStyle name="Normal 16 3 2 2 2 2 2 3" xfId="43398" xr:uid="{1C3230A5-C793-474D-BA01-C4BDA1193E97}"/>
    <cellStyle name="Normal 16 3 2 2 2 2 3" xfId="18057" xr:uid="{621F53D7-02C3-42E9-B837-448F3BB04A5D}"/>
    <cellStyle name="Normal 16 3 2 2 2 2 4" xfId="34951" xr:uid="{F03575CF-B07D-46EC-8A1F-3C1A8B6EB8EF}"/>
    <cellStyle name="Normal 16 3 2 2 2 3" xfId="26501" xr:uid="{14D0BA2C-0889-47A6-BE4A-4F5CE4FB3462}"/>
    <cellStyle name="Normal 16 3 2 2 2 3 2" xfId="43395" xr:uid="{0009DA81-0394-4DE3-9B1E-03CB89E7BE13}"/>
    <cellStyle name="Normal 16 3 2 2 2 4" xfId="18054" xr:uid="{815C66CF-68E8-4777-8D64-4DD2679D7E87}"/>
    <cellStyle name="Normal 16 3 2 2 2 5" xfId="34948" xr:uid="{3A172E21-7FE9-4B4E-AC71-784131E33353}"/>
    <cellStyle name="Normal 16 3 2 2 3" xfId="26497" xr:uid="{322D827E-ACE1-496D-856F-88953ED7CE05}"/>
    <cellStyle name="Normal 16 3 2 2 3 2" xfId="43391" xr:uid="{2B3D085A-D208-4644-A65E-B921A8455FDC}"/>
    <cellStyle name="Normal 16 3 2 2 4" xfId="18050" xr:uid="{FC9CEB56-EFF9-40C4-A22F-548143929EF7}"/>
    <cellStyle name="Normal 16 3 2 2 5" xfId="34944" xr:uid="{EB8E4188-CFCF-4722-9C00-95020DFCC627}"/>
    <cellStyle name="Normal 16 3 2 3" xfId="26494" xr:uid="{980A82BC-C540-4811-B85B-0AEAB26BEE7D}"/>
    <cellStyle name="Normal 16 3 2 3 2" xfId="43388" xr:uid="{DA0AA10B-9697-435A-897F-F5DF3637DE4C}"/>
    <cellStyle name="Normal 16 3 2 4" xfId="18047" xr:uid="{BDFD5757-2C9B-46E9-ACA4-D4B6A777817D}"/>
    <cellStyle name="Normal 16 3 2 5" xfId="34941" xr:uid="{69EC245D-4415-49A3-B6BF-D488B15EADEC}"/>
    <cellStyle name="Normal 16 3 3" xfId="26491" xr:uid="{633AB89F-88D6-4EAE-A1AB-DE6BCA2D166A}"/>
    <cellStyle name="Normal 16 3 3 2" xfId="43385" xr:uid="{48A81AF0-5505-4925-A280-0FE33A893231}"/>
    <cellStyle name="Normal 16 3 4" xfId="18044" xr:uid="{24A36C70-FCB2-48E7-90FF-361C9E49FE2B}"/>
    <cellStyle name="Normal 16 3 5" xfId="34938" xr:uid="{DB094437-CF62-43A1-858B-0952F62A5CAB}"/>
    <cellStyle name="Normal 16 4" xfId="9612" xr:uid="{8729F6E8-3534-4DAE-B0B2-B2AF3CDCD313}"/>
    <cellStyle name="Normal 16 4 2" xfId="22274" xr:uid="{9E98734D-61BB-47C5-A45C-E39E6D02E1D0}"/>
    <cellStyle name="Normal 16 4 3" xfId="39168" xr:uid="{CE67B64F-92F8-4236-A3A9-E0F6387277D5}"/>
    <cellStyle name="Normal 16 5" xfId="13827" xr:uid="{BEA6BC7A-5D82-4244-A826-B983F503768F}"/>
    <cellStyle name="Normal 16 6" xfId="30721" xr:uid="{D5F3E9CC-DE19-4786-AE85-03FD9725EA80}"/>
    <cellStyle name="Normal 17" xfId="8728" xr:uid="{3FF0972C-833B-4475-99D8-1A6907499E71}"/>
    <cellStyle name="Normal 17 2" xfId="9157" xr:uid="{6C872296-5E17-4821-9139-E52AD113B06C}"/>
    <cellStyle name="Normal 17 2 2" xfId="26500" xr:uid="{7E65F0E0-5177-483E-9578-88872941E48F}"/>
    <cellStyle name="Normal 17 2 3" xfId="43394" xr:uid="{C3737EDC-9963-4BA1-9632-495EC4A564F3}"/>
    <cellStyle name="Normal 17 3" xfId="9154" xr:uid="{DC3FF210-EC1F-47CE-8CCE-F8F5460671B1}"/>
    <cellStyle name="Normal 17 4" xfId="18053" xr:uid="{02F00A89-F377-4A0B-AF15-45894800D57B}"/>
    <cellStyle name="Normal 17 5" xfId="34947" xr:uid="{33A7B142-8598-41A0-92FF-016C1EF5040E}"/>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2 2 2" xfId="26244" xr:uid="{DFDD2B5F-B365-41FE-A93D-02F71E27A5BC}"/>
    <cellStyle name="Normal 2 4 2 10 2 2 2 2" xfId="43138" xr:uid="{F9E29974-9328-4D65-A86E-3946E6FC012D}"/>
    <cellStyle name="Normal 2 4 2 10 2 2 3" xfId="17797" xr:uid="{8669ED51-C78C-4EE1-BDC8-C3B5E69E55B7}"/>
    <cellStyle name="Normal 2 4 2 10 2 2 4" xfId="34691" xr:uid="{68ABC92E-8C5C-49AC-AF0A-944AB44E8355}"/>
    <cellStyle name="Normal 2 4 2 10 2 3" xfId="22027" xr:uid="{9328BB62-0FCD-4438-BB4C-C8A247E35ADE}"/>
    <cellStyle name="Normal 2 4 2 10 2 3 2" xfId="38921" xr:uid="{29BB57A8-8E2C-4111-B40C-3B6248A8051C}"/>
    <cellStyle name="Normal 2 4 2 10 2 4" xfId="13580" xr:uid="{8148139C-1DF9-47AF-A6D3-60FD8C7815CC}"/>
    <cellStyle name="Normal 2 4 2 10 2 5" xfId="30474" xr:uid="{EFEBE371-669E-4721-BC24-F24EB6CEFA04}"/>
    <cellStyle name="Normal 2 4 2 10 3" xfId="6326" xr:uid="{00000000-0005-0000-0000-0000910E0000}"/>
    <cellStyle name="Normal 2 4 2 10 3 2" xfId="24099" xr:uid="{5E09BF24-8D31-41DE-B433-BFF7F5741C6F}"/>
    <cellStyle name="Normal 2 4 2 10 3 2 2" xfId="40993" xr:uid="{6291906D-8280-43B8-9CC6-642A5B5FD759}"/>
    <cellStyle name="Normal 2 4 2 10 3 3" xfId="15652" xr:uid="{85AD0AF6-4762-44E3-BBE7-D1A52C8E5906}"/>
    <cellStyle name="Normal 2 4 2 10 3 4" xfId="32546" xr:uid="{1A5AC5DA-6550-43D9-9474-E2FBFAE872EA}"/>
    <cellStyle name="Normal 2 4 2 10 4" xfId="19882" xr:uid="{C2E63075-D071-4628-B9D4-7B14AC0EB155}"/>
    <cellStyle name="Normal 2 4 2 10 4 2" xfId="36776" xr:uid="{EF941061-2B4F-45C8-8D04-0BF0A369B1DB}"/>
    <cellStyle name="Normal 2 4 2 10 5" xfId="11435" xr:uid="{9398D14F-79CC-4856-A755-5AAA578068D7}"/>
    <cellStyle name="Normal 2 4 2 10 6" xfId="28329" xr:uid="{97491B1A-B476-433D-A379-394395E6311A}"/>
    <cellStyle name="Normal 2 4 2 11" xfId="2456" xr:uid="{00000000-0005-0000-0000-0000920E0000}"/>
    <cellStyle name="Normal 2 4 2 11 2" xfId="6739" xr:uid="{00000000-0005-0000-0000-0000930E0000}"/>
    <cellStyle name="Normal 2 4 2 11 2 2" xfId="24512" xr:uid="{931CEC18-4453-4E87-9898-931F66662BB3}"/>
    <cellStyle name="Normal 2 4 2 11 2 2 2" xfId="41406" xr:uid="{75A9FB8C-246E-4DBF-9767-0C952C7CC82F}"/>
    <cellStyle name="Normal 2 4 2 11 2 3" xfId="16065" xr:uid="{7507F9B4-F929-4377-A3E3-F417C78668DE}"/>
    <cellStyle name="Normal 2 4 2 11 2 4" xfId="32959" xr:uid="{FBF38DDA-8CBE-4A47-86DC-BC29503DD28B}"/>
    <cellStyle name="Normal 2 4 2 11 3" xfId="20295" xr:uid="{BE40DAF9-EAD0-4E88-940F-920455E497CD}"/>
    <cellStyle name="Normal 2 4 2 11 3 2" xfId="37189" xr:uid="{9E47BE8E-6592-4216-AA90-9F17FB8E4D3F}"/>
    <cellStyle name="Normal 2 4 2 11 4" xfId="11848" xr:uid="{D414E105-2924-4913-8B85-AF00DB3F3129}"/>
    <cellStyle name="Normal 2 4 2 11 5" xfId="28742" xr:uid="{4E6C4FF2-3155-486F-93DA-6C3A352D3D89}"/>
    <cellStyle name="Normal 2 4 2 12" xfId="4673" xr:uid="{00000000-0005-0000-0000-0000940E0000}"/>
    <cellStyle name="Normal 2 4 2 12 2" xfId="22446" xr:uid="{D704FDF2-2443-4DB3-A4BE-4F486DD997E8}"/>
    <cellStyle name="Normal 2 4 2 12 2 2" xfId="39340" xr:uid="{9BBA37A5-695B-4709-A477-392AE89AED6A}"/>
    <cellStyle name="Normal 2 4 2 12 3" xfId="13999" xr:uid="{E771D268-123F-4209-833B-184807223FA7}"/>
    <cellStyle name="Normal 2 4 2 12 4" xfId="30893" xr:uid="{42912B22-8308-4711-9974-679FABAD5E71}"/>
    <cellStyle name="Normal 2 4 2 13" xfId="8757" xr:uid="{563A76DD-F7DD-49F0-A61E-0419F4C31301}"/>
    <cellStyle name="Normal 2 4 2 13 2" xfId="18229" xr:uid="{54E0EDE9-FBD9-44D4-BA4B-AC3DE29720AB}"/>
    <cellStyle name="Normal 2 4 2 13 3" xfId="35123" xr:uid="{0ED4A451-E22F-4C4B-808E-96A9BFACDC3F}"/>
    <cellStyle name="Normal 2 4 2 14" xfId="9782" xr:uid="{F0354A9D-DE19-4E01-A638-940E98190756}"/>
    <cellStyle name="Normal 2 4 2 15" xfId="26676" xr:uid="{6924BA4B-50E2-426B-9B45-3EF6ED3AFC0D}"/>
    <cellStyle name="Normal 2 4 2 2" xfId="280" xr:uid="{00000000-0005-0000-0000-0000950E0000}"/>
    <cellStyle name="Normal 2 4 2 3" xfId="281" xr:uid="{00000000-0005-0000-0000-0000960E0000}"/>
    <cellStyle name="Normal 2 4 2 3 10" xfId="4674" xr:uid="{00000000-0005-0000-0000-0000970E0000}"/>
    <cellStyle name="Normal 2 4 2 3 10 2" xfId="22447" xr:uid="{381A0FCF-7157-4757-B905-44EF33D2F6BF}"/>
    <cellStyle name="Normal 2 4 2 3 10 2 2" xfId="39341" xr:uid="{8EC5A4D3-A8A1-4CE5-9585-0C45F52BA6E7}"/>
    <cellStyle name="Normal 2 4 2 3 10 3" xfId="14000" xr:uid="{51A68BE2-0C00-49F0-AA6A-46498CD336EC}"/>
    <cellStyle name="Normal 2 4 2 3 10 4" xfId="30894" xr:uid="{0540B8AE-E348-4DCC-9C9D-86E6590413EF}"/>
    <cellStyle name="Normal 2 4 2 3 11" xfId="8788" xr:uid="{EAD3D227-C8EF-4F54-8D24-EE1EA1F017BB}"/>
    <cellStyle name="Normal 2 4 2 3 11 2" xfId="18230" xr:uid="{236B9757-456B-4012-891B-FF3FB753CE87}"/>
    <cellStyle name="Normal 2 4 2 3 11 3" xfId="35124" xr:uid="{80DBC8B8-F017-4BE7-92CE-FD6ECC9A32EC}"/>
    <cellStyle name="Normal 2 4 2 3 12" xfId="9783" xr:uid="{B80089FB-78BA-4276-8B09-D8FDBE9190CB}"/>
    <cellStyle name="Normal 2 4 2 3 13" xfId="26677" xr:uid="{A50418D9-F9CF-47AD-AD24-E45354E838D5}"/>
    <cellStyle name="Normal 2 4 2 3 2" xfId="282" xr:uid="{00000000-0005-0000-0000-0000980E0000}"/>
    <cellStyle name="Normal 2 4 2 3 2 10" xfId="8813" xr:uid="{C03AE35D-2438-4E07-AE9C-6D04EC6DA2B7}"/>
    <cellStyle name="Normal 2 4 2 3 2 10 2" xfId="18231" xr:uid="{B7EFE688-2721-4EFC-86A5-45E994538BF3}"/>
    <cellStyle name="Normal 2 4 2 3 2 10 3" xfId="35125" xr:uid="{1D2568E2-9FED-4A5B-82C4-DA454C73B52C}"/>
    <cellStyle name="Normal 2 4 2 3 2 11" xfId="9784" xr:uid="{053C3817-1057-4131-ACF9-8E8D21C38B65}"/>
    <cellStyle name="Normal 2 4 2 3 2 12" xfId="26678" xr:uid="{D4D18A8B-2BA1-4527-B4AB-32E6C3825EED}"/>
    <cellStyle name="Normal 2 4 2 3 2 2" xfId="283" xr:uid="{00000000-0005-0000-0000-0000990E0000}"/>
    <cellStyle name="Normal 2 4 2 3 2 2 10" xfId="9785" xr:uid="{BA67EFC4-370A-4AA5-BAC5-E21EB861FB06}"/>
    <cellStyle name="Normal 2 4 2 3 2 2 11" xfId="26679" xr:uid="{02B9FD03-A729-4433-BB04-2C4AB6373C13}"/>
    <cellStyle name="Normal 2 4 2 3 2 2 2" xfId="284" xr:uid="{00000000-0005-0000-0000-00009A0E0000}"/>
    <cellStyle name="Normal 2 4 2 3 2 2 2 10" xfId="26680" xr:uid="{78581585-52C0-47BE-AD1E-2EDA9EA480F1}"/>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2 2 2" xfId="25009" xr:uid="{A85A8C1F-51D2-4571-921B-02B97F01691F}"/>
    <cellStyle name="Normal 2 4 2 3 2 2 2 2 2 2 2 2" xfId="41903" xr:uid="{CEB9804D-392B-477B-9DE7-A743532B14F4}"/>
    <cellStyle name="Normal 2 4 2 3 2 2 2 2 2 2 3" xfId="16562" xr:uid="{FDA0EF7B-EDF9-464D-8849-BCAE9CFB58CB}"/>
    <cellStyle name="Normal 2 4 2 3 2 2 2 2 2 2 4" xfId="33456" xr:uid="{7D603C6A-F1A0-454D-AB13-4ECEE2C51E4A}"/>
    <cellStyle name="Normal 2 4 2 3 2 2 2 2 2 3" xfId="20792" xr:uid="{EE4FC464-74D5-4A0A-BC2C-3CAD7CE23712}"/>
    <cellStyle name="Normal 2 4 2 3 2 2 2 2 2 3 2" xfId="37686" xr:uid="{5DFF76B6-4F58-450B-9A74-5EEAE018A65A}"/>
    <cellStyle name="Normal 2 4 2 3 2 2 2 2 2 4" xfId="12345" xr:uid="{906B774E-C037-405B-B4C7-49A2F9280F2E}"/>
    <cellStyle name="Normal 2 4 2 3 2 2 2 2 2 5" xfId="29239" xr:uid="{F09B3DD3-8442-4BF4-84F1-137F4EFE3DF7}"/>
    <cellStyle name="Normal 2 4 2 3 2 2 2 2 3" xfId="5091" xr:uid="{00000000-0005-0000-0000-00009E0E0000}"/>
    <cellStyle name="Normal 2 4 2 3 2 2 2 2 3 2" xfId="22864" xr:uid="{F3ED3351-1A5C-42CD-A83E-1868C2ACCCF4}"/>
    <cellStyle name="Normal 2 4 2 3 2 2 2 2 3 2 2" xfId="39758" xr:uid="{B0CEE459-5CA3-4D43-85FE-70F273C48ECA}"/>
    <cellStyle name="Normal 2 4 2 3 2 2 2 2 3 3" xfId="14417" xr:uid="{960D8E4D-40D0-4D34-BA6F-70B6E0B19070}"/>
    <cellStyle name="Normal 2 4 2 3 2 2 2 2 3 4" xfId="31311" xr:uid="{57D3B45C-A919-4D38-BC55-31C01242B6DB}"/>
    <cellStyle name="Normal 2 4 2 3 2 2 2 2 4" xfId="9548" xr:uid="{29E7289E-B3F4-4F63-9B9C-B531B0E50CEB}"/>
    <cellStyle name="Normal 2 4 2 3 2 2 2 2 4 2" xfId="18647" xr:uid="{86777F74-DB86-4056-9E5D-9A0D58988DE2}"/>
    <cellStyle name="Normal 2 4 2 3 2 2 2 2 4 3" xfId="35541" xr:uid="{2E1345C5-7C76-472C-950B-1A313E9AF2D9}"/>
    <cellStyle name="Normal 2 4 2 3 2 2 2 2 5" xfId="10200" xr:uid="{4B93F0F8-B086-4464-9D94-C01C774BC2B5}"/>
    <cellStyle name="Normal 2 4 2 3 2 2 2 2 6" xfId="27094" xr:uid="{3135C6F6-34C9-4BB5-B03E-C150765983B9}"/>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2 2 2" xfId="25422" xr:uid="{DA092795-10CE-48F2-9C0B-DE7EEE0A9186}"/>
    <cellStyle name="Normal 2 4 2 3 2 2 2 3 2 2 2 2" xfId="42316" xr:uid="{78A75340-CF89-4EA2-92C3-DC32CBA313A7}"/>
    <cellStyle name="Normal 2 4 2 3 2 2 2 3 2 2 3" xfId="16975" xr:uid="{E7541827-63F7-4626-BE0A-73F1A91086B0}"/>
    <cellStyle name="Normal 2 4 2 3 2 2 2 3 2 2 4" xfId="33869" xr:uid="{28492988-5DA1-4542-AE1E-6ABF7A748ED0}"/>
    <cellStyle name="Normal 2 4 2 3 2 2 2 3 2 3" xfId="21205" xr:uid="{6E8CC491-2B88-493B-9F41-7774F6D7161D}"/>
    <cellStyle name="Normal 2 4 2 3 2 2 2 3 2 3 2" xfId="38099" xr:uid="{90A085EF-8590-49BA-9A13-22FCA31571AC}"/>
    <cellStyle name="Normal 2 4 2 3 2 2 2 3 2 4" xfId="12758" xr:uid="{B3F0A16A-3B33-4F46-A88F-6991E05941DE}"/>
    <cellStyle name="Normal 2 4 2 3 2 2 2 3 2 5" xfId="29652" xr:uid="{CF1F6ED6-65AD-45AD-9E2C-C11B3CB708CA}"/>
    <cellStyle name="Normal 2 4 2 3 2 2 2 3 3" xfId="5504" xr:uid="{00000000-0005-0000-0000-0000A20E0000}"/>
    <cellStyle name="Normal 2 4 2 3 2 2 2 3 3 2" xfId="23277" xr:uid="{C26F15DE-5438-4E2C-91E4-5EE469090979}"/>
    <cellStyle name="Normal 2 4 2 3 2 2 2 3 3 2 2" xfId="40171" xr:uid="{F25B2F99-3F87-4C9D-B595-4B5B160E958B}"/>
    <cellStyle name="Normal 2 4 2 3 2 2 2 3 3 3" xfId="14830" xr:uid="{E2F6B39F-503C-432B-8D55-9682CDFA5D2B}"/>
    <cellStyle name="Normal 2 4 2 3 2 2 2 3 3 4" xfId="31724" xr:uid="{B82FC363-E437-4257-9BB1-60739F605C88}"/>
    <cellStyle name="Normal 2 4 2 3 2 2 2 3 4" xfId="19060" xr:uid="{A25E4559-B119-4844-A6B0-FA2EBCCEF7A6}"/>
    <cellStyle name="Normal 2 4 2 3 2 2 2 3 4 2" xfId="35954" xr:uid="{42ACDD58-D8CF-4A46-A2F6-3512C06FBE1E}"/>
    <cellStyle name="Normal 2 4 2 3 2 2 2 3 5" xfId="10613" xr:uid="{A4BDBDB0-3CA4-4FDF-B0A6-3B7830CCB974}"/>
    <cellStyle name="Normal 2 4 2 3 2 2 2 3 6" xfId="27507" xr:uid="{A03BB05D-6954-4347-86FE-9A26E82C045F}"/>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2 2 2" xfId="25835" xr:uid="{AF457126-87DA-410D-848B-BB272E97C2E5}"/>
    <cellStyle name="Normal 2 4 2 3 2 2 2 4 2 2 2 2" xfId="42729" xr:uid="{B1F39904-0691-4B5C-A4E9-DB1388C1825C}"/>
    <cellStyle name="Normal 2 4 2 3 2 2 2 4 2 2 3" xfId="17388" xr:uid="{B2C1E051-C49F-49EE-BE6F-A87A56704F4B}"/>
    <cellStyle name="Normal 2 4 2 3 2 2 2 4 2 2 4" xfId="34282" xr:uid="{3F20233B-2841-4915-9E15-7533DF56E26C}"/>
    <cellStyle name="Normal 2 4 2 3 2 2 2 4 2 3" xfId="21618" xr:uid="{BA8AD41E-FB47-4F56-9E94-EC39889EB75E}"/>
    <cellStyle name="Normal 2 4 2 3 2 2 2 4 2 3 2" xfId="38512" xr:uid="{951AB105-DC0E-43B3-BC58-9AD9C2AFB433}"/>
    <cellStyle name="Normal 2 4 2 3 2 2 2 4 2 4" xfId="13171" xr:uid="{E65CB032-F6A5-4471-A59B-C8A62240CEC6}"/>
    <cellStyle name="Normal 2 4 2 3 2 2 2 4 2 5" xfId="30065" xr:uid="{2A156748-52EA-49D9-B14F-946EB4938BAD}"/>
    <cellStyle name="Normal 2 4 2 3 2 2 2 4 3" xfId="5917" xr:uid="{00000000-0005-0000-0000-0000A60E0000}"/>
    <cellStyle name="Normal 2 4 2 3 2 2 2 4 3 2" xfId="23690" xr:uid="{0AAA40BD-E323-400B-8206-8887BC7D0F95}"/>
    <cellStyle name="Normal 2 4 2 3 2 2 2 4 3 2 2" xfId="40584" xr:uid="{D4DCDFB0-676A-4074-B9ED-38F4A7834C9A}"/>
    <cellStyle name="Normal 2 4 2 3 2 2 2 4 3 3" xfId="15243" xr:uid="{2140A6A5-2239-4E24-B9C8-8D2C9312B28F}"/>
    <cellStyle name="Normal 2 4 2 3 2 2 2 4 3 4" xfId="32137" xr:uid="{566D7D36-E5D8-4F46-AEE1-B9863C9526F2}"/>
    <cellStyle name="Normal 2 4 2 3 2 2 2 4 4" xfId="19473" xr:uid="{757B9040-CC9E-491F-88A4-01878CE974BA}"/>
    <cellStyle name="Normal 2 4 2 3 2 2 2 4 4 2" xfId="36367" xr:uid="{246AEEDA-E3FF-4E8F-80D6-63E06801F3B3}"/>
    <cellStyle name="Normal 2 4 2 3 2 2 2 4 5" xfId="11026" xr:uid="{0641EC09-7141-42D7-9CD0-5BCB1A2D9ADB}"/>
    <cellStyle name="Normal 2 4 2 3 2 2 2 4 6" xfId="27920" xr:uid="{2D1BBDC0-6A4C-40E9-9979-09D84E73958C}"/>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2 2 2" xfId="26248" xr:uid="{3EBB08A5-0D4C-4AD7-ABF4-094A0D51E26A}"/>
    <cellStyle name="Normal 2 4 2 3 2 2 2 5 2 2 2 2" xfId="43142" xr:uid="{E835D067-76DD-4A24-A9F7-90AC66366436}"/>
    <cellStyle name="Normal 2 4 2 3 2 2 2 5 2 2 3" xfId="17801" xr:uid="{3DF5A972-FC67-4633-9CFF-04CD377978E9}"/>
    <cellStyle name="Normal 2 4 2 3 2 2 2 5 2 2 4" xfId="34695" xr:uid="{8D491CAE-C850-4565-8E91-C1A07B75B30A}"/>
    <cellStyle name="Normal 2 4 2 3 2 2 2 5 2 3" xfId="22031" xr:uid="{4EAD9F10-8ABB-4099-A5A0-609947EF0FC7}"/>
    <cellStyle name="Normal 2 4 2 3 2 2 2 5 2 3 2" xfId="38925" xr:uid="{6AFAA74A-2379-40E6-BAAA-DB18E40615B3}"/>
    <cellStyle name="Normal 2 4 2 3 2 2 2 5 2 4" xfId="13584" xr:uid="{C63475A1-1455-4E30-AE60-98733433A4B5}"/>
    <cellStyle name="Normal 2 4 2 3 2 2 2 5 2 5" xfId="30478" xr:uid="{62B9664F-625B-4A09-B154-004464DD57F5}"/>
    <cellStyle name="Normal 2 4 2 3 2 2 2 5 3" xfId="6330" xr:uid="{00000000-0005-0000-0000-0000AA0E0000}"/>
    <cellStyle name="Normal 2 4 2 3 2 2 2 5 3 2" xfId="24103" xr:uid="{C5EEDBC2-E7F7-415D-B578-BDF4C978636F}"/>
    <cellStyle name="Normal 2 4 2 3 2 2 2 5 3 2 2" xfId="40997" xr:uid="{7C5D4B48-4975-412B-8E41-F76AA8A0C67D}"/>
    <cellStyle name="Normal 2 4 2 3 2 2 2 5 3 3" xfId="15656" xr:uid="{DBBFD5A8-10D0-463C-BE6E-17D8FEDBBE86}"/>
    <cellStyle name="Normal 2 4 2 3 2 2 2 5 3 4" xfId="32550" xr:uid="{6DAC8C61-C8D8-4CAD-9BD4-B433C463017F}"/>
    <cellStyle name="Normal 2 4 2 3 2 2 2 5 4" xfId="19886" xr:uid="{A38F9B2B-5D6E-4A22-B35D-A4DBFA0D9068}"/>
    <cellStyle name="Normal 2 4 2 3 2 2 2 5 4 2" xfId="36780" xr:uid="{25088009-2C78-45DE-8725-475113B58CA3}"/>
    <cellStyle name="Normal 2 4 2 3 2 2 2 5 5" xfId="11439" xr:uid="{604BC308-F6EC-4BA7-BE38-4912C88EB039}"/>
    <cellStyle name="Normal 2 4 2 3 2 2 2 5 6" xfId="28333" xr:uid="{185597DD-C73C-4D67-B0E4-9BAF81BC5B14}"/>
    <cellStyle name="Normal 2 4 2 3 2 2 2 6" xfId="2460" xr:uid="{00000000-0005-0000-0000-0000AB0E0000}"/>
    <cellStyle name="Normal 2 4 2 3 2 2 2 6 2" xfId="6743" xr:uid="{00000000-0005-0000-0000-0000AC0E0000}"/>
    <cellStyle name="Normal 2 4 2 3 2 2 2 6 2 2" xfId="24516" xr:uid="{5E31E537-E13F-4BD3-BD1C-4A71F2674467}"/>
    <cellStyle name="Normal 2 4 2 3 2 2 2 6 2 2 2" xfId="41410" xr:uid="{6EB71BEB-C709-4A21-B3F2-574661F6A2C5}"/>
    <cellStyle name="Normal 2 4 2 3 2 2 2 6 2 3" xfId="16069" xr:uid="{184F9538-82FB-4BFE-A536-67E98E891D1F}"/>
    <cellStyle name="Normal 2 4 2 3 2 2 2 6 2 4" xfId="32963" xr:uid="{A60408B8-BCBF-451C-BA18-C36C2BD0DD9E}"/>
    <cellStyle name="Normal 2 4 2 3 2 2 2 6 3" xfId="20299" xr:uid="{AD195A80-7A02-4BEE-BFC2-C61D6C23E078}"/>
    <cellStyle name="Normal 2 4 2 3 2 2 2 6 3 2" xfId="37193" xr:uid="{B14EB35B-B328-4A23-8E16-FE3E15D45B42}"/>
    <cellStyle name="Normal 2 4 2 3 2 2 2 6 4" xfId="11852" xr:uid="{2D238E27-154F-4419-BEC9-D4F7D4BFE910}"/>
    <cellStyle name="Normal 2 4 2 3 2 2 2 6 5" xfId="28746" xr:uid="{D3942819-6EA6-4CC2-8830-5991303BCC34}"/>
    <cellStyle name="Normal 2 4 2 3 2 2 2 7" xfId="4677" xr:uid="{00000000-0005-0000-0000-0000AD0E0000}"/>
    <cellStyle name="Normal 2 4 2 3 2 2 2 7 2" xfId="22450" xr:uid="{15E29880-A17A-458B-82A8-FA06ECD0B426}"/>
    <cellStyle name="Normal 2 4 2 3 2 2 2 7 2 2" xfId="39344" xr:uid="{5986B069-76F2-4E4F-B81A-8465BAACBE43}"/>
    <cellStyle name="Normal 2 4 2 3 2 2 2 7 3" xfId="14003" xr:uid="{13365035-8A28-4654-87D1-A60FE6AFEFB8}"/>
    <cellStyle name="Normal 2 4 2 3 2 2 2 7 4" xfId="30897" xr:uid="{0DED3ED5-56B3-4313-80F9-C0A4B377D36D}"/>
    <cellStyle name="Normal 2 4 2 3 2 2 2 8" xfId="9123" xr:uid="{9F0183A9-880D-46D9-BB7D-5696E4723F5F}"/>
    <cellStyle name="Normal 2 4 2 3 2 2 2 8 2" xfId="18233" xr:uid="{D15FD690-55EC-4BFE-966C-C8801F98E1F8}"/>
    <cellStyle name="Normal 2 4 2 3 2 2 2 8 3" xfId="35127" xr:uid="{78851FFA-5524-47FF-B57D-826D4C01F20B}"/>
    <cellStyle name="Normal 2 4 2 3 2 2 2 9" xfId="9786" xr:uid="{D846AD5A-AF1D-410B-9CB6-D66B240737C3}"/>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2 2 2" xfId="25008" xr:uid="{62C1B6C0-61E4-498C-B0EE-9D70EF9A5D0D}"/>
    <cellStyle name="Normal 2 4 2 3 2 2 3 2 2 2 2" xfId="41902" xr:uid="{817DD24B-A462-4AE4-9F2C-F8AEC54853E1}"/>
    <cellStyle name="Normal 2 4 2 3 2 2 3 2 2 3" xfId="16561" xr:uid="{FD8F790B-CFBC-4CF7-860D-84F1D4B7223D}"/>
    <cellStyle name="Normal 2 4 2 3 2 2 3 2 2 4" xfId="33455" xr:uid="{B0FDFA60-325D-478C-99F3-6345335B8E97}"/>
    <cellStyle name="Normal 2 4 2 3 2 2 3 2 3" xfId="20791" xr:uid="{FA5F8B79-040A-468A-B683-1F17B82741C1}"/>
    <cellStyle name="Normal 2 4 2 3 2 2 3 2 3 2" xfId="37685" xr:uid="{CBABB7F9-5208-47C8-B6EA-69C6683A8524}"/>
    <cellStyle name="Normal 2 4 2 3 2 2 3 2 4" xfId="12344" xr:uid="{AA1868C6-3F54-4B7E-B4BD-4B903CFA5B72}"/>
    <cellStyle name="Normal 2 4 2 3 2 2 3 2 5" xfId="29238" xr:uid="{0A5D5B21-A2E2-409B-B7C0-4109826EEA0D}"/>
    <cellStyle name="Normal 2 4 2 3 2 2 3 3" xfId="5090" xr:uid="{00000000-0005-0000-0000-0000B10E0000}"/>
    <cellStyle name="Normal 2 4 2 3 2 2 3 3 2" xfId="22863" xr:uid="{7BE13366-D06F-4371-8D42-2195C4753C53}"/>
    <cellStyle name="Normal 2 4 2 3 2 2 3 3 2 2" xfId="39757" xr:uid="{2DF46FD2-F7DB-443C-AD14-87161EC1635D}"/>
    <cellStyle name="Normal 2 4 2 3 2 2 3 3 3" xfId="14416" xr:uid="{3FE89DDB-D673-4070-A922-4DECFA05F186}"/>
    <cellStyle name="Normal 2 4 2 3 2 2 3 3 4" xfId="31310" xr:uid="{761D380D-AF18-4DAA-B810-5B0F2DD675D6}"/>
    <cellStyle name="Normal 2 4 2 3 2 2 3 4" xfId="9341" xr:uid="{4F113FF5-050D-47D1-A7D5-F829C93D993D}"/>
    <cellStyle name="Normal 2 4 2 3 2 2 3 4 2" xfId="18646" xr:uid="{50B0A552-BF66-4B43-AC3B-31075061EDF5}"/>
    <cellStyle name="Normal 2 4 2 3 2 2 3 4 3" xfId="35540" xr:uid="{967CD748-7613-4726-8A47-478BD59FDBD1}"/>
    <cellStyle name="Normal 2 4 2 3 2 2 3 5" xfId="10199" xr:uid="{19C3E5DE-1695-4518-8644-B6DFCF31AA5D}"/>
    <cellStyle name="Normal 2 4 2 3 2 2 3 6" xfId="27093" xr:uid="{23C73838-6F9B-4397-9719-8A7F0B839383}"/>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2 2 2" xfId="25421" xr:uid="{8A0A8519-63BA-454D-8182-A4AAA0647B39}"/>
    <cellStyle name="Normal 2 4 2 3 2 2 4 2 2 2 2" xfId="42315" xr:uid="{821BDA19-D06A-438D-958F-4633B0AFB76A}"/>
    <cellStyle name="Normal 2 4 2 3 2 2 4 2 2 3" xfId="16974" xr:uid="{DDF12FEF-CC97-4503-B758-9AE6C915F5C5}"/>
    <cellStyle name="Normal 2 4 2 3 2 2 4 2 2 4" xfId="33868" xr:uid="{E287A58F-16FB-415C-ABC9-5488DED0E38E}"/>
    <cellStyle name="Normal 2 4 2 3 2 2 4 2 3" xfId="21204" xr:uid="{3E125BC2-0276-4C3F-A15F-3B0EF82F6420}"/>
    <cellStyle name="Normal 2 4 2 3 2 2 4 2 3 2" xfId="38098" xr:uid="{B8CCB667-2EA0-4F08-9DC0-84A139AFFB2D}"/>
    <cellStyle name="Normal 2 4 2 3 2 2 4 2 4" xfId="12757" xr:uid="{D469C981-7BDE-4C96-95F3-137475B7D166}"/>
    <cellStyle name="Normal 2 4 2 3 2 2 4 2 5" xfId="29651" xr:uid="{4FBDC257-64EA-4821-A6A0-9A1065DFC490}"/>
    <cellStyle name="Normal 2 4 2 3 2 2 4 3" xfId="5503" xr:uid="{00000000-0005-0000-0000-0000B50E0000}"/>
    <cellStyle name="Normal 2 4 2 3 2 2 4 3 2" xfId="23276" xr:uid="{C2A8CC5F-5870-4B93-A0DD-16855782FB03}"/>
    <cellStyle name="Normal 2 4 2 3 2 2 4 3 2 2" xfId="40170" xr:uid="{20058ECA-5917-4234-A022-192C275E7BE0}"/>
    <cellStyle name="Normal 2 4 2 3 2 2 4 3 3" xfId="14829" xr:uid="{931C8070-F5FF-4375-B732-65987BFA210E}"/>
    <cellStyle name="Normal 2 4 2 3 2 2 4 3 4" xfId="31723" xr:uid="{052A1607-7D16-4B89-B3A8-1F1FC5BD2243}"/>
    <cellStyle name="Normal 2 4 2 3 2 2 4 4" xfId="19059" xr:uid="{2B9A2611-7122-4470-B8FB-3174A314DE25}"/>
    <cellStyle name="Normal 2 4 2 3 2 2 4 4 2" xfId="35953" xr:uid="{D65AF926-1445-4EAD-9F82-087EA4E59001}"/>
    <cellStyle name="Normal 2 4 2 3 2 2 4 5" xfId="10612" xr:uid="{5A1507CA-B97F-47DA-B6C8-B813BF2E124F}"/>
    <cellStyle name="Normal 2 4 2 3 2 2 4 6" xfId="27506" xr:uid="{3288DB07-1E93-4907-9144-95125DF613E3}"/>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2 2 2" xfId="25834" xr:uid="{7E6C3F79-08F3-42A1-98F8-EA5973F555AD}"/>
    <cellStyle name="Normal 2 4 2 3 2 2 5 2 2 2 2" xfId="42728" xr:uid="{F1372E4D-8CA2-4674-958C-1B0D2C6C5F81}"/>
    <cellStyle name="Normal 2 4 2 3 2 2 5 2 2 3" xfId="17387" xr:uid="{E27CA0D4-DFEE-4F3D-96B1-79DAF9EA2E35}"/>
    <cellStyle name="Normal 2 4 2 3 2 2 5 2 2 4" xfId="34281" xr:uid="{EAF76CB9-93B6-41FF-8472-3575E10971FF}"/>
    <cellStyle name="Normal 2 4 2 3 2 2 5 2 3" xfId="21617" xr:uid="{7640BC02-95E2-4F69-951B-208C70D73A05}"/>
    <cellStyle name="Normal 2 4 2 3 2 2 5 2 3 2" xfId="38511" xr:uid="{60C4AAE1-47A1-465E-84D7-E940770F51F1}"/>
    <cellStyle name="Normal 2 4 2 3 2 2 5 2 4" xfId="13170" xr:uid="{668AF8B7-9E1D-4570-8333-B96C297062B2}"/>
    <cellStyle name="Normal 2 4 2 3 2 2 5 2 5" xfId="30064" xr:uid="{B698D310-0B0D-44B8-AAFE-135BB5A6815D}"/>
    <cellStyle name="Normal 2 4 2 3 2 2 5 3" xfId="5916" xr:uid="{00000000-0005-0000-0000-0000B90E0000}"/>
    <cellStyle name="Normal 2 4 2 3 2 2 5 3 2" xfId="23689" xr:uid="{63F6A50D-0001-4640-99BF-4C75E2CD9E96}"/>
    <cellStyle name="Normal 2 4 2 3 2 2 5 3 2 2" xfId="40583" xr:uid="{A4C0D7B9-DA99-459C-BA28-BE39CA2A656D}"/>
    <cellStyle name="Normal 2 4 2 3 2 2 5 3 3" xfId="15242" xr:uid="{C0E37997-4BF0-4B9C-B483-0E4BFF207176}"/>
    <cellStyle name="Normal 2 4 2 3 2 2 5 3 4" xfId="32136" xr:uid="{86E87D22-0DF5-4042-82B1-33724CAE8B66}"/>
    <cellStyle name="Normal 2 4 2 3 2 2 5 4" xfId="19472" xr:uid="{69A2B361-035C-409E-9E4F-E1E68152FEEA}"/>
    <cellStyle name="Normal 2 4 2 3 2 2 5 4 2" xfId="36366" xr:uid="{0C44AE60-97FD-4B3B-85BF-214527C7C71B}"/>
    <cellStyle name="Normal 2 4 2 3 2 2 5 5" xfId="11025" xr:uid="{23DE3450-13F4-4CCA-A515-16B2B2E1E662}"/>
    <cellStyle name="Normal 2 4 2 3 2 2 5 6" xfId="27919" xr:uid="{B0EA0E4F-FA22-4967-8821-2364F23C2AA9}"/>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2 2 2" xfId="26247" xr:uid="{3D4ED450-C4D4-4521-B132-29F7C23F526F}"/>
    <cellStyle name="Normal 2 4 2 3 2 2 6 2 2 2 2" xfId="43141" xr:uid="{D8454F34-C50B-4DE9-AA13-DC7D120E56DC}"/>
    <cellStyle name="Normal 2 4 2 3 2 2 6 2 2 3" xfId="17800" xr:uid="{E6F0C7EA-6970-4AF4-B719-7BA97E483A47}"/>
    <cellStyle name="Normal 2 4 2 3 2 2 6 2 2 4" xfId="34694" xr:uid="{4F6C2CA4-ECC1-48A8-B6FF-1D5F20D772B5}"/>
    <cellStyle name="Normal 2 4 2 3 2 2 6 2 3" xfId="22030" xr:uid="{451E8535-48E1-4F46-BE70-168D74F09F88}"/>
    <cellStyle name="Normal 2 4 2 3 2 2 6 2 3 2" xfId="38924" xr:uid="{807183A2-5B56-4A48-8C97-0AD8122E5043}"/>
    <cellStyle name="Normal 2 4 2 3 2 2 6 2 4" xfId="13583" xr:uid="{D7758F04-31C2-4018-A0E9-47717DEACA78}"/>
    <cellStyle name="Normal 2 4 2 3 2 2 6 2 5" xfId="30477" xr:uid="{E4C2206F-D699-4CEC-B1AC-D4886FDB177B}"/>
    <cellStyle name="Normal 2 4 2 3 2 2 6 3" xfId="6329" xr:uid="{00000000-0005-0000-0000-0000BD0E0000}"/>
    <cellStyle name="Normal 2 4 2 3 2 2 6 3 2" xfId="24102" xr:uid="{E014B764-4D15-42D9-9BC3-6CD2ACBB7A85}"/>
    <cellStyle name="Normal 2 4 2 3 2 2 6 3 2 2" xfId="40996" xr:uid="{411D2678-0EB5-4F0E-8759-BEB098912A6F}"/>
    <cellStyle name="Normal 2 4 2 3 2 2 6 3 3" xfId="15655" xr:uid="{B2247F92-BC8A-4FBC-B3E3-1A20651508AB}"/>
    <cellStyle name="Normal 2 4 2 3 2 2 6 3 4" xfId="32549" xr:uid="{F9A0CBF0-6936-48F8-B50D-739E4DA335D3}"/>
    <cellStyle name="Normal 2 4 2 3 2 2 6 4" xfId="19885" xr:uid="{3E83E125-D0F0-42B6-9357-C47D33BB8BAA}"/>
    <cellStyle name="Normal 2 4 2 3 2 2 6 4 2" xfId="36779" xr:uid="{96883943-F42C-48FB-A583-EBC894742A40}"/>
    <cellStyle name="Normal 2 4 2 3 2 2 6 5" xfId="11438" xr:uid="{F9FFBE5C-E931-4E1E-B1EA-3A9633491F4D}"/>
    <cellStyle name="Normal 2 4 2 3 2 2 6 6" xfId="28332" xr:uid="{D2CD33FE-C662-469F-A7B5-6AD7DA18F57E}"/>
    <cellStyle name="Normal 2 4 2 3 2 2 7" xfId="2459" xr:uid="{00000000-0005-0000-0000-0000BE0E0000}"/>
    <cellStyle name="Normal 2 4 2 3 2 2 7 2" xfId="6742" xr:uid="{00000000-0005-0000-0000-0000BF0E0000}"/>
    <cellStyle name="Normal 2 4 2 3 2 2 7 2 2" xfId="24515" xr:uid="{8727831F-78D1-473D-8C2C-DBAABD4A0742}"/>
    <cellStyle name="Normal 2 4 2 3 2 2 7 2 2 2" xfId="41409" xr:uid="{2DA0D067-A54B-41A1-94B0-3516F5A2430A}"/>
    <cellStyle name="Normal 2 4 2 3 2 2 7 2 3" xfId="16068" xr:uid="{B64F8BAE-852A-488D-9D3D-BD2A5F112B3B}"/>
    <cellStyle name="Normal 2 4 2 3 2 2 7 2 4" xfId="32962" xr:uid="{692FF69A-6FA2-4F62-B7ED-F03D62A54145}"/>
    <cellStyle name="Normal 2 4 2 3 2 2 7 3" xfId="20298" xr:uid="{5219A932-360A-4303-BC8A-D1ADB57F8998}"/>
    <cellStyle name="Normal 2 4 2 3 2 2 7 3 2" xfId="37192" xr:uid="{8F1D4D42-9DC7-4260-9A55-41C51064691C}"/>
    <cellStyle name="Normal 2 4 2 3 2 2 7 4" xfId="11851" xr:uid="{2D7DBA5C-6564-4428-AF60-7DCF4C8BDDA8}"/>
    <cellStyle name="Normal 2 4 2 3 2 2 7 5" xfId="28745" xr:uid="{DF9BD652-9BAC-4031-B4F3-23723E38C7B2}"/>
    <cellStyle name="Normal 2 4 2 3 2 2 8" xfId="4676" xr:uid="{00000000-0005-0000-0000-0000C00E0000}"/>
    <cellStyle name="Normal 2 4 2 3 2 2 8 2" xfId="22449" xr:uid="{EF96D7A6-87DB-437E-9B13-3924D684E00C}"/>
    <cellStyle name="Normal 2 4 2 3 2 2 8 2 2" xfId="39343" xr:uid="{F6912494-E078-455B-B68A-1F880C93217B}"/>
    <cellStyle name="Normal 2 4 2 3 2 2 8 3" xfId="14002" xr:uid="{26DA270F-F257-463F-829A-3A96FF176534}"/>
    <cellStyle name="Normal 2 4 2 3 2 2 8 4" xfId="30896" xr:uid="{4F0DAAF1-298A-43BA-A445-26FF79947195}"/>
    <cellStyle name="Normal 2 4 2 3 2 2 9" xfId="8916" xr:uid="{1EF18CC7-44BB-43EB-8DB6-D193CEF128C1}"/>
    <cellStyle name="Normal 2 4 2 3 2 2 9 2" xfId="18232" xr:uid="{64C470FB-8662-4CE3-A9A6-4D6DC304291F}"/>
    <cellStyle name="Normal 2 4 2 3 2 2 9 3" xfId="35126" xr:uid="{74776DBB-96BE-427E-B033-7B19C99156D5}"/>
    <cellStyle name="Normal 2 4 2 3 2 3" xfId="285" xr:uid="{00000000-0005-0000-0000-0000C10E0000}"/>
    <cellStyle name="Normal 2 4 2 3 2 3 10" xfId="26681" xr:uid="{50D0E4CC-A9CC-46F9-868F-21DC98AAF7C4}"/>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2 2 2" xfId="25010" xr:uid="{1E34970D-848E-4022-B27A-6CBA567518D9}"/>
    <cellStyle name="Normal 2 4 2 3 2 3 2 2 2 2 2" xfId="41904" xr:uid="{DFE49C57-340B-4A0F-BFA4-835A2EC00C92}"/>
    <cellStyle name="Normal 2 4 2 3 2 3 2 2 2 3" xfId="16563" xr:uid="{6ECD9206-8630-45F2-A38A-83CD06E919CC}"/>
    <cellStyle name="Normal 2 4 2 3 2 3 2 2 2 4" xfId="33457" xr:uid="{FB4B10AD-CA3F-4AF2-AD32-3A8D9E20DD01}"/>
    <cellStyle name="Normal 2 4 2 3 2 3 2 2 3" xfId="20793" xr:uid="{A12EBDD3-246F-434C-811F-399AD20A0417}"/>
    <cellStyle name="Normal 2 4 2 3 2 3 2 2 3 2" xfId="37687" xr:uid="{BB6146D4-3691-471D-906B-16D606869F2E}"/>
    <cellStyle name="Normal 2 4 2 3 2 3 2 2 4" xfId="12346" xr:uid="{1CFBB0E5-02A6-4A33-A8AB-135F89D21758}"/>
    <cellStyle name="Normal 2 4 2 3 2 3 2 2 5" xfId="29240" xr:uid="{867A7CAB-81ED-42A4-BEA3-7DD21C97327C}"/>
    <cellStyle name="Normal 2 4 2 3 2 3 2 3" xfId="5092" xr:uid="{00000000-0005-0000-0000-0000C50E0000}"/>
    <cellStyle name="Normal 2 4 2 3 2 3 2 3 2" xfId="22865" xr:uid="{0FE7A6AE-5852-4E1D-B450-C5CD93FA4B0E}"/>
    <cellStyle name="Normal 2 4 2 3 2 3 2 3 2 2" xfId="39759" xr:uid="{204108F9-77FA-4A3E-8A21-B8794CCE3880}"/>
    <cellStyle name="Normal 2 4 2 3 2 3 2 3 3" xfId="14418" xr:uid="{C500F6AE-7CF1-44CF-8A17-0BC229131403}"/>
    <cellStyle name="Normal 2 4 2 3 2 3 2 3 4" xfId="31312" xr:uid="{43A042BD-84DA-4479-82FB-4DE783FCFCDA}"/>
    <cellStyle name="Normal 2 4 2 3 2 3 2 4" xfId="9445" xr:uid="{67F9E33C-8554-469D-8D7A-1147F632F3B0}"/>
    <cellStyle name="Normal 2 4 2 3 2 3 2 4 2" xfId="18648" xr:uid="{5372CD3C-5363-4628-9AD0-1F4F196B8C6B}"/>
    <cellStyle name="Normal 2 4 2 3 2 3 2 4 3" xfId="35542" xr:uid="{E6FD0700-9E56-4E2E-BC10-09FB1B9241AF}"/>
    <cellStyle name="Normal 2 4 2 3 2 3 2 5" xfId="10201" xr:uid="{4F59D649-14DA-40B5-B3EC-314380DA2C76}"/>
    <cellStyle name="Normal 2 4 2 3 2 3 2 6" xfId="27095" xr:uid="{5D994972-DDDA-4FF9-8278-19FE28A6E0F6}"/>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2 2 2" xfId="25423" xr:uid="{D227820F-06CC-4D99-917B-07F337CD6079}"/>
    <cellStyle name="Normal 2 4 2 3 2 3 3 2 2 2 2" xfId="42317" xr:uid="{03C0E0CF-69A0-47FE-BA15-933E18CBBB4C}"/>
    <cellStyle name="Normal 2 4 2 3 2 3 3 2 2 3" xfId="16976" xr:uid="{467242D8-1A71-4131-9E8D-2EF30C2B7434}"/>
    <cellStyle name="Normal 2 4 2 3 2 3 3 2 2 4" xfId="33870" xr:uid="{E25715A5-197F-475B-B75E-393F32413BA7}"/>
    <cellStyle name="Normal 2 4 2 3 2 3 3 2 3" xfId="21206" xr:uid="{C3A8DC1D-AFDA-45A3-BC87-D479988CFC21}"/>
    <cellStyle name="Normal 2 4 2 3 2 3 3 2 3 2" xfId="38100" xr:uid="{24601109-AFEB-4D96-8777-FA9BE5D7054D}"/>
    <cellStyle name="Normal 2 4 2 3 2 3 3 2 4" xfId="12759" xr:uid="{B404C9EC-34B4-4DAF-943F-232665B22C46}"/>
    <cellStyle name="Normal 2 4 2 3 2 3 3 2 5" xfId="29653" xr:uid="{40EB8879-DC0D-4C83-904D-DB6B91F2CF65}"/>
    <cellStyle name="Normal 2 4 2 3 2 3 3 3" xfId="5505" xr:uid="{00000000-0005-0000-0000-0000C90E0000}"/>
    <cellStyle name="Normal 2 4 2 3 2 3 3 3 2" xfId="23278" xr:uid="{91296CA2-F6D3-437F-A7CF-BA3281FD28F5}"/>
    <cellStyle name="Normal 2 4 2 3 2 3 3 3 2 2" xfId="40172" xr:uid="{A89D189F-A672-44CD-A98E-04B403EBD25F}"/>
    <cellStyle name="Normal 2 4 2 3 2 3 3 3 3" xfId="14831" xr:uid="{6E3EC46F-0B85-4318-9EC3-92FD36F0D2CC}"/>
    <cellStyle name="Normal 2 4 2 3 2 3 3 3 4" xfId="31725" xr:uid="{88E47F92-4D95-486E-9B84-0632A638BCAE}"/>
    <cellStyle name="Normal 2 4 2 3 2 3 3 4" xfId="19061" xr:uid="{56A9091F-3830-42FD-A0EF-4E245A25002A}"/>
    <cellStyle name="Normal 2 4 2 3 2 3 3 4 2" xfId="35955" xr:uid="{A0C042CA-ADDC-4EBF-848E-D4A4031C26F1}"/>
    <cellStyle name="Normal 2 4 2 3 2 3 3 5" xfId="10614" xr:uid="{A2AF6FAB-9D11-4BFB-9B23-C828C115A926}"/>
    <cellStyle name="Normal 2 4 2 3 2 3 3 6" xfId="27508" xr:uid="{DBADB7CF-A676-401B-A641-FCB1DC3CEBD5}"/>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2 2 2" xfId="25836" xr:uid="{5727D6D0-391D-48BD-9251-4D2090E713C0}"/>
    <cellStyle name="Normal 2 4 2 3 2 3 4 2 2 2 2" xfId="42730" xr:uid="{736348A8-550D-40FF-B417-7229FD9DFC63}"/>
    <cellStyle name="Normal 2 4 2 3 2 3 4 2 2 3" xfId="17389" xr:uid="{5BF24423-B012-45F4-9013-142AE4989830}"/>
    <cellStyle name="Normal 2 4 2 3 2 3 4 2 2 4" xfId="34283" xr:uid="{BE2A5A5C-7B92-4749-8AB0-44A32E0902C6}"/>
    <cellStyle name="Normal 2 4 2 3 2 3 4 2 3" xfId="21619" xr:uid="{51423A8F-3B54-41D3-87A3-D7377E9ED49B}"/>
    <cellStyle name="Normal 2 4 2 3 2 3 4 2 3 2" xfId="38513" xr:uid="{11AA5B4D-3E74-450C-B64C-185C1F1184C5}"/>
    <cellStyle name="Normal 2 4 2 3 2 3 4 2 4" xfId="13172" xr:uid="{780FFC7B-46B4-44A1-9A6A-BD643CA482B0}"/>
    <cellStyle name="Normal 2 4 2 3 2 3 4 2 5" xfId="30066" xr:uid="{59F87522-12EF-4603-9C95-A975C5001597}"/>
    <cellStyle name="Normal 2 4 2 3 2 3 4 3" xfId="5918" xr:uid="{00000000-0005-0000-0000-0000CD0E0000}"/>
    <cellStyle name="Normal 2 4 2 3 2 3 4 3 2" xfId="23691" xr:uid="{F24E059D-FEAD-4E3A-A1C6-655C13A5371B}"/>
    <cellStyle name="Normal 2 4 2 3 2 3 4 3 2 2" xfId="40585" xr:uid="{354C3E8A-FFA1-481C-A601-2BB2B296EA35}"/>
    <cellStyle name="Normal 2 4 2 3 2 3 4 3 3" xfId="15244" xr:uid="{F8FD043E-FDC4-4062-93F5-9843F8950400}"/>
    <cellStyle name="Normal 2 4 2 3 2 3 4 3 4" xfId="32138" xr:uid="{96C59B00-CDA1-493B-A9FE-2D046E16FB42}"/>
    <cellStyle name="Normal 2 4 2 3 2 3 4 4" xfId="19474" xr:uid="{08158396-DA69-4170-80F7-60D8FBFF07F3}"/>
    <cellStyle name="Normal 2 4 2 3 2 3 4 4 2" xfId="36368" xr:uid="{610657A2-3150-41A4-83C9-49B3C27C6504}"/>
    <cellStyle name="Normal 2 4 2 3 2 3 4 5" xfId="11027" xr:uid="{BEEBF675-4CDC-4F7D-85FA-77EB187E41B8}"/>
    <cellStyle name="Normal 2 4 2 3 2 3 4 6" xfId="27921" xr:uid="{1A1A2DF5-A599-4C0F-B0B1-9FF626EE446A}"/>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2 2 2" xfId="26249" xr:uid="{2164917E-0D37-4908-B6D2-67DCFD9F216E}"/>
    <cellStyle name="Normal 2 4 2 3 2 3 5 2 2 2 2" xfId="43143" xr:uid="{9874BE15-DD32-4BF4-9D23-5D53D85964A2}"/>
    <cellStyle name="Normal 2 4 2 3 2 3 5 2 2 3" xfId="17802" xr:uid="{246F5924-7217-4280-A1F9-A86E14C5D62A}"/>
    <cellStyle name="Normal 2 4 2 3 2 3 5 2 2 4" xfId="34696" xr:uid="{6C9F7AA6-00F7-4F12-9470-6F359185B980}"/>
    <cellStyle name="Normal 2 4 2 3 2 3 5 2 3" xfId="22032" xr:uid="{77C6F433-73CF-43C5-8605-29C2A1EE1B1F}"/>
    <cellStyle name="Normal 2 4 2 3 2 3 5 2 3 2" xfId="38926" xr:uid="{DBDD5595-99CC-4B3A-8AD9-CC906D6CFCB4}"/>
    <cellStyle name="Normal 2 4 2 3 2 3 5 2 4" xfId="13585" xr:uid="{6635C63E-508E-4CB2-8162-56846D4CE9D6}"/>
    <cellStyle name="Normal 2 4 2 3 2 3 5 2 5" xfId="30479" xr:uid="{B229978A-5439-4D74-9D89-706263B9594F}"/>
    <cellStyle name="Normal 2 4 2 3 2 3 5 3" xfId="6331" xr:uid="{00000000-0005-0000-0000-0000D10E0000}"/>
    <cellStyle name="Normal 2 4 2 3 2 3 5 3 2" xfId="24104" xr:uid="{2650FA51-9F14-476C-8F23-336DF12C01AA}"/>
    <cellStyle name="Normal 2 4 2 3 2 3 5 3 2 2" xfId="40998" xr:uid="{C3A7EAD8-F852-4407-A100-516382FAF7C0}"/>
    <cellStyle name="Normal 2 4 2 3 2 3 5 3 3" xfId="15657" xr:uid="{E0E66E19-BEDC-4159-9622-B146A5DCA2C5}"/>
    <cellStyle name="Normal 2 4 2 3 2 3 5 3 4" xfId="32551" xr:uid="{1970784E-ACB6-484A-B389-A2ED11999EC1}"/>
    <cellStyle name="Normal 2 4 2 3 2 3 5 4" xfId="19887" xr:uid="{B0988623-7D98-490B-977B-A5BE16242172}"/>
    <cellStyle name="Normal 2 4 2 3 2 3 5 4 2" xfId="36781" xr:uid="{893B6766-17EA-49D3-891C-747F8A20F299}"/>
    <cellStyle name="Normal 2 4 2 3 2 3 5 5" xfId="11440" xr:uid="{A98904EA-872F-4863-9E0D-CB204570CB4B}"/>
    <cellStyle name="Normal 2 4 2 3 2 3 5 6" xfId="28334" xr:uid="{92CFAACA-0C50-4B9E-9CEA-26A97FBCB1A7}"/>
    <cellStyle name="Normal 2 4 2 3 2 3 6" xfId="2461" xr:uid="{00000000-0005-0000-0000-0000D20E0000}"/>
    <cellStyle name="Normal 2 4 2 3 2 3 6 2" xfId="6744" xr:uid="{00000000-0005-0000-0000-0000D30E0000}"/>
    <cellStyle name="Normal 2 4 2 3 2 3 6 2 2" xfId="24517" xr:uid="{F49191F7-1CA7-4847-9136-D1A07F7068C1}"/>
    <cellStyle name="Normal 2 4 2 3 2 3 6 2 2 2" xfId="41411" xr:uid="{897C880C-C3A2-4848-AE90-FD9C0323A16B}"/>
    <cellStyle name="Normal 2 4 2 3 2 3 6 2 3" xfId="16070" xr:uid="{D9745E7D-60A9-48AB-8D83-8EFF7E25E828}"/>
    <cellStyle name="Normal 2 4 2 3 2 3 6 2 4" xfId="32964" xr:uid="{73E76191-10A0-4BC6-A526-6CF9D2842318}"/>
    <cellStyle name="Normal 2 4 2 3 2 3 6 3" xfId="20300" xr:uid="{C2F17405-695F-4E0A-BD4E-F10A13536B16}"/>
    <cellStyle name="Normal 2 4 2 3 2 3 6 3 2" xfId="37194" xr:uid="{9A735DC4-D48F-4CB9-801F-066F614EDA11}"/>
    <cellStyle name="Normal 2 4 2 3 2 3 6 4" xfId="11853" xr:uid="{EBC47738-AF26-4715-ABB4-A19E482192E8}"/>
    <cellStyle name="Normal 2 4 2 3 2 3 6 5" xfId="28747" xr:uid="{8687137F-1909-41F1-BE7A-6CC1D2746263}"/>
    <cellStyle name="Normal 2 4 2 3 2 3 7" xfId="4678" xr:uid="{00000000-0005-0000-0000-0000D40E0000}"/>
    <cellStyle name="Normal 2 4 2 3 2 3 7 2" xfId="22451" xr:uid="{AE15A50C-2B64-4D1F-A852-B747F46C4BB0}"/>
    <cellStyle name="Normal 2 4 2 3 2 3 7 2 2" xfId="39345" xr:uid="{53E2B2ED-40E6-4057-B80D-96DCEAE732D2}"/>
    <cellStyle name="Normal 2 4 2 3 2 3 7 3" xfId="14004" xr:uid="{3F79FB75-EB1A-4CF7-8987-7E4BC84D84C0}"/>
    <cellStyle name="Normal 2 4 2 3 2 3 7 4" xfId="30898" xr:uid="{9D9AD0B4-7F5C-4CE3-B8EB-3007D62E5EBC}"/>
    <cellStyle name="Normal 2 4 2 3 2 3 8" xfId="9020" xr:uid="{5718F785-8E2C-4B45-91D1-4597173D90A6}"/>
    <cellStyle name="Normal 2 4 2 3 2 3 8 2" xfId="18234" xr:uid="{E1BD381B-216A-438F-A615-755B2649DC85}"/>
    <cellStyle name="Normal 2 4 2 3 2 3 8 3" xfId="35128" xr:uid="{818AA664-CAAF-4CE1-8C1F-C243F0507B4D}"/>
    <cellStyle name="Normal 2 4 2 3 2 3 9" xfId="9787" xr:uid="{493DE9BD-5479-40C7-8535-CBABAFAEF235}"/>
    <cellStyle name="Normal 2 4 2 3 2 4" xfId="773" xr:uid="{00000000-0005-0000-0000-0000D50E0000}"/>
    <cellStyle name="Normal 2 4 2 3 2 4 2" xfId="3012" xr:uid="{00000000-0005-0000-0000-0000D60E0000}"/>
    <cellStyle name="Normal 2 4 2 3 2 4 2 2" xfId="7234" xr:uid="{00000000-0005-0000-0000-0000D70E0000}"/>
    <cellStyle name="Normal 2 4 2 3 2 4 2 2 2" xfId="25007" xr:uid="{064EA825-C784-4202-A42D-54AAC5B35E9B}"/>
    <cellStyle name="Normal 2 4 2 3 2 4 2 2 2 2" xfId="41901" xr:uid="{25A7D22E-A3A7-42D4-9553-8B239A31D123}"/>
    <cellStyle name="Normal 2 4 2 3 2 4 2 2 3" xfId="16560" xr:uid="{1C7E1D06-0BF6-4D9D-B043-38C569D4A4E0}"/>
    <cellStyle name="Normal 2 4 2 3 2 4 2 2 4" xfId="33454" xr:uid="{960861B6-6C0A-4DD1-A9F5-171874577978}"/>
    <cellStyle name="Normal 2 4 2 3 2 4 2 3" xfId="20790" xr:uid="{EB18CAE6-B54E-43CA-BCAC-199A2951EB4D}"/>
    <cellStyle name="Normal 2 4 2 3 2 4 2 3 2" xfId="37684" xr:uid="{C07202E7-9946-4B76-89DC-B03EC1AB9DEE}"/>
    <cellStyle name="Normal 2 4 2 3 2 4 2 4" xfId="12343" xr:uid="{C418D0C7-D0F8-46FE-A9C1-BB35AB881ABE}"/>
    <cellStyle name="Normal 2 4 2 3 2 4 2 5" xfId="29237" xr:uid="{14690227-C17A-4322-A375-FA28D125D1FE}"/>
    <cellStyle name="Normal 2 4 2 3 2 4 3" xfId="5089" xr:uid="{00000000-0005-0000-0000-0000D80E0000}"/>
    <cellStyle name="Normal 2 4 2 3 2 4 3 2" xfId="22862" xr:uid="{0FC43CB0-8CBC-4DFE-9CCC-34A3CCFD8F2D}"/>
    <cellStyle name="Normal 2 4 2 3 2 4 3 2 2" xfId="39756" xr:uid="{3015E112-6BB4-46DB-807F-EB365207ADDB}"/>
    <cellStyle name="Normal 2 4 2 3 2 4 3 3" xfId="14415" xr:uid="{BEE95155-016E-4917-8B28-665B7E7514E1}"/>
    <cellStyle name="Normal 2 4 2 3 2 4 3 4" xfId="31309" xr:uid="{701C1887-8DB9-4184-8C26-263568CB865B}"/>
    <cellStyle name="Normal 2 4 2 3 2 4 4" xfId="9238" xr:uid="{BC6E5A3D-C256-46E9-A109-D643C24AA206}"/>
    <cellStyle name="Normal 2 4 2 3 2 4 4 2" xfId="18645" xr:uid="{DF680AAD-1B73-4370-ABBC-C5DACA9105B3}"/>
    <cellStyle name="Normal 2 4 2 3 2 4 4 3" xfId="35539" xr:uid="{FC9FD85F-14DE-4B63-93F5-3E3941D14B7F}"/>
    <cellStyle name="Normal 2 4 2 3 2 4 5" xfId="10198" xr:uid="{6205E4F1-5762-4AD7-A7C2-2D9A9E9910D6}"/>
    <cellStyle name="Normal 2 4 2 3 2 4 6" xfId="27092" xr:uid="{29D5F72D-A021-4B53-BED1-4E6555F46B39}"/>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2 2 2" xfId="25420" xr:uid="{4CE988E3-DB65-4BD2-B185-707EE43A40A0}"/>
    <cellStyle name="Normal 2 4 2 3 2 5 2 2 2 2" xfId="42314" xr:uid="{9FD7EAB0-7866-4A96-BA8F-AC8CD5CA610A}"/>
    <cellStyle name="Normal 2 4 2 3 2 5 2 2 3" xfId="16973" xr:uid="{3B553BAC-AF2F-438B-9B60-13C480EE5B23}"/>
    <cellStyle name="Normal 2 4 2 3 2 5 2 2 4" xfId="33867" xr:uid="{7AA8DA7C-C660-4BA6-8F9E-C044437852D7}"/>
    <cellStyle name="Normal 2 4 2 3 2 5 2 3" xfId="21203" xr:uid="{B29F805E-3917-42CA-89D4-5D7D97C26F03}"/>
    <cellStyle name="Normal 2 4 2 3 2 5 2 3 2" xfId="38097" xr:uid="{718237BB-3CDE-4BAE-B6FD-3D083B21E30B}"/>
    <cellStyle name="Normal 2 4 2 3 2 5 2 4" xfId="12756" xr:uid="{C2C6C679-AA74-493B-A6AA-B948B62D07B8}"/>
    <cellStyle name="Normal 2 4 2 3 2 5 2 5" xfId="29650" xr:uid="{3A9E47F1-3BB9-49F4-AB2F-0C50E1ECC096}"/>
    <cellStyle name="Normal 2 4 2 3 2 5 3" xfId="5502" xr:uid="{00000000-0005-0000-0000-0000DC0E0000}"/>
    <cellStyle name="Normal 2 4 2 3 2 5 3 2" xfId="23275" xr:uid="{2A95A52F-1429-4BA6-9BB2-632FAC580B4B}"/>
    <cellStyle name="Normal 2 4 2 3 2 5 3 2 2" xfId="40169" xr:uid="{E8689107-91CB-445A-AF0B-2F51035F197D}"/>
    <cellStyle name="Normal 2 4 2 3 2 5 3 3" xfId="14828" xr:uid="{789048F8-2051-4EEB-B6E2-8A486BD18D1E}"/>
    <cellStyle name="Normal 2 4 2 3 2 5 3 4" xfId="31722" xr:uid="{49195F4A-E26E-4CBC-BD15-890D15122385}"/>
    <cellStyle name="Normal 2 4 2 3 2 5 4" xfId="19058" xr:uid="{2D2B4EB5-D879-4D1F-B62D-92F05667C937}"/>
    <cellStyle name="Normal 2 4 2 3 2 5 4 2" xfId="35952" xr:uid="{908DF7EA-AAD5-4F56-B192-9E9767CE5FE0}"/>
    <cellStyle name="Normal 2 4 2 3 2 5 5" xfId="10611" xr:uid="{B3DB7F29-9C92-4433-9EFA-E090CC06F19E}"/>
    <cellStyle name="Normal 2 4 2 3 2 5 6" xfId="27505" xr:uid="{F813B6FD-013C-4EAB-9BBC-83C8F7FDFE19}"/>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2 2 2" xfId="25833" xr:uid="{6AD2C082-B4A0-4B00-B383-0964362121B5}"/>
    <cellStyle name="Normal 2 4 2 3 2 6 2 2 2 2" xfId="42727" xr:uid="{4C093776-CFF5-4F01-864B-05259D60314C}"/>
    <cellStyle name="Normal 2 4 2 3 2 6 2 2 3" xfId="17386" xr:uid="{2286DF6B-8B72-4D36-972F-71C4E0A6B73B}"/>
    <cellStyle name="Normal 2 4 2 3 2 6 2 2 4" xfId="34280" xr:uid="{60174282-940C-4409-A95D-07DF2824E219}"/>
    <cellStyle name="Normal 2 4 2 3 2 6 2 3" xfId="21616" xr:uid="{D86491B3-DE6A-4C32-92E2-8D714094E025}"/>
    <cellStyle name="Normal 2 4 2 3 2 6 2 3 2" xfId="38510" xr:uid="{A660CF2E-007A-4EA5-94C7-3A45E64AAFC0}"/>
    <cellStyle name="Normal 2 4 2 3 2 6 2 4" xfId="13169" xr:uid="{52743987-522D-4CD2-9DFE-D6586B8A9B56}"/>
    <cellStyle name="Normal 2 4 2 3 2 6 2 5" xfId="30063" xr:uid="{79D02FC2-4B3D-425C-A250-F01E1CE8B254}"/>
    <cellStyle name="Normal 2 4 2 3 2 6 3" xfId="5915" xr:uid="{00000000-0005-0000-0000-0000E00E0000}"/>
    <cellStyle name="Normal 2 4 2 3 2 6 3 2" xfId="23688" xr:uid="{CFC9951E-2243-4554-899E-9A986ED04758}"/>
    <cellStyle name="Normal 2 4 2 3 2 6 3 2 2" xfId="40582" xr:uid="{1F10CF6B-B667-4A01-925A-619A0CDABE7A}"/>
    <cellStyle name="Normal 2 4 2 3 2 6 3 3" xfId="15241" xr:uid="{1C86C89B-7E18-4B0E-A9DB-A40A466CFD81}"/>
    <cellStyle name="Normal 2 4 2 3 2 6 3 4" xfId="32135" xr:uid="{FBD87F9F-C8C4-4E4B-B165-82E17B21989C}"/>
    <cellStyle name="Normal 2 4 2 3 2 6 4" xfId="19471" xr:uid="{66363FE9-0323-4380-AC7C-F6D763B8DAFD}"/>
    <cellStyle name="Normal 2 4 2 3 2 6 4 2" xfId="36365" xr:uid="{A0B6254D-642D-4CB7-A23A-8148E557E185}"/>
    <cellStyle name="Normal 2 4 2 3 2 6 5" xfId="11024" xr:uid="{47E41F95-33B5-47E4-AB58-0AAEE40540B4}"/>
    <cellStyle name="Normal 2 4 2 3 2 6 6" xfId="27918" xr:uid="{51BD68C6-BE90-4B7F-B9A8-C0D6191B628D}"/>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2 2 2" xfId="26246" xr:uid="{7C488BB6-9DBF-432A-B3BA-187F7259A547}"/>
    <cellStyle name="Normal 2 4 2 3 2 7 2 2 2 2" xfId="43140" xr:uid="{6142ACD2-0D07-4595-BB72-53B887BB7265}"/>
    <cellStyle name="Normal 2 4 2 3 2 7 2 2 3" xfId="17799" xr:uid="{11169A75-B182-4E8A-90AC-9D6F9978CFB7}"/>
    <cellStyle name="Normal 2 4 2 3 2 7 2 2 4" xfId="34693" xr:uid="{45A344DD-65F4-48CF-9ECF-0C0B1D19C65D}"/>
    <cellStyle name="Normal 2 4 2 3 2 7 2 3" xfId="22029" xr:uid="{0DFCC06D-8C73-43F8-887D-91167AE56EDD}"/>
    <cellStyle name="Normal 2 4 2 3 2 7 2 3 2" xfId="38923" xr:uid="{D9C4CD56-6035-4880-A73A-569A347423B8}"/>
    <cellStyle name="Normal 2 4 2 3 2 7 2 4" xfId="13582" xr:uid="{24EF2468-EFAA-467C-A048-B6F1F2227296}"/>
    <cellStyle name="Normal 2 4 2 3 2 7 2 5" xfId="30476" xr:uid="{B40AB27D-4BCA-47CE-BA63-7591145BE96B}"/>
    <cellStyle name="Normal 2 4 2 3 2 7 3" xfId="6328" xr:uid="{00000000-0005-0000-0000-0000E40E0000}"/>
    <cellStyle name="Normal 2 4 2 3 2 7 3 2" xfId="24101" xr:uid="{A040405F-F89A-46D3-A01B-A110565E3911}"/>
    <cellStyle name="Normal 2 4 2 3 2 7 3 2 2" xfId="40995" xr:uid="{09C6D45B-5CB4-42A5-8D8A-032281CDB987}"/>
    <cellStyle name="Normal 2 4 2 3 2 7 3 3" xfId="15654" xr:uid="{AFBC3177-8F15-418F-938B-7DC663DFD95E}"/>
    <cellStyle name="Normal 2 4 2 3 2 7 3 4" xfId="32548" xr:uid="{06CF6F6C-F0C6-42C5-A661-C35EDF2832E5}"/>
    <cellStyle name="Normal 2 4 2 3 2 7 4" xfId="19884" xr:uid="{E25FD25C-439A-455B-B242-39991E97E08C}"/>
    <cellStyle name="Normal 2 4 2 3 2 7 4 2" xfId="36778" xr:uid="{83DAFC26-4A07-44E4-82B0-ACBA4E9AC5C2}"/>
    <cellStyle name="Normal 2 4 2 3 2 7 5" xfId="11437" xr:uid="{A7D02054-9F71-441E-9E94-B93611C20270}"/>
    <cellStyle name="Normal 2 4 2 3 2 7 6" xfId="28331" xr:uid="{4AD045D2-FAFD-406F-80FC-EADDC71AD67B}"/>
    <cellStyle name="Normal 2 4 2 3 2 8" xfId="2458" xr:uid="{00000000-0005-0000-0000-0000E50E0000}"/>
    <cellStyle name="Normal 2 4 2 3 2 8 2" xfId="6741" xr:uid="{00000000-0005-0000-0000-0000E60E0000}"/>
    <cellStyle name="Normal 2 4 2 3 2 8 2 2" xfId="24514" xr:uid="{AAF702C4-DD88-4F67-8A6C-5FB4EFE929C2}"/>
    <cellStyle name="Normal 2 4 2 3 2 8 2 2 2" xfId="41408" xr:uid="{B7119192-B095-4A7F-B22F-DB351B5257C9}"/>
    <cellStyle name="Normal 2 4 2 3 2 8 2 3" xfId="16067" xr:uid="{83A0212C-1A0E-428E-857C-69970F41E61D}"/>
    <cellStyle name="Normal 2 4 2 3 2 8 2 4" xfId="32961" xr:uid="{264F2EBC-7123-49E5-9BD0-58AEB276D5D4}"/>
    <cellStyle name="Normal 2 4 2 3 2 8 3" xfId="20297" xr:uid="{C088A2F2-0B11-494C-8502-0FC9DD99BBAB}"/>
    <cellStyle name="Normal 2 4 2 3 2 8 3 2" xfId="37191" xr:uid="{6B12B0AC-77AB-43B2-9222-A166D8ED280B}"/>
    <cellStyle name="Normal 2 4 2 3 2 8 4" xfId="11850" xr:uid="{5172A6F5-5796-418D-9695-56E2037740EA}"/>
    <cellStyle name="Normal 2 4 2 3 2 8 5" xfId="28744" xr:uid="{1E4B5CC2-9B39-4258-BC10-8AC8E5ED40DE}"/>
    <cellStyle name="Normal 2 4 2 3 2 9" xfId="4675" xr:uid="{00000000-0005-0000-0000-0000E70E0000}"/>
    <cellStyle name="Normal 2 4 2 3 2 9 2" xfId="22448" xr:uid="{E18BAD18-8A19-4A9F-B20A-F5D2968FFF4A}"/>
    <cellStyle name="Normal 2 4 2 3 2 9 2 2" xfId="39342" xr:uid="{8448B0D5-BE24-4054-B67E-2927C2C849DC}"/>
    <cellStyle name="Normal 2 4 2 3 2 9 3" xfId="14001" xr:uid="{A2289155-61BC-4E1A-8F88-F8C0890351E2}"/>
    <cellStyle name="Normal 2 4 2 3 2 9 4" xfId="30895" xr:uid="{A474B2EA-9826-4B36-9989-DCE5317FC6FD}"/>
    <cellStyle name="Normal 2 4 2 3 3" xfId="286" xr:uid="{00000000-0005-0000-0000-0000E80E0000}"/>
    <cellStyle name="Normal 2 4 2 3 3 10" xfId="9788" xr:uid="{AF317E4C-22E3-4457-9046-0C57915FD1EF}"/>
    <cellStyle name="Normal 2 4 2 3 3 11" xfId="26682" xr:uid="{753ABA89-9101-4B39-9528-0D7AA3B8C358}"/>
    <cellStyle name="Normal 2 4 2 3 3 2" xfId="287" xr:uid="{00000000-0005-0000-0000-0000E90E0000}"/>
    <cellStyle name="Normal 2 4 2 3 3 2 10" xfId="26683" xr:uid="{2FEB5E72-C703-47C7-A635-8F2D1C090C58}"/>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2 2 2" xfId="25012" xr:uid="{24B37078-79EF-4DF3-9390-24AD8821E7CD}"/>
    <cellStyle name="Normal 2 4 2 3 3 2 2 2 2 2 2" xfId="41906" xr:uid="{FE767F40-0376-44B4-95A2-01EA4AB53D59}"/>
    <cellStyle name="Normal 2 4 2 3 3 2 2 2 2 3" xfId="16565" xr:uid="{B4EAA412-88C0-4542-9C71-BFF61ABFF683}"/>
    <cellStyle name="Normal 2 4 2 3 3 2 2 2 2 4" xfId="33459" xr:uid="{F1C3F7DA-FF93-4684-B84C-81DAE4EFCA8F}"/>
    <cellStyle name="Normal 2 4 2 3 3 2 2 2 3" xfId="20795" xr:uid="{F8F5167D-161C-4815-8942-308DA8E2F06A}"/>
    <cellStyle name="Normal 2 4 2 3 3 2 2 2 3 2" xfId="37689" xr:uid="{A62F3168-7014-41F4-A908-0ECFEC243304}"/>
    <cellStyle name="Normal 2 4 2 3 3 2 2 2 4" xfId="12348" xr:uid="{B7669D93-684D-4F53-9AD8-EBFC114C5169}"/>
    <cellStyle name="Normal 2 4 2 3 3 2 2 2 5" xfId="29242" xr:uid="{F270F933-9148-4B13-B4E3-BACC8228044E}"/>
    <cellStyle name="Normal 2 4 2 3 3 2 2 3" xfId="5094" xr:uid="{00000000-0005-0000-0000-0000ED0E0000}"/>
    <cellStyle name="Normal 2 4 2 3 3 2 2 3 2" xfId="22867" xr:uid="{C312B239-67E9-44A6-811C-14C263C9EDEC}"/>
    <cellStyle name="Normal 2 4 2 3 3 2 2 3 2 2" xfId="39761" xr:uid="{0BAF274A-56A9-4492-82A3-1BB605370771}"/>
    <cellStyle name="Normal 2 4 2 3 3 2 2 3 3" xfId="14420" xr:uid="{8FB77820-7282-4361-83BD-A77E4A8CA783}"/>
    <cellStyle name="Normal 2 4 2 3 3 2 2 3 4" xfId="31314" xr:uid="{E87581E9-1803-4FCD-8B63-89083CF339FF}"/>
    <cellStyle name="Normal 2 4 2 3 3 2 2 4" xfId="9523" xr:uid="{49BCB42B-3FEB-4D87-8E20-52FE775F87DD}"/>
    <cellStyle name="Normal 2 4 2 3 3 2 2 4 2" xfId="18650" xr:uid="{7ED31AC0-A1EF-484D-B7E2-60527E4ED810}"/>
    <cellStyle name="Normal 2 4 2 3 3 2 2 4 3" xfId="35544" xr:uid="{9BA40504-07F0-4426-BC2E-796C71C4A6BB}"/>
    <cellStyle name="Normal 2 4 2 3 3 2 2 5" xfId="10203" xr:uid="{DF3C63CD-B2E0-4820-9323-58EA5C8BBF74}"/>
    <cellStyle name="Normal 2 4 2 3 3 2 2 6" xfId="27097" xr:uid="{53659CDD-D249-4523-8904-50B062A6B801}"/>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2 2 2" xfId="25425" xr:uid="{DDDF2D21-1E14-4A82-891E-DB99C261214C}"/>
    <cellStyle name="Normal 2 4 2 3 3 2 3 2 2 2 2" xfId="42319" xr:uid="{91B5C3A5-BAA1-4137-88A0-A8639B7E8730}"/>
    <cellStyle name="Normal 2 4 2 3 3 2 3 2 2 3" xfId="16978" xr:uid="{FBD8E7A6-4C5F-4A8A-A0A1-A3CCE820C9DA}"/>
    <cellStyle name="Normal 2 4 2 3 3 2 3 2 2 4" xfId="33872" xr:uid="{47A620CC-6E5A-4968-A7AC-F34F75DCA097}"/>
    <cellStyle name="Normal 2 4 2 3 3 2 3 2 3" xfId="21208" xr:uid="{23027152-55BA-4535-A20B-68B40E307FF6}"/>
    <cellStyle name="Normal 2 4 2 3 3 2 3 2 3 2" xfId="38102" xr:uid="{C6EE01FF-66F4-4A3D-BAA9-F6EA771EB34C}"/>
    <cellStyle name="Normal 2 4 2 3 3 2 3 2 4" xfId="12761" xr:uid="{5656DBD2-CB2E-4F5C-8372-C6BC9F257116}"/>
    <cellStyle name="Normal 2 4 2 3 3 2 3 2 5" xfId="29655" xr:uid="{2E290B75-FFA9-4FF2-A057-60A198B2D468}"/>
    <cellStyle name="Normal 2 4 2 3 3 2 3 3" xfId="5507" xr:uid="{00000000-0005-0000-0000-0000F10E0000}"/>
    <cellStyle name="Normal 2 4 2 3 3 2 3 3 2" xfId="23280" xr:uid="{71BB2DBD-0D73-4807-957F-90DFB85AE4DE}"/>
    <cellStyle name="Normal 2 4 2 3 3 2 3 3 2 2" xfId="40174" xr:uid="{1CA51F58-C7F5-4075-885A-B6FE006D4A87}"/>
    <cellStyle name="Normal 2 4 2 3 3 2 3 3 3" xfId="14833" xr:uid="{8222FF21-A3F1-4B31-A0C0-D4712394BF1B}"/>
    <cellStyle name="Normal 2 4 2 3 3 2 3 3 4" xfId="31727" xr:uid="{A5B17208-2171-4C94-A248-FDCCE046661B}"/>
    <cellStyle name="Normal 2 4 2 3 3 2 3 4" xfId="19063" xr:uid="{4A5F4027-39A9-47A6-85B3-00E74DAE81CD}"/>
    <cellStyle name="Normal 2 4 2 3 3 2 3 4 2" xfId="35957" xr:uid="{CE8FB917-D68C-4B6D-87BF-15ECA2531D4B}"/>
    <cellStyle name="Normal 2 4 2 3 3 2 3 5" xfId="10616" xr:uid="{0DB922A2-E421-4BD4-8C4A-ABED264C70BD}"/>
    <cellStyle name="Normal 2 4 2 3 3 2 3 6" xfId="27510" xr:uid="{92EE38EE-9C0C-425B-B031-F7F026B8B19E}"/>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2 2 2" xfId="25838" xr:uid="{15777AEA-2F5A-4D8D-AD40-CBFD4554D473}"/>
    <cellStyle name="Normal 2 4 2 3 3 2 4 2 2 2 2" xfId="42732" xr:uid="{97A01109-3734-4AF2-9882-A23E03B64306}"/>
    <cellStyle name="Normal 2 4 2 3 3 2 4 2 2 3" xfId="17391" xr:uid="{97FC3639-A992-4FA4-98CE-7DE6566A1502}"/>
    <cellStyle name="Normal 2 4 2 3 3 2 4 2 2 4" xfId="34285" xr:uid="{6A2AAB96-B223-4EBE-A452-358E0F82D794}"/>
    <cellStyle name="Normal 2 4 2 3 3 2 4 2 3" xfId="21621" xr:uid="{3FE9BA7E-6268-44AE-81ED-01677030E9BD}"/>
    <cellStyle name="Normal 2 4 2 3 3 2 4 2 3 2" xfId="38515" xr:uid="{1D6D868F-930E-4111-9FD0-AA309557DA9C}"/>
    <cellStyle name="Normal 2 4 2 3 3 2 4 2 4" xfId="13174" xr:uid="{05D61B71-EAFF-4284-921D-C5D25E0BE7CF}"/>
    <cellStyle name="Normal 2 4 2 3 3 2 4 2 5" xfId="30068" xr:uid="{1C03953A-1FCC-4655-A43D-0AE996C4E260}"/>
    <cellStyle name="Normal 2 4 2 3 3 2 4 3" xfId="5920" xr:uid="{00000000-0005-0000-0000-0000F50E0000}"/>
    <cellStyle name="Normal 2 4 2 3 3 2 4 3 2" xfId="23693" xr:uid="{80F32649-22D1-48A2-A66D-D012EAE6426B}"/>
    <cellStyle name="Normal 2 4 2 3 3 2 4 3 2 2" xfId="40587" xr:uid="{79D80DE4-6A4D-4190-8059-F7E3D67815BF}"/>
    <cellStyle name="Normal 2 4 2 3 3 2 4 3 3" xfId="15246" xr:uid="{264EBE77-79C7-4AD9-8385-24BC818E2CF3}"/>
    <cellStyle name="Normal 2 4 2 3 3 2 4 3 4" xfId="32140" xr:uid="{2C177605-3F15-4C68-93E9-E85EE331A054}"/>
    <cellStyle name="Normal 2 4 2 3 3 2 4 4" xfId="19476" xr:uid="{9167B721-9071-4435-8B5C-EAD7AE960AD7}"/>
    <cellStyle name="Normal 2 4 2 3 3 2 4 4 2" xfId="36370" xr:uid="{E547D459-3356-4892-89BD-A84FDE8977D6}"/>
    <cellStyle name="Normal 2 4 2 3 3 2 4 5" xfId="11029" xr:uid="{340C199E-8404-45A5-A1F6-1384DB5807EC}"/>
    <cellStyle name="Normal 2 4 2 3 3 2 4 6" xfId="27923" xr:uid="{125E6DBC-28F7-4D29-B91D-4B96F8F6A02F}"/>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2 2 2" xfId="26251" xr:uid="{52DAC207-D2F0-4C2F-9244-43C8D1C17682}"/>
    <cellStyle name="Normal 2 4 2 3 3 2 5 2 2 2 2" xfId="43145" xr:uid="{C005BCAF-4D90-4266-97DB-32C2837AD5FA}"/>
    <cellStyle name="Normal 2 4 2 3 3 2 5 2 2 3" xfId="17804" xr:uid="{1B744833-E7C9-405C-B7D5-928709E349E9}"/>
    <cellStyle name="Normal 2 4 2 3 3 2 5 2 2 4" xfId="34698" xr:uid="{E547471E-2AE7-4E83-933C-91554CA1C8FF}"/>
    <cellStyle name="Normal 2 4 2 3 3 2 5 2 3" xfId="22034" xr:uid="{9B72D455-B30A-4031-AE0D-423CA01E6A89}"/>
    <cellStyle name="Normal 2 4 2 3 3 2 5 2 3 2" xfId="38928" xr:uid="{50144078-58B9-471E-8968-93BFA37AE265}"/>
    <cellStyle name="Normal 2 4 2 3 3 2 5 2 4" xfId="13587" xr:uid="{9374E5A1-173F-4495-A837-165CD1462B62}"/>
    <cellStyle name="Normal 2 4 2 3 3 2 5 2 5" xfId="30481" xr:uid="{2B7F4D4F-EE9A-44F5-8BA9-7BECDD438013}"/>
    <cellStyle name="Normal 2 4 2 3 3 2 5 3" xfId="6333" xr:uid="{00000000-0005-0000-0000-0000F90E0000}"/>
    <cellStyle name="Normal 2 4 2 3 3 2 5 3 2" xfId="24106" xr:uid="{6F2C89B8-C06B-49F6-B5C2-6669606808D5}"/>
    <cellStyle name="Normal 2 4 2 3 3 2 5 3 2 2" xfId="41000" xr:uid="{12BD4826-15F9-49CE-9977-3D3DBF376A2E}"/>
    <cellStyle name="Normal 2 4 2 3 3 2 5 3 3" xfId="15659" xr:uid="{3AF00EC7-FBFC-4F6D-94E9-56B52D61ECDD}"/>
    <cellStyle name="Normal 2 4 2 3 3 2 5 3 4" xfId="32553" xr:uid="{C4F83E06-42E6-4945-8782-26254AD76217}"/>
    <cellStyle name="Normal 2 4 2 3 3 2 5 4" xfId="19889" xr:uid="{6B666D2F-6C83-4485-B815-7CC7CB8FCB39}"/>
    <cellStyle name="Normal 2 4 2 3 3 2 5 4 2" xfId="36783" xr:uid="{3284C8AE-097F-4F01-96CB-618606A75268}"/>
    <cellStyle name="Normal 2 4 2 3 3 2 5 5" xfId="11442" xr:uid="{F5BFE0A0-CADA-40F9-B828-9E1FB4F8783C}"/>
    <cellStyle name="Normal 2 4 2 3 3 2 5 6" xfId="28336" xr:uid="{1836BBDD-0E47-4919-A6D2-176C2BC6D60F}"/>
    <cellStyle name="Normal 2 4 2 3 3 2 6" xfId="2463" xr:uid="{00000000-0005-0000-0000-0000FA0E0000}"/>
    <cellStyle name="Normal 2 4 2 3 3 2 6 2" xfId="6746" xr:uid="{00000000-0005-0000-0000-0000FB0E0000}"/>
    <cellStyle name="Normal 2 4 2 3 3 2 6 2 2" xfId="24519" xr:uid="{D2AC5871-EBFE-4AD9-BCB6-A0C3F1D093F8}"/>
    <cellStyle name="Normal 2 4 2 3 3 2 6 2 2 2" xfId="41413" xr:uid="{E693D6B0-F77F-49E8-8056-3CF7F523A421}"/>
    <cellStyle name="Normal 2 4 2 3 3 2 6 2 3" xfId="16072" xr:uid="{108A4A3D-69DE-442D-AB07-7117DCE94F35}"/>
    <cellStyle name="Normal 2 4 2 3 3 2 6 2 4" xfId="32966" xr:uid="{9C48E729-680B-44DB-948A-70D896467555}"/>
    <cellStyle name="Normal 2 4 2 3 3 2 6 3" xfId="20302" xr:uid="{4AA844BF-504A-47F1-B213-814F1E0F0D0F}"/>
    <cellStyle name="Normal 2 4 2 3 3 2 6 3 2" xfId="37196" xr:uid="{C81AE414-79F4-4676-B650-D2418602A038}"/>
    <cellStyle name="Normal 2 4 2 3 3 2 6 4" xfId="11855" xr:uid="{6CA271A0-6642-472A-8B42-947B90D633C3}"/>
    <cellStyle name="Normal 2 4 2 3 3 2 6 5" xfId="28749" xr:uid="{8169F39E-2F6A-4649-8B77-E267034DC0CB}"/>
    <cellStyle name="Normal 2 4 2 3 3 2 7" xfId="4680" xr:uid="{00000000-0005-0000-0000-0000FC0E0000}"/>
    <cellStyle name="Normal 2 4 2 3 3 2 7 2" xfId="22453" xr:uid="{DA8594A1-451E-4FC2-95C6-3CB30326A874}"/>
    <cellStyle name="Normal 2 4 2 3 3 2 7 2 2" xfId="39347" xr:uid="{BBFE333C-2986-4844-934A-9530807C3E29}"/>
    <cellStyle name="Normal 2 4 2 3 3 2 7 3" xfId="14006" xr:uid="{E105E885-36DB-4984-92B5-1ED9703BD5BF}"/>
    <cellStyle name="Normal 2 4 2 3 3 2 7 4" xfId="30900" xr:uid="{82827FE4-DB57-4A9E-B83E-8A4B1A0613F5}"/>
    <cellStyle name="Normal 2 4 2 3 3 2 8" xfId="9098" xr:uid="{15335B31-FFDD-479D-88EC-FAB83DC4E6EC}"/>
    <cellStyle name="Normal 2 4 2 3 3 2 8 2" xfId="18236" xr:uid="{EC6480F8-D284-4D38-AA35-00576710C92E}"/>
    <cellStyle name="Normal 2 4 2 3 3 2 8 3" xfId="35130" xr:uid="{FCC8ABB3-5A07-490A-8F0D-5B67CBB245DF}"/>
    <cellStyle name="Normal 2 4 2 3 3 2 9" xfId="9789" xr:uid="{0687CED5-48DC-4B8E-95B8-69E0EE7A1E8F}"/>
    <cellStyle name="Normal 2 4 2 3 3 3" xfId="777" xr:uid="{00000000-0005-0000-0000-0000FD0E0000}"/>
    <cellStyle name="Normal 2 4 2 3 3 3 2" xfId="3016" xr:uid="{00000000-0005-0000-0000-0000FE0E0000}"/>
    <cellStyle name="Normal 2 4 2 3 3 3 2 2" xfId="7238" xr:uid="{00000000-0005-0000-0000-0000FF0E0000}"/>
    <cellStyle name="Normal 2 4 2 3 3 3 2 2 2" xfId="25011" xr:uid="{D22B17A1-88B5-4AFD-AD3C-0B81CD08CF9B}"/>
    <cellStyle name="Normal 2 4 2 3 3 3 2 2 2 2" xfId="41905" xr:uid="{2D5803A6-211A-4541-86F5-4707FB1A67B2}"/>
    <cellStyle name="Normal 2 4 2 3 3 3 2 2 3" xfId="16564" xr:uid="{DB9F0E46-8AD1-4259-A520-7C760370D937}"/>
    <cellStyle name="Normal 2 4 2 3 3 3 2 2 4" xfId="33458" xr:uid="{780CEBAB-8346-4F82-9808-D11E6A6AC437}"/>
    <cellStyle name="Normal 2 4 2 3 3 3 2 3" xfId="20794" xr:uid="{ACF38F77-1428-4591-9FA9-98514996D484}"/>
    <cellStyle name="Normal 2 4 2 3 3 3 2 3 2" xfId="37688" xr:uid="{74E83284-F6BF-417C-A766-08AEA1DD56F8}"/>
    <cellStyle name="Normal 2 4 2 3 3 3 2 4" xfId="12347" xr:uid="{AEE6CBEC-9CC4-4C0E-BC15-120EBC4F0100}"/>
    <cellStyle name="Normal 2 4 2 3 3 3 2 5" xfId="29241" xr:uid="{4BB49EE1-443C-4EE3-BE7B-67C54D50D02A}"/>
    <cellStyle name="Normal 2 4 2 3 3 3 3" xfId="5093" xr:uid="{00000000-0005-0000-0000-0000000F0000}"/>
    <cellStyle name="Normal 2 4 2 3 3 3 3 2" xfId="22866" xr:uid="{3438DAC9-D4AE-4AFD-A1B8-7CFC44D9533C}"/>
    <cellStyle name="Normal 2 4 2 3 3 3 3 2 2" xfId="39760" xr:uid="{0B1AE3F1-B180-4667-93E7-524D86DC4044}"/>
    <cellStyle name="Normal 2 4 2 3 3 3 3 3" xfId="14419" xr:uid="{6185AADF-E46B-43E5-ACF4-B0F338005103}"/>
    <cellStyle name="Normal 2 4 2 3 3 3 3 4" xfId="31313" xr:uid="{61E08EFA-6C15-4C91-9F49-0F245616E4A5}"/>
    <cellStyle name="Normal 2 4 2 3 3 3 4" xfId="9316" xr:uid="{C8C83D09-5A3A-4C90-8A04-9D7CD8C85B11}"/>
    <cellStyle name="Normal 2 4 2 3 3 3 4 2" xfId="18649" xr:uid="{2741361A-7728-40C6-915C-372D36B37E53}"/>
    <cellStyle name="Normal 2 4 2 3 3 3 4 3" xfId="35543" xr:uid="{853D363C-762F-4078-A31C-B8C5E81C2B07}"/>
    <cellStyle name="Normal 2 4 2 3 3 3 5" xfId="10202" xr:uid="{C0909EB6-9DD6-4962-8F08-019FEE2FD4BA}"/>
    <cellStyle name="Normal 2 4 2 3 3 3 6" xfId="27096" xr:uid="{9362AD3E-5CD0-4383-B78C-2F118AF1A7D0}"/>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2 2 2" xfId="25424" xr:uid="{45619E40-6FCC-4961-ACC4-D3A83614F9D9}"/>
    <cellStyle name="Normal 2 4 2 3 3 4 2 2 2 2" xfId="42318" xr:uid="{CEC8CEEB-7BCA-47AC-9BE6-6D2BC8FBB92F}"/>
    <cellStyle name="Normal 2 4 2 3 3 4 2 2 3" xfId="16977" xr:uid="{91F29C7C-6DB1-4B07-9E1D-610762721C21}"/>
    <cellStyle name="Normal 2 4 2 3 3 4 2 2 4" xfId="33871" xr:uid="{B2525009-27D8-475C-9130-F26A576059A5}"/>
    <cellStyle name="Normal 2 4 2 3 3 4 2 3" xfId="21207" xr:uid="{6BD9D3F9-5C2D-43EA-AF01-D35C8129A382}"/>
    <cellStyle name="Normal 2 4 2 3 3 4 2 3 2" xfId="38101" xr:uid="{B8A55633-9FB0-4A74-BAB2-03F3E2CBF5A0}"/>
    <cellStyle name="Normal 2 4 2 3 3 4 2 4" xfId="12760" xr:uid="{911D270F-C8D0-4C38-BE6A-246BA731DDDC}"/>
    <cellStyle name="Normal 2 4 2 3 3 4 2 5" xfId="29654" xr:uid="{43FF080D-17E8-4B13-93C7-84BA45E4BEE5}"/>
    <cellStyle name="Normal 2 4 2 3 3 4 3" xfId="5506" xr:uid="{00000000-0005-0000-0000-0000040F0000}"/>
    <cellStyle name="Normal 2 4 2 3 3 4 3 2" xfId="23279" xr:uid="{EA40B90A-4390-4C30-B068-66BFBE8BB986}"/>
    <cellStyle name="Normal 2 4 2 3 3 4 3 2 2" xfId="40173" xr:uid="{3ABD89E1-30D7-4BF7-B228-1049E71B408A}"/>
    <cellStyle name="Normal 2 4 2 3 3 4 3 3" xfId="14832" xr:uid="{7BCDF12E-8A48-4AFD-92FB-C993E46190BF}"/>
    <cellStyle name="Normal 2 4 2 3 3 4 3 4" xfId="31726" xr:uid="{353707DA-C521-422F-8150-01708688054D}"/>
    <cellStyle name="Normal 2 4 2 3 3 4 4" xfId="19062" xr:uid="{652D2AD9-513A-43FA-8E1B-1093EA078C93}"/>
    <cellStyle name="Normal 2 4 2 3 3 4 4 2" xfId="35956" xr:uid="{D0609AD2-F7B8-472B-A216-B3814D1370EC}"/>
    <cellStyle name="Normal 2 4 2 3 3 4 5" xfId="10615" xr:uid="{F3481AD8-39D1-460E-ACCC-7415F93A1F9A}"/>
    <cellStyle name="Normal 2 4 2 3 3 4 6" xfId="27509" xr:uid="{4EFCA52A-A1D1-444F-8BB2-86836AA41373}"/>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2 2 2" xfId="25837" xr:uid="{7ED71DAB-7FFE-43C3-BA39-5E9800F26677}"/>
    <cellStyle name="Normal 2 4 2 3 3 5 2 2 2 2" xfId="42731" xr:uid="{4947E0D2-8FD6-46CD-AA3B-BC17F55FB6EB}"/>
    <cellStyle name="Normal 2 4 2 3 3 5 2 2 3" xfId="17390" xr:uid="{7E1C5BF7-949C-4B21-9CA3-05B2524435C5}"/>
    <cellStyle name="Normal 2 4 2 3 3 5 2 2 4" xfId="34284" xr:uid="{39FB26C6-5271-4EA6-9820-F5D0B798B990}"/>
    <cellStyle name="Normal 2 4 2 3 3 5 2 3" xfId="21620" xr:uid="{94FDBF6F-3FD0-4AF1-9D01-50EC0FA4AB04}"/>
    <cellStyle name="Normal 2 4 2 3 3 5 2 3 2" xfId="38514" xr:uid="{B3C4BC58-19C1-48D6-B6AA-96266C3DB603}"/>
    <cellStyle name="Normal 2 4 2 3 3 5 2 4" xfId="13173" xr:uid="{909B13C8-FF13-469E-A11D-99A2A9B85A70}"/>
    <cellStyle name="Normal 2 4 2 3 3 5 2 5" xfId="30067" xr:uid="{126C0922-2E03-4ED3-B735-D4EC47926FB3}"/>
    <cellStyle name="Normal 2 4 2 3 3 5 3" xfId="5919" xr:uid="{00000000-0005-0000-0000-0000080F0000}"/>
    <cellStyle name="Normal 2 4 2 3 3 5 3 2" xfId="23692" xr:uid="{2001E23A-F2D0-4FC7-9AE8-4FB03A7BE752}"/>
    <cellStyle name="Normal 2 4 2 3 3 5 3 2 2" xfId="40586" xr:uid="{9E5A0D73-33AA-4B85-8B2B-8BC12C967C57}"/>
    <cellStyle name="Normal 2 4 2 3 3 5 3 3" xfId="15245" xr:uid="{E7F3648F-15FF-46D3-A868-2256E1752F78}"/>
    <cellStyle name="Normal 2 4 2 3 3 5 3 4" xfId="32139" xr:uid="{CC468D6B-E7BF-48A7-9DB8-14828C13B451}"/>
    <cellStyle name="Normal 2 4 2 3 3 5 4" xfId="19475" xr:uid="{A049F94C-8C8A-4A47-8B30-8F0D7BA65444}"/>
    <cellStyle name="Normal 2 4 2 3 3 5 4 2" xfId="36369" xr:uid="{E95B2077-FA4E-407E-B0D0-D710284F8778}"/>
    <cellStyle name="Normal 2 4 2 3 3 5 5" xfId="11028" xr:uid="{D4B4CDBB-16E3-4751-BC55-5F511F41E557}"/>
    <cellStyle name="Normal 2 4 2 3 3 5 6" xfId="27922" xr:uid="{617FEE84-56A9-4E28-8E1F-3D5F7CD3C2FA}"/>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2 2 2" xfId="26250" xr:uid="{87FD5B72-8EFE-4A66-BB91-64170F3210F6}"/>
    <cellStyle name="Normal 2 4 2 3 3 6 2 2 2 2" xfId="43144" xr:uid="{A9941030-0C6A-4A06-B9DF-7E789B5EE476}"/>
    <cellStyle name="Normal 2 4 2 3 3 6 2 2 3" xfId="17803" xr:uid="{979DCB71-C832-4DE3-809D-48AE9C4CA4E9}"/>
    <cellStyle name="Normal 2 4 2 3 3 6 2 2 4" xfId="34697" xr:uid="{86F882CE-2D4B-4D24-9F5B-B73BAA3E2B5B}"/>
    <cellStyle name="Normal 2 4 2 3 3 6 2 3" xfId="22033" xr:uid="{590D7165-B95D-496F-B464-F04A6A1804C4}"/>
    <cellStyle name="Normal 2 4 2 3 3 6 2 3 2" xfId="38927" xr:uid="{E81D4C91-6D2E-4744-8930-71B4C58FF511}"/>
    <cellStyle name="Normal 2 4 2 3 3 6 2 4" xfId="13586" xr:uid="{3C298CA7-5149-428D-9F5B-21E3D2172F20}"/>
    <cellStyle name="Normal 2 4 2 3 3 6 2 5" xfId="30480" xr:uid="{09259D0A-5AF3-4A08-B092-64B28B58EF07}"/>
    <cellStyle name="Normal 2 4 2 3 3 6 3" xfId="6332" xr:uid="{00000000-0005-0000-0000-00000C0F0000}"/>
    <cellStyle name="Normal 2 4 2 3 3 6 3 2" xfId="24105" xr:uid="{0E07FE57-12CF-44D8-B74D-AAE42A968843}"/>
    <cellStyle name="Normal 2 4 2 3 3 6 3 2 2" xfId="40999" xr:uid="{48DA167C-CFB8-44B8-989B-5C4F07424D5E}"/>
    <cellStyle name="Normal 2 4 2 3 3 6 3 3" xfId="15658" xr:uid="{8EAD0862-7784-4CB0-8DB4-B203E08D9EB6}"/>
    <cellStyle name="Normal 2 4 2 3 3 6 3 4" xfId="32552" xr:uid="{205251CC-8059-4751-900A-1AB7E745D193}"/>
    <cellStyle name="Normal 2 4 2 3 3 6 4" xfId="19888" xr:uid="{F90E42FE-53E1-44DB-AA11-33B1AE32BB4B}"/>
    <cellStyle name="Normal 2 4 2 3 3 6 4 2" xfId="36782" xr:uid="{9E0ABDE7-C5E8-4396-88A3-56CF9B4C2156}"/>
    <cellStyle name="Normal 2 4 2 3 3 6 5" xfId="11441" xr:uid="{399B0FB2-14C3-4586-A9C7-BBB13FBF5369}"/>
    <cellStyle name="Normal 2 4 2 3 3 6 6" xfId="28335" xr:uid="{DA599AAE-8B93-4165-9391-7EF7919D6335}"/>
    <cellStyle name="Normal 2 4 2 3 3 7" xfId="2462" xr:uid="{00000000-0005-0000-0000-00000D0F0000}"/>
    <cellStyle name="Normal 2 4 2 3 3 7 2" xfId="6745" xr:uid="{00000000-0005-0000-0000-00000E0F0000}"/>
    <cellStyle name="Normal 2 4 2 3 3 7 2 2" xfId="24518" xr:uid="{C77C4C0B-C3D9-4EA9-B3FC-7DD8EB092919}"/>
    <cellStyle name="Normal 2 4 2 3 3 7 2 2 2" xfId="41412" xr:uid="{8172A6D1-432D-47DA-9DA8-5F52F27E9820}"/>
    <cellStyle name="Normal 2 4 2 3 3 7 2 3" xfId="16071" xr:uid="{A3C425EB-16E3-45DC-A238-23D1C77C7A7E}"/>
    <cellStyle name="Normal 2 4 2 3 3 7 2 4" xfId="32965" xr:uid="{EFE0E5D2-4360-4AFF-9876-74174051F69F}"/>
    <cellStyle name="Normal 2 4 2 3 3 7 3" xfId="20301" xr:uid="{0FD00C0B-1777-469F-8D4A-23F593C70FC7}"/>
    <cellStyle name="Normal 2 4 2 3 3 7 3 2" xfId="37195" xr:uid="{58DE664C-7A9B-418F-B53B-C257931B767E}"/>
    <cellStyle name="Normal 2 4 2 3 3 7 4" xfId="11854" xr:uid="{FDBDAC01-4CAA-4C0F-8C8B-B7EE41A27EC3}"/>
    <cellStyle name="Normal 2 4 2 3 3 7 5" xfId="28748" xr:uid="{D8D7038B-81F5-4E93-B4CA-359EB05C542E}"/>
    <cellStyle name="Normal 2 4 2 3 3 8" xfId="4679" xr:uid="{00000000-0005-0000-0000-00000F0F0000}"/>
    <cellStyle name="Normal 2 4 2 3 3 8 2" xfId="22452" xr:uid="{D8F4EF1B-DEDD-4A7F-9CD0-1C186728FA0E}"/>
    <cellStyle name="Normal 2 4 2 3 3 8 2 2" xfId="39346" xr:uid="{956086C5-FF34-436C-B465-146C5CCDA651}"/>
    <cellStyle name="Normal 2 4 2 3 3 8 3" xfId="14005" xr:uid="{CC877EEB-E99E-4E1F-8A8E-31C9F6AB7643}"/>
    <cellStyle name="Normal 2 4 2 3 3 8 4" xfId="30899" xr:uid="{3FF39808-3DA3-4E3A-B32B-312D098A4857}"/>
    <cellStyle name="Normal 2 4 2 3 3 9" xfId="8891" xr:uid="{D2DF60A1-A34B-4A3F-B29E-E581EFBA8360}"/>
    <cellStyle name="Normal 2 4 2 3 3 9 2" xfId="18235" xr:uid="{75F3AB9A-82E8-42DE-AA3B-ECE23BCF7F49}"/>
    <cellStyle name="Normal 2 4 2 3 3 9 3" xfId="35129" xr:uid="{2C4F7B89-A202-45DD-B17B-83F5B9BE4B4F}"/>
    <cellStyle name="Normal 2 4 2 3 4" xfId="288" xr:uid="{00000000-0005-0000-0000-0000100F0000}"/>
    <cellStyle name="Normal 2 4 2 3 4 10" xfId="26684" xr:uid="{C0902407-9451-4DB8-8156-141CDE76DBE1}"/>
    <cellStyle name="Normal 2 4 2 3 4 2" xfId="779" xr:uid="{00000000-0005-0000-0000-0000110F0000}"/>
    <cellStyle name="Normal 2 4 2 3 4 2 2" xfId="3018" xr:uid="{00000000-0005-0000-0000-0000120F0000}"/>
    <cellStyle name="Normal 2 4 2 3 4 2 2 2" xfId="7240" xr:uid="{00000000-0005-0000-0000-0000130F0000}"/>
    <cellStyle name="Normal 2 4 2 3 4 2 2 2 2" xfId="25013" xr:uid="{D29DF3A8-8123-435D-ABD9-A7ED40ED5D85}"/>
    <cellStyle name="Normal 2 4 2 3 4 2 2 2 2 2" xfId="41907" xr:uid="{803E8E8A-29EF-44DB-AF9E-5C08002FD430}"/>
    <cellStyle name="Normal 2 4 2 3 4 2 2 2 3" xfId="16566" xr:uid="{142402BD-B0CF-4FEB-8EED-CCC56845EEA9}"/>
    <cellStyle name="Normal 2 4 2 3 4 2 2 2 4" xfId="33460" xr:uid="{5A086062-D14F-46BD-8C1C-38BD53F5204E}"/>
    <cellStyle name="Normal 2 4 2 3 4 2 2 3" xfId="20796" xr:uid="{F1E5522B-8BD6-4DB0-8464-2E972B6ACD4F}"/>
    <cellStyle name="Normal 2 4 2 3 4 2 2 3 2" xfId="37690" xr:uid="{F8B4F676-3D8A-4D0A-9D4D-8D137FF31A02}"/>
    <cellStyle name="Normal 2 4 2 3 4 2 2 4" xfId="12349" xr:uid="{4DF63D35-83D0-40AF-90DD-1E2E86E78355}"/>
    <cellStyle name="Normal 2 4 2 3 4 2 2 5" xfId="29243" xr:uid="{B7D2A4E8-60EE-4E3A-97D1-65530474D5FF}"/>
    <cellStyle name="Normal 2 4 2 3 4 2 3" xfId="5095" xr:uid="{00000000-0005-0000-0000-0000140F0000}"/>
    <cellStyle name="Normal 2 4 2 3 4 2 3 2" xfId="22868" xr:uid="{00A89746-8F96-4632-B3DF-495B5DCCAFEC}"/>
    <cellStyle name="Normal 2 4 2 3 4 2 3 2 2" xfId="39762" xr:uid="{A593EE4B-A190-45B2-A751-C04FAEE7AFA9}"/>
    <cellStyle name="Normal 2 4 2 3 4 2 3 3" xfId="14421" xr:uid="{50B60A75-CEA8-443A-B6DE-2491DF419E3D}"/>
    <cellStyle name="Normal 2 4 2 3 4 2 3 4" xfId="31315" xr:uid="{C4A64BC1-CD7E-43C3-B7B5-DF78B4650A36}"/>
    <cellStyle name="Normal 2 4 2 3 4 2 4" xfId="9420" xr:uid="{49E252B3-99BC-416A-A0CB-FE2641ECFDE3}"/>
    <cellStyle name="Normal 2 4 2 3 4 2 4 2" xfId="18651" xr:uid="{C21AE896-49FA-4DDB-826C-30BD416FBE03}"/>
    <cellStyle name="Normal 2 4 2 3 4 2 4 3" xfId="35545" xr:uid="{4451ACC4-C40E-4D67-8730-EA53C5BF2364}"/>
    <cellStyle name="Normal 2 4 2 3 4 2 5" xfId="10204" xr:uid="{770321B5-BC45-408B-B686-21E669E02490}"/>
    <cellStyle name="Normal 2 4 2 3 4 2 6" xfId="27098" xr:uid="{B0003D6D-612D-4809-9FBB-D6401684234C}"/>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2 2 2" xfId="25426" xr:uid="{B4966E55-88CB-41A9-B91B-DCFED4FD98B9}"/>
    <cellStyle name="Normal 2 4 2 3 4 3 2 2 2 2" xfId="42320" xr:uid="{D8211CAF-250C-485F-9053-8CA4B23000D3}"/>
    <cellStyle name="Normal 2 4 2 3 4 3 2 2 3" xfId="16979" xr:uid="{511F1D97-7C90-4A7B-9F4E-8EEF1DFD1100}"/>
    <cellStyle name="Normal 2 4 2 3 4 3 2 2 4" xfId="33873" xr:uid="{9E7A7F39-18A5-4F10-B8BB-9027C8739377}"/>
    <cellStyle name="Normal 2 4 2 3 4 3 2 3" xfId="21209" xr:uid="{356CDE2B-271C-4C0F-A60F-E3B289C68006}"/>
    <cellStyle name="Normal 2 4 2 3 4 3 2 3 2" xfId="38103" xr:uid="{667CB51F-3F0B-4713-A4B8-0B5BDF08C3A7}"/>
    <cellStyle name="Normal 2 4 2 3 4 3 2 4" xfId="12762" xr:uid="{AB8E58AD-5E34-402D-8980-84092F28548A}"/>
    <cellStyle name="Normal 2 4 2 3 4 3 2 5" xfId="29656" xr:uid="{591B4B4A-384E-4CFC-BB78-D4B3903C8197}"/>
    <cellStyle name="Normal 2 4 2 3 4 3 3" xfId="5508" xr:uid="{00000000-0005-0000-0000-0000180F0000}"/>
    <cellStyle name="Normal 2 4 2 3 4 3 3 2" xfId="23281" xr:uid="{072DD675-9EE0-478B-9802-1C8FDBFA1A4C}"/>
    <cellStyle name="Normal 2 4 2 3 4 3 3 2 2" xfId="40175" xr:uid="{B6541F1A-5DCB-4099-8DE9-22936AF5CF2A}"/>
    <cellStyle name="Normal 2 4 2 3 4 3 3 3" xfId="14834" xr:uid="{95153A72-B4E5-4084-88C9-601D609C8980}"/>
    <cellStyle name="Normal 2 4 2 3 4 3 3 4" xfId="31728" xr:uid="{4FE38297-1F1E-41FF-A650-B6C177E9473F}"/>
    <cellStyle name="Normal 2 4 2 3 4 3 4" xfId="19064" xr:uid="{233BAD52-373F-47E3-AF74-E64865375BD1}"/>
    <cellStyle name="Normal 2 4 2 3 4 3 4 2" xfId="35958" xr:uid="{B0D92557-7C4C-4535-93E0-E3F9442803C6}"/>
    <cellStyle name="Normal 2 4 2 3 4 3 5" xfId="10617" xr:uid="{C0EB45DA-188F-4B51-9442-66B3BFFDF10A}"/>
    <cellStyle name="Normal 2 4 2 3 4 3 6" xfId="27511" xr:uid="{BD5B2F4B-CF7C-4C39-89FD-A1D234D04B24}"/>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2 2 2" xfId="25839" xr:uid="{B0D656FA-B43C-433D-B65E-4CCD6B1568D1}"/>
    <cellStyle name="Normal 2 4 2 3 4 4 2 2 2 2" xfId="42733" xr:uid="{C7B5A796-D251-4E8E-9DA5-574A263FF4D7}"/>
    <cellStyle name="Normal 2 4 2 3 4 4 2 2 3" xfId="17392" xr:uid="{A6249A7C-C315-48A0-982E-102FD79ABD7A}"/>
    <cellStyle name="Normal 2 4 2 3 4 4 2 2 4" xfId="34286" xr:uid="{918C994F-DEB9-4FF5-A3DB-688A1BA06D36}"/>
    <cellStyle name="Normal 2 4 2 3 4 4 2 3" xfId="21622" xr:uid="{163D3054-0AB3-4F83-9D1C-136A66DB62E8}"/>
    <cellStyle name="Normal 2 4 2 3 4 4 2 3 2" xfId="38516" xr:uid="{C1DC93A4-9833-439D-BA31-3E3F878A539A}"/>
    <cellStyle name="Normal 2 4 2 3 4 4 2 4" xfId="13175" xr:uid="{861AF866-A03B-4D15-A41A-CB253902D83A}"/>
    <cellStyle name="Normal 2 4 2 3 4 4 2 5" xfId="30069" xr:uid="{37A81B84-1C73-40B0-B929-0306F838F579}"/>
    <cellStyle name="Normal 2 4 2 3 4 4 3" xfId="5921" xr:uid="{00000000-0005-0000-0000-00001C0F0000}"/>
    <cellStyle name="Normal 2 4 2 3 4 4 3 2" xfId="23694" xr:uid="{05A710AA-274C-4672-AE70-F44A0EB0BBD4}"/>
    <cellStyle name="Normal 2 4 2 3 4 4 3 2 2" xfId="40588" xr:uid="{26EAC4B6-24EF-4182-ADA8-50180082A5DB}"/>
    <cellStyle name="Normal 2 4 2 3 4 4 3 3" xfId="15247" xr:uid="{D554B9C4-85CA-4C78-B4CD-C75137E75251}"/>
    <cellStyle name="Normal 2 4 2 3 4 4 3 4" xfId="32141" xr:uid="{820A232E-AE57-42A3-9CB2-543820A620E4}"/>
    <cellStyle name="Normal 2 4 2 3 4 4 4" xfId="19477" xr:uid="{74CDE919-CB40-46DB-B1B9-5EFBF0A287EF}"/>
    <cellStyle name="Normal 2 4 2 3 4 4 4 2" xfId="36371" xr:uid="{08B013C0-2D79-4CB0-A9AD-6CBF2AB67146}"/>
    <cellStyle name="Normal 2 4 2 3 4 4 5" xfId="11030" xr:uid="{9205BA85-6105-446C-9432-984895D5B510}"/>
    <cellStyle name="Normal 2 4 2 3 4 4 6" xfId="27924" xr:uid="{19B13D0A-348C-42E6-938A-868A35D359EA}"/>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2 2 2" xfId="26252" xr:uid="{689AFDF1-4B39-43A6-BD8A-12E95FEA78C3}"/>
    <cellStyle name="Normal 2 4 2 3 4 5 2 2 2 2" xfId="43146" xr:uid="{5B63C9F5-6B9D-49EE-B7AD-6DA3F5E594A7}"/>
    <cellStyle name="Normal 2 4 2 3 4 5 2 2 3" xfId="17805" xr:uid="{DC173E58-14DA-4847-BEB2-7E7E230886CD}"/>
    <cellStyle name="Normal 2 4 2 3 4 5 2 2 4" xfId="34699" xr:uid="{F28101A8-2437-4622-8636-840127E765AC}"/>
    <cellStyle name="Normal 2 4 2 3 4 5 2 3" xfId="22035" xr:uid="{B4ECF431-567C-4EF4-BBF1-4578FD2DCDEE}"/>
    <cellStyle name="Normal 2 4 2 3 4 5 2 3 2" xfId="38929" xr:uid="{B59C6E8C-6E61-480F-81AE-5302AB2226F3}"/>
    <cellStyle name="Normal 2 4 2 3 4 5 2 4" xfId="13588" xr:uid="{7175F41C-B4AD-49BA-8FE8-17CE78C5A056}"/>
    <cellStyle name="Normal 2 4 2 3 4 5 2 5" xfId="30482" xr:uid="{8A984BF7-4F79-4356-85DB-9DAF26B1677B}"/>
    <cellStyle name="Normal 2 4 2 3 4 5 3" xfId="6334" xr:uid="{00000000-0005-0000-0000-0000200F0000}"/>
    <cellStyle name="Normal 2 4 2 3 4 5 3 2" xfId="24107" xr:uid="{A334721A-CDAC-4734-9CA4-5731721A191F}"/>
    <cellStyle name="Normal 2 4 2 3 4 5 3 2 2" xfId="41001" xr:uid="{2444A258-8723-4C40-BCD9-EDCB2D3E089B}"/>
    <cellStyle name="Normal 2 4 2 3 4 5 3 3" xfId="15660" xr:uid="{EE7360CA-144B-48C8-AB51-2020B62EDC50}"/>
    <cellStyle name="Normal 2 4 2 3 4 5 3 4" xfId="32554" xr:uid="{61D7C8A1-C598-4170-9518-BE84F763783D}"/>
    <cellStyle name="Normal 2 4 2 3 4 5 4" xfId="19890" xr:uid="{6C432573-1D2F-45B3-B2AD-8AF00BED5B3C}"/>
    <cellStyle name="Normal 2 4 2 3 4 5 4 2" xfId="36784" xr:uid="{DEBB7D7F-5BBB-4D39-8265-E87D4DA3DA13}"/>
    <cellStyle name="Normal 2 4 2 3 4 5 5" xfId="11443" xr:uid="{75D750C4-432F-4ECA-B3A6-855C9A44DB4E}"/>
    <cellStyle name="Normal 2 4 2 3 4 5 6" xfId="28337" xr:uid="{7267FF94-F103-4DA2-A63B-A161CFD0205B}"/>
    <cellStyle name="Normal 2 4 2 3 4 6" xfId="2464" xr:uid="{00000000-0005-0000-0000-0000210F0000}"/>
    <cellStyle name="Normal 2 4 2 3 4 6 2" xfId="6747" xr:uid="{00000000-0005-0000-0000-0000220F0000}"/>
    <cellStyle name="Normal 2 4 2 3 4 6 2 2" xfId="24520" xr:uid="{BBAD1106-6B80-45E3-8694-360701F9A3BE}"/>
    <cellStyle name="Normal 2 4 2 3 4 6 2 2 2" xfId="41414" xr:uid="{2C9DBA86-3DB3-4CA5-B7B3-42E3F1E34A94}"/>
    <cellStyle name="Normal 2 4 2 3 4 6 2 3" xfId="16073" xr:uid="{51C5E988-0418-4DAB-9CB1-AE13B2906BF9}"/>
    <cellStyle name="Normal 2 4 2 3 4 6 2 4" xfId="32967" xr:uid="{6028EA65-323F-4256-9480-A07326E59F4C}"/>
    <cellStyle name="Normal 2 4 2 3 4 6 3" xfId="20303" xr:uid="{D6CFCA78-B8F0-4C84-8305-DD18C61EBE00}"/>
    <cellStyle name="Normal 2 4 2 3 4 6 3 2" xfId="37197" xr:uid="{D864BCE5-069A-407E-B361-064A27462FA9}"/>
    <cellStyle name="Normal 2 4 2 3 4 6 4" xfId="11856" xr:uid="{A46402CB-E505-4AAD-B1A2-9140232D58DF}"/>
    <cellStyle name="Normal 2 4 2 3 4 6 5" xfId="28750" xr:uid="{9DD75BA5-A68B-445E-A69E-B587F7703AFF}"/>
    <cellStyle name="Normal 2 4 2 3 4 7" xfId="4681" xr:uid="{00000000-0005-0000-0000-0000230F0000}"/>
    <cellStyle name="Normal 2 4 2 3 4 7 2" xfId="22454" xr:uid="{6872DFB5-869C-4581-9A14-897EC8643BF9}"/>
    <cellStyle name="Normal 2 4 2 3 4 7 2 2" xfId="39348" xr:uid="{C05CEAED-8E12-4761-84A9-398A97C47260}"/>
    <cellStyle name="Normal 2 4 2 3 4 7 3" xfId="14007" xr:uid="{9DC6372E-EB84-4F5B-BB35-25AB127E26A3}"/>
    <cellStyle name="Normal 2 4 2 3 4 7 4" xfId="30901" xr:uid="{14277E0C-CBF0-46B4-A54D-A8C61E3AE6FE}"/>
    <cellStyle name="Normal 2 4 2 3 4 8" xfId="8995" xr:uid="{EEE25A27-4C18-4948-8341-FF27707A7A86}"/>
    <cellStyle name="Normal 2 4 2 3 4 8 2" xfId="18237" xr:uid="{71BEF620-4BDD-49FD-B7E4-EB0334311D43}"/>
    <cellStyle name="Normal 2 4 2 3 4 8 3" xfId="35131" xr:uid="{C0E97D5E-C34F-418E-A13B-02B19FE6EFA3}"/>
    <cellStyle name="Normal 2 4 2 3 4 9" xfId="9790" xr:uid="{DD3CC80B-0125-4607-8761-BF1D1A592F91}"/>
    <cellStyle name="Normal 2 4 2 3 5" xfId="772" xr:uid="{00000000-0005-0000-0000-0000240F0000}"/>
    <cellStyle name="Normal 2 4 2 3 5 2" xfId="3011" xr:uid="{00000000-0005-0000-0000-0000250F0000}"/>
    <cellStyle name="Normal 2 4 2 3 5 2 2" xfId="7233" xr:uid="{00000000-0005-0000-0000-0000260F0000}"/>
    <cellStyle name="Normal 2 4 2 3 5 2 2 2" xfId="25006" xr:uid="{F40FC647-A9DB-412B-A157-CBAB61173B4B}"/>
    <cellStyle name="Normal 2 4 2 3 5 2 2 2 2" xfId="41900" xr:uid="{D6C28090-6639-459E-A945-63865D51ADD4}"/>
    <cellStyle name="Normal 2 4 2 3 5 2 2 3" xfId="16559" xr:uid="{21ADD8D4-B16A-4A55-BC76-4AA42A6DE638}"/>
    <cellStyle name="Normal 2 4 2 3 5 2 2 4" xfId="33453" xr:uid="{D7D70FC8-982E-4F09-95A3-E3EE27C6F6C1}"/>
    <cellStyle name="Normal 2 4 2 3 5 2 3" xfId="20789" xr:uid="{D20DD6A8-CBDE-4C48-9781-53A216B8C0BC}"/>
    <cellStyle name="Normal 2 4 2 3 5 2 3 2" xfId="37683" xr:uid="{3BE9E27E-2EAD-43E1-BDF0-94F166DD0AD9}"/>
    <cellStyle name="Normal 2 4 2 3 5 2 4" xfId="12342" xr:uid="{6DE5F3D7-C6EF-4ABF-9F64-1BB637F7A4C6}"/>
    <cellStyle name="Normal 2 4 2 3 5 2 5" xfId="29236" xr:uid="{9C8C9CD6-12F7-4BEF-A9F0-E185D4952DF8}"/>
    <cellStyle name="Normal 2 4 2 3 5 3" xfId="5088" xr:uid="{00000000-0005-0000-0000-0000270F0000}"/>
    <cellStyle name="Normal 2 4 2 3 5 3 2" xfId="22861" xr:uid="{6669AEFE-4378-40CD-8075-1F16223A3787}"/>
    <cellStyle name="Normal 2 4 2 3 5 3 2 2" xfId="39755" xr:uid="{DC05F97C-84B3-4F2C-AEDA-E6D51B3FBDE4}"/>
    <cellStyle name="Normal 2 4 2 3 5 3 3" xfId="14414" xr:uid="{F2C28331-BEA0-4D00-8569-5EF90CFAD8A5}"/>
    <cellStyle name="Normal 2 4 2 3 5 3 4" xfId="31308" xr:uid="{E67CFCF6-E3BE-4A45-8581-1FC4268C2A75}"/>
    <cellStyle name="Normal 2 4 2 3 5 4" xfId="9212" xr:uid="{39F1BF9F-C79C-4226-B2D8-665EAA6F3686}"/>
    <cellStyle name="Normal 2 4 2 3 5 4 2" xfId="18644" xr:uid="{308A2FEA-A0E4-4062-BF12-4BCEE3E10D14}"/>
    <cellStyle name="Normal 2 4 2 3 5 4 3" xfId="35538" xr:uid="{3E37AD4D-CFD1-49DE-9E53-5EB65565CA08}"/>
    <cellStyle name="Normal 2 4 2 3 5 5" xfId="10197" xr:uid="{9ECC2049-EF37-4222-B3DC-9C6D82E650B4}"/>
    <cellStyle name="Normal 2 4 2 3 5 6" xfId="27091" xr:uid="{637A1E2C-BCC9-429A-AFA7-81CD58861636}"/>
    <cellStyle name="Normal 2 4 2 3 6" xfId="1194" xr:uid="{00000000-0005-0000-0000-0000280F0000}"/>
    <cellStyle name="Normal 2 4 2 3 6 2" xfId="3424" xr:uid="{00000000-0005-0000-0000-0000290F0000}"/>
    <cellStyle name="Normal 2 4 2 3 6 2 2" xfId="7646" xr:uid="{00000000-0005-0000-0000-00002A0F0000}"/>
    <cellStyle name="Normal 2 4 2 3 6 2 2 2" xfId="25419" xr:uid="{6620D23D-1285-4B11-B2A2-EC5178A2E36B}"/>
    <cellStyle name="Normal 2 4 2 3 6 2 2 2 2" xfId="42313" xr:uid="{B076108B-47E8-418B-931B-86883BD1E6AE}"/>
    <cellStyle name="Normal 2 4 2 3 6 2 2 3" xfId="16972" xr:uid="{0EA20C79-094B-46B5-9D72-C175881250CF}"/>
    <cellStyle name="Normal 2 4 2 3 6 2 2 4" xfId="33866" xr:uid="{8B1D2D4D-5993-4517-80A8-40F7EEF243CF}"/>
    <cellStyle name="Normal 2 4 2 3 6 2 3" xfId="21202" xr:uid="{F051D8AC-8629-4782-BC81-F1DB91BB072C}"/>
    <cellStyle name="Normal 2 4 2 3 6 2 3 2" xfId="38096" xr:uid="{A029C34F-7A0D-4052-AE43-C775A6D68AB5}"/>
    <cellStyle name="Normal 2 4 2 3 6 2 4" xfId="12755" xr:uid="{613BE0AB-F239-4DEF-B535-EDC750B0413C}"/>
    <cellStyle name="Normal 2 4 2 3 6 2 5" xfId="29649" xr:uid="{3FDBDE88-4823-4B16-BCE8-D99F6018EDBE}"/>
    <cellStyle name="Normal 2 4 2 3 6 3" xfId="5501" xr:uid="{00000000-0005-0000-0000-00002B0F0000}"/>
    <cellStyle name="Normal 2 4 2 3 6 3 2" xfId="23274" xr:uid="{E100AD28-B248-4F4B-AE46-19DA9951CDCA}"/>
    <cellStyle name="Normal 2 4 2 3 6 3 2 2" xfId="40168" xr:uid="{61FB3979-804A-436B-A0E9-3A7EA1EFB698}"/>
    <cellStyle name="Normal 2 4 2 3 6 3 3" xfId="14827" xr:uid="{FEE33AF8-6DBB-42CF-B165-DD447DFD38D8}"/>
    <cellStyle name="Normal 2 4 2 3 6 3 4" xfId="31721" xr:uid="{0A735A8F-025E-4860-AEE0-FFA116FAE7B4}"/>
    <cellStyle name="Normal 2 4 2 3 6 4" xfId="19057" xr:uid="{9E5C18D2-48C9-46FD-A8D6-C5FF73317273}"/>
    <cellStyle name="Normal 2 4 2 3 6 4 2" xfId="35951" xr:uid="{74C33B5F-1771-46B5-92C3-41BE370FB951}"/>
    <cellStyle name="Normal 2 4 2 3 6 5" xfId="10610" xr:uid="{3803A260-ABB3-4D3C-97EF-A4F37B98ADC1}"/>
    <cellStyle name="Normal 2 4 2 3 6 6" xfId="27504" xr:uid="{E9B5B9C2-BD27-4DBB-A523-C5C7B2E15995}"/>
    <cellStyle name="Normal 2 4 2 3 7" xfId="1607" xr:uid="{00000000-0005-0000-0000-00002C0F0000}"/>
    <cellStyle name="Normal 2 4 2 3 7 2" xfId="3837" xr:uid="{00000000-0005-0000-0000-00002D0F0000}"/>
    <cellStyle name="Normal 2 4 2 3 7 2 2" xfId="8059" xr:uid="{00000000-0005-0000-0000-00002E0F0000}"/>
    <cellStyle name="Normal 2 4 2 3 7 2 2 2" xfId="25832" xr:uid="{3EF545D1-2B9A-4584-B9A5-091AD52E3A04}"/>
    <cellStyle name="Normal 2 4 2 3 7 2 2 2 2" xfId="42726" xr:uid="{63841254-008E-4726-A39B-7226837C1359}"/>
    <cellStyle name="Normal 2 4 2 3 7 2 2 3" xfId="17385" xr:uid="{CBA47BD7-2990-44C1-A24D-AB97CA8E0E57}"/>
    <cellStyle name="Normal 2 4 2 3 7 2 2 4" xfId="34279" xr:uid="{5ED1BAC0-F284-4AEB-BCC7-6779A6DF1436}"/>
    <cellStyle name="Normal 2 4 2 3 7 2 3" xfId="21615" xr:uid="{2ED12453-5CD1-4126-9E10-F67B27F938BD}"/>
    <cellStyle name="Normal 2 4 2 3 7 2 3 2" xfId="38509" xr:uid="{DD527C7F-2661-4F00-9688-645ED06802D2}"/>
    <cellStyle name="Normal 2 4 2 3 7 2 4" xfId="13168" xr:uid="{1485892E-1A0F-4DF7-AD23-0722182D4A3A}"/>
    <cellStyle name="Normal 2 4 2 3 7 2 5" xfId="30062" xr:uid="{BA973EC1-7C90-4DB3-8AB7-016545963931}"/>
    <cellStyle name="Normal 2 4 2 3 7 3" xfId="5914" xr:uid="{00000000-0005-0000-0000-00002F0F0000}"/>
    <cellStyle name="Normal 2 4 2 3 7 3 2" xfId="23687" xr:uid="{0A08412A-F8AD-428A-9ADF-223B428A12D1}"/>
    <cellStyle name="Normal 2 4 2 3 7 3 2 2" xfId="40581" xr:uid="{0531597C-C22E-4EEB-BDB3-80C71BE81466}"/>
    <cellStyle name="Normal 2 4 2 3 7 3 3" xfId="15240" xr:uid="{AE5AF0A7-612D-4702-A4F4-39F16C219662}"/>
    <cellStyle name="Normal 2 4 2 3 7 3 4" xfId="32134" xr:uid="{860221F2-490F-4213-A726-474AFDF37FD5}"/>
    <cellStyle name="Normal 2 4 2 3 7 4" xfId="19470" xr:uid="{8FB77FF1-5892-43A1-AEE5-D36861D9A1A6}"/>
    <cellStyle name="Normal 2 4 2 3 7 4 2" xfId="36364" xr:uid="{0CCBBC38-1026-4CA0-9A03-27DD31C835FA}"/>
    <cellStyle name="Normal 2 4 2 3 7 5" xfId="11023" xr:uid="{D6765ABE-A52D-49C9-A5C4-1DD6A3D43EF6}"/>
    <cellStyle name="Normal 2 4 2 3 7 6" xfId="27917" xr:uid="{950710ED-76B8-4656-9B03-D4064AE33632}"/>
    <cellStyle name="Normal 2 4 2 3 8" xfId="2021" xr:uid="{00000000-0005-0000-0000-0000300F0000}"/>
    <cellStyle name="Normal 2 4 2 3 8 2" xfId="4250" xr:uid="{00000000-0005-0000-0000-0000310F0000}"/>
    <cellStyle name="Normal 2 4 2 3 8 2 2" xfId="8472" xr:uid="{00000000-0005-0000-0000-0000320F0000}"/>
    <cellStyle name="Normal 2 4 2 3 8 2 2 2" xfId="26245" xr:uid="{FB6C47D3-BD2E-4BBE-8A42-490D5DA43686}"/>
    <cellStyle name="Normal 2 4 2 3 8 2 2 2 2" xfId="43139" xr:uid="{08A251F4-D793-414F-B38F-1AA1174BEC33}"/>
    <cellStyle name="Normal 2 4 2 3 8 2 2 3" xfId="17798" xr:uid="{DBC487D8-0E78-4557-B981-E0293D94BE6D}"/>
    <cellStyle name="Normal 2 4 2 3 8 2 2 4" xfId="34692" xr:uid="{C12776E0-F9A1-4BB4-B95E-EC1F7306DCA6}"/>
    <cellStyle name="Normal 2 4 2 3 8 2 3" xfId="22028" xr:uid="{34574654-40A7-4578-AAA2-F89318BB955C}"/>
    <cellStyle name="Normal 2 4 2 3 8 2 3 2" xfId="38922" xr:uid="{A7051137-AD9C-45BB-A171-122C77B1BF3A}"/>
    <cellStyle name="Normal 2 4 2 3 8 2 4" xfId="13581" xr:uid="{DD2A6ADD-FFE8-4808-9570-7F2B2D348386}"/>
    <cellStyle name="Normal 2 4 2 3 8 2 5" xfId="30475" xr:uid="{12AE7521-C514-4E6E-8324-5E2E5A62C568}"/>
    <cellStyle name="Normal 2 4 2 3 8 3" xfId="6327" xr:uid="{00000000-0005-0000-0000-0000330F0000}"/>
    <cellStyle name="Normal 2 4 2 3 8 3 2" xfId="24100" xr:uid="{9A9466DC-5EC5-4C99-86A8-60C430A4B3E8}"/>
    <cellStyle name="Normal 2 4 2 3 8 3 2 2" xfId="40994" xr:uid="{F2A07418-4929-4733-9CE0-6E385D582894}"/>
    <cellStyle name="Normal 2 4 2 3 8 3 3" xfId="15653" xr:uid="{38B1F4CF-4C21-4637-A322-D8B1ADF0F928}"/>
    <cellStyle name="Normal 2 4 2 3 8 3 4" xfId="32547" xr:uid="{4D6BD367-E82D-4DDE-869D-A1428C31EB34}"/>
    <cellStyle name="Normal 2 4 2 3 8 4" xfId="19883" xr:uid="{725D6C0C-AF5F-43B1-879F-47B4EAA43CBB}"/>
    <cellStyle name="Normal 2 4 2 3 8 4 2" xfId="36777" xr:uid="{6A1F7CBD-37FD-4F90-BE5D-8066CEB8CA73}"/>
    <cellStyle name="Normal 2 4 2 3 8 5" xfId="11436" xr:uid="{1548FD73-4CFA-4475-86AF-DA816B3CC375}"/>
    <cellStyle name="Normal 2 4 2 3 8 6" xfId="28330" xr:uid="{79B9B2D1-F421-459B-90F9-78C1F72DB68D}"/>
    <cellStyle name="Normal 2 4 2 3 9" xfId="2457" xr:uid="{00000000-0005-0000-0000-0000340F0000}"/>
    <cellStyle name="Normal 2 4 2 3 9 2" xfId="6740" xr:uid="{00000000-0005-0000-0000-0000350F0000}"/>
    <cellStyle name="Normal 2 4 2 3 9 2 2" xfId="24513" xr:uid="{0A143616-6476-49BF-A506-6D4E6E0DFE66}"/>
    <cellStyle name="Normal 2 4 2 3 9 2 2 2" xfId="41407" xr:uid="{B4FCDDE6-49E2-4D88-B6A3-ADBC09F5EEA3}"/>
    <cellStyle name="Normal 2 4 2 3 9 2 3" xfId="16066" xr:uid="{41BDC5B7-562E-4286-8C70-340AAABA54D1}"/>
    <cellStyle name="Normal 2 4 2 3 9 2 4" xfId="32960" xr:uid="{79F8D7E4-ED95-44DA-8A73-FF343A14FDAB}"/>
    <cellStyle name="Normal 2 4 2 3 9 3" xfId="20296" xr:uid="{0DB247C1-7A91-4B21-B490-AC74E24C4CED}"/>
    <cellStyle name="Normal 2 4 2 3 9 3 2" xfId="37190" xr:uid="{01D26873-B2EA-4502-B423-0FAD9BDDDE62}"/>
    <cellStyle name="Normal 2 4 2 3 9 4" xfId="11849" xr:uid="{C9CC8104-FC57-4D4E-95C3-D600A1B6FADF}"/>
    <cellStyle name="Normal 2 4 2 3 9 5" xfId="28743" xr:uid="{8B87C042-3BBE-48A5-83FA-06D9908477B3}"/>
    <cellStyle name="Normal 2 4 2 4" xfId="289" xr:uid="{00000000-0005-0000-0000-0000360F0000}"/>
    <cellStyle name="Normal 2 4 2 4 10" xfId="8812" xr:uid="{C2E08BA7-2068-4F74-AFE2-E0AED0B82FE2}"/>
    <cellStyle name="Normal 2 4 2 4 10 2" xfId="18238" xr:uid="{8E079434-0F33-459B-B985-B8EAA107130C}"/>
    <cellStyle name="Normal 2 4 2 4 10 3" xfId="35132" xr:uid="{95005AFB-F09E-4EF3-A3C2-B694AD6A5D4C}"/>
    <cellStyle name="Normal 2 4 2 4 11" xfId="9791" xr:uid="{D0F75C53-C1F7-42A1-8C9D-AD4923D86A1B}"/>
    <cellStyle name="Normal 2 4 2 4 12" xfId="26685" xr:uid="{3995BEB9-9968-472E-8711-06526445FA91}"/>
    <cellStyle name="Normal 2 4 2 4 2" xfId="290" xr:uid="{00000000-0005-0000-0000-0000370F0000}"/>
    <cellStyle name="Normal 2 4 2 4 2 10" xfId="9792" xr:uid="{F35C55B3-078F-45A6-B655-B32083E038DD}"/>
    <cellStyle name="Normal 2 4 2 4 2 11" xfId="26686" xr:uid="{C7946AF6-839D-44CE-8BBC-4720F1442334}"/>
    <cellStyle name="Normal 2 4 2 4 2 2" xfId="291" xr:uid="{00000000-0005-0000-0000-0000380F0000}"/>
    <cellStyle name="Normal 2 4 2 4 2 2 10" xfId="26687" xr:uid="{B42BB440-9D42-4800-B70B-93BF37DED0A7}"/>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2 2 2" xfId="25016" xr:uid="{E0BC1132-813B-4AA4-9C91-F1CFFE084C28}"/>
    <cellStyle name="Normal 2 4 2 4 2 2 2 2 2 2 2" xfId="41910" xr:uid="{76B1F09F-4029-4B64-91E4-0C38E2EADCEF}"/>
    <cellStyle name="Normal 2 4 2 4 2 2 2 2 2 3" xfId="16569" xr:uid="{9AFCE385-ED51-4B39-8D92-97EC6BF767E4}"/>
    <cellStyle name="Normal 2 4 2 4 2 2 2 2 2 4" xfId="33463" xr:uid="{29293616-59C2-44CB-A735-3942F4BC7421}"/>
    <cellStyle name="Normal 2 4 2 4 2 2 2 2 3" xfId="20799" xr:uid="{1C725E38-76FC-44CA-927B-E5CDB551207A}"/>
    <cellStyle name="Normal 2 4 2 4 2 2 2 2 3 2" xfId="37693" xr:uid="{53468770-B75F-4105-9DF6-D0348951C029}"/>
    <cellStyle name="Normal 2 4 2 4 2 2 2 2 4" xfId="12352" xr:uid="{274E3BFE-96BA-4F4B-8F0E-492FC8F3B01C}"/>
    <cellStyle name="Normal 2 4 2 4 2 2 2 2 5" xfId="29246" xr:uid="{F78B78A8-110A-45E3-A017-36200EEC0F42}"/>
    <cellStyle name="Normal 2 4 2 4 2 2 2 3" xfId="5098" xr:uid="{00000000-0005-0000-0000-00003C0F0000}"/>
    <cellStyle name="Normal 2 4 2 4 2 2 2 3 2" xfId="22871" xr:uid="{406858F1-809A-45DB-97E2-496F85E1FD75}"/>
    <cellStyle name="Normal 2 4 2 4 2 2 2 3 2 2" xfId="39765" xr:uid="{25165074-C05C-42B3-8A6E-4DB4EEDA8B78}"/>
    <cellStyle name="Normal 2 4 2 4 2 2 2 3 3" xfId="14424" xr:uid="{7370A330-D15B-43A8-8007-09E7F2F8AA5C}"/>
    <cellStyle name="Normal 2 4 2 4 2 2 2 3 4" xfId="31318" xr:uid="{732E6BDF-6A36-46C4-886F-6D4F00B4DFA2}"/>
    <cellStyle name="Normal 2 4 2 4 2 2 2 4" xfId="9547" xr:uid="{F8909421-8B16-4168-8B85-A5523C430C3C}"/>
    <cellStyle name="Normal 2 4 2 4 2 2 2 4 2" xfId="18654" xr:uid="{3DA27833-2A86-42FD-9C37-1FC338427108}"/>
    <cellStyle name="Normal 2 4 2 4 2 2 2 4 3" xfId="35548" xr:uid="{CC843E88-1D8D-478B-A225-247E7163310C}"/>
    <cellStyle name="Normal 2 4 2 4 2 2 2 5" xfId="10207" xr:uid="{11045B0C-B6AF-425F-8660-BE6F7EE96104}"/>
    <cellStyle name="Normal 2 4 2 4 2 2 2 6" xfId="27101" xr:uid="{FD3312CA-A745-4F13-9852-E88EEB605E95}"/>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2 2 2" xfId="25429" xr:uid="{49D46974-E8A2-40AF-A223-6F12FF25302B}"/>
    <cellStyle name="Normal 2 4 2 4 2 2 3 2 2 2 2" xfId="42323" xr:uid="{0DE76E13-4360-44D4-9B1B-1406D1943560}"/>
    <cellStyle name="Normal 2 4 2 4 2 2 3 2 2 3" xfId="16982" xr:uid="{EBC35C2E-80B2-4AE9-AA0C-809D9C2D634B}"/>
    <cellStyle name="Normal 2 4 2 4 2 2 3 2 2 4" xfId="33876" xr:uid="{E398E448-6E53-424F-BF9B-20F1A15AF062}"/>
    <cellStyle name="Normal 2 4 2 4 2 2 3 2 3" xfId="21212" xr:uid="{069E5B45-ACD1-4EAA-9BE7-5D2A00361D65}"/>
    <cellStyle name="Normal 2 4 2 4 2 2 3 2 3 2" xfId="38106" xr:uid="{35E0C8AC-89DB-41CB-A071-B1CAE70F255F}"/>
    <cellStyle name="Normal 2 4 2 4 2 2 3 2 4" xfId="12765" xr:uid="{AA10F6A2-CB7A-4557-B79B-4AB8AC1DB265}"/>
    <cellStyle name="Normal 2 4 2 4 2 2 3 2 5" xfId="29659" xr:uid="{2E261E39-2626-4E12-9C56-4E34D04728D5}"/>
    <cellStyle name="Normal 2 4 2 4 2 2 3 3" xfId="5511" xr:uid="{00000000-0005-0000-0000-0000400F0000}"/>
    <cellStyle name="Normal 2 4 2 4 2 2 3 3 2" xfId="23284" xr:uid="{9F301585-F557-4DC2-AFCC-F9CE945E301E}"/>
    <cellStyle name="Normal 2 4 2 4 2 2 3 3 2 2" xfId="40178" xr:uid="{83733F5B-9BAB-4C6B-8A95-5CF07016CBD2}"/>
    <cellStyle name="Normal 2 4 2 4 2 2 3 3 3" xfId="14837" xr:uid="{87D29F01-62A3-4009-8D09-C768541C690C}"/>
    <cellStyle name="Normal 2 4 2 4 2 2 3 3 4" xfId="31731" xr:uid="{8D929F63-FF18-4553-B9DB-95CA979C6EAC}"/>
    <cellStyle name="Normal 2 4 2 4 2 2 3 4" xfId="19067" xr:uid="{9F472931-8170-40CF-A751-8B31DAEF403B}"/>
    <cellStyle name="Normal 2 4 2 4 2 2 3 4 2" xfId="35961" xr:uid="{888F06AE-6B02-4B71-8DF9-F3257B2A9158}"/>
    <cellStyle name="Normal 2 4 2 4 2 2 3 5" xfId="10620" xr:uid="{9CD2377F-1727-435C-B29A-C74ACF075044}"/>
    <cellStyle name="Normal 2 4 2 4 2 2 3 6" xfId="27514" xr:uid="{F0C3ED63-D9AA-44FB-9830-129CBA23025F}"/>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2 2 2" xfId="25842" xr:uid="{A30000D2-D2F6-416F-BE5B-91C07CFC756B}"/>
    <cellStyle name="Normal 2 4 2 4 2 2 4 2 2 2 2" xfId="42736" xr:uid="{CFA0E6BF-991D-4069-BB6B-697072D7EAFA}"/>
    <cellStyle name="Normal 2 4 2 4 2 2 4 2 2 3" xfId="17395" xr:uid="{8447CF82-EC5F-4661-8A5B-9CA631BA77BC}"/>
    <cellStyle name="Normal 2 4 2 4 2 2 4 2 2 4" xfId="34289" xr:uid="{3909ACBA-CFFE-48AC-A43E-6827160BC51C}"/>
    <cellStyle name="Normal 2 4 2 4 2 2 4 2 3" xfId="21625" xr:uid="{96B8901D-55EF-44C5-AC76-B1FF752C8E9B}"/>
    <cellStyle name="Normal 2 4 2 4 2 2 4 2 3 2" xfId="38519" xr:uid="{C44717E4-D6A3-41DD-A2DD-18F65B439306}"/>
    <cellStyle name="Normal 2 4 2 4 2 2 4 2 4" xfId="13178" xr:uid="{E531122E-8439-488F-BE1E-FCA0F9AB50F2}"/>
    <cellStyle name="Normal 2 4 2 4 2 2 4 2 5" xfId="30072" xr:uid="{4899B81B-56E8-4086-B9A3-599C18FF149D}"/>
    <cellStyle name="Normal 2 4 2 4 2 2 4 3" xfId="5924" xr:uid="{00000000-0005-0000-0000-0000440F0000}"/>
    <cellStyle name="Normal 2 4 2 4 2 2 4 3 2" xfId="23697" xr:uid="{B6FB2D69-EA0C-40A1-8D98-3BBCE19BCE6F}"/>
    <cellStyle name="Normal 2 4 2 4 2 2 4 3 2 2" xfId="40591" xr:uid="{6C944447-C1CA-47E7-9BE4-D697D20794D2}"/>
    <cellStyle name="Normal 2 4 2 4 2 2 4 3 3" xfId="15250" xr:uid="{578E649C-BF6B-460F-A63F-1F24C4B2407E}"/>
    <cellStyle name="Normal 2 4 2 4 2 2 4 3 4" xfId="32144" xr:uid="{7B2CB5A2-0174-45A4-99FE-ACC8F4BF5829}"/>
    <cellStyle name="Normal 2 4 2 4 2 2 4 4" xfId="19480" xr:uid="{364B78D0-50C0-4A1F-B7D3-CB9454BC48E0}"/>
    <cellStyle name="Normal 2 4 2 4 2 2 4 4 2" xfId="36374" xr:uid="{6949A9E7-6C7E-4461-89D9-DBA02D4550D5}"/>
    <cellStyle name="Normal 2 4 2 4 2 2 4 5" xfId="11033" xr:uid="{BF6FD75E-D7EC-4A5A-AEDD-F3AC2BFEB780}"/>
    <cellStyle name="Normal 2 4 2 4 2 2 4 6" xfId="27927" xr:uid="{4CF03237-51CD-4E30-B975-979813D26776}"/>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2 2 2" xfId="26255" xr:uid="{54054046-E637-40CE-A796-353B52BEFD19}"/>
    <cellStyle name="Normal 2 4 2 4 2 2 5 2 2 2 2" xfId="43149" xr:uid="{58632F18-D65E-41AD-9BAF-8D4BF9A7907A}"/>
    <cellStyle name="Normal 2 4 2 4 2 2 5 2 2 3" xfId="17808" xr:uid="{0E12DEC0-67A8-4039-BA25-156B57C445ED}"/>
    <cellStyle name="Normal 2 4 2 4 2 2 5 2 2 4" xfId="34702" xr:uid="{47B42ADF-19A0-4D35-8A5A-CC599310E607}"/>
    <cellStyle name="Normal 2 4 2 4 2 2 5 2 3" xfId="22038" xr:uid="{AFAE5F70-32EF-4A10-8FF3-8EC89E95101C}"/>
    <cellStyle name="Normal 2 4 2 4 2 2 5 2 3 2" xfId="38932" xr:uid="{A52EDE6A-99A5-4EB2-8236-8E9F223FEDCB}"/>
    <cellStyle name="Normal 2 4 2 4 2 2 5 2 4" xfId="13591" xr:uid="{60232F24-371E-4B82-B01E-D25EADECBD55}"/>
    <cellStyle name="Normal 2 4 2 4 2 2 5 2 5" xfId="30485" xr:uid="{5CC46406-5E55-4339-B84E-6D356BB077DD}"/>
    <cellStyle name="Normal 2 4 2 4 2 2 5 3" xfId="6337" xr:uid="{00000000-0005-0000-0000-0000480F0000}"/>
    <cellStyle name="Normal 2 4 2 4 2 2 5 3 2" xfId="24110" xr:uid="{3E7A4209-CAB4-4D5C-9F1B-E27F33EB7AFD}"/>
    <cellStyle name="Normal 2 4 2 4 2 2 5 3 2 2" xfId="41004" xr:uid="{E8DBD31E-13DB-436F-84CF-7F82848F423D}"/>
    <cellStyle name="Normal 2 4 2 4 2 2 5 3 3" xfId="15663" xr:uid="{89C52966-A00F-4FC0-9F6A-A0CE6328DC51}"/>
    <cellStyle name="Normal 2 4 2 4 2 2 5 3 4" xfId="32557" xr:uid="{71136DB1-2F83-4585-B13E-418539F2CF13}"/>
    <cellStyle name="Normal 2 4 2 4 2 2 5 4" xfId="19893" xr:uid="{92FE6F4A-6236-4186-A5C1-DDBE19356BA8}"/>
    <cellStyle name="Normal 2 4 2 4 2 2 5 4 2" xfId="36787" xr:uid="{10D7A57F-6203-4377-A811-9EB0906C5C5B}"/>
    <cellStyle name="Normal 2 4 2 4 2 2 5 5" xfId="11446" xr:uid="{52DE1094-69FF-43A0-9B49-41898C7CCFE4}"/>
    <cellStyle name="Normal 2 4 2 4 2 2 5 6" xfId="28340" xr:uid="{00A44963-6625-400B-A13F-17827C8EE22D}"/>
    <cellStyle name="Normal 2 4 2 4 2 2 6" xfId="2467" xr:uid="{00000000-0005-0000-0000-0000490F0000}"/>
    <cellStyle name="Normal 2 4 2 4 2 2 6 2" xfId="6750" xr:uid="{00000000-0005-0000-0000-00004A0F0000}"/>
    <cellStyle name="Normal 2 4 2 4 2 2 6 2 2" xfId="24523" xr:uid="{F97D288C-FD02-4A6A-A64F-B82FA5B67CD4}"/>
    <cellStyle name="Normal 2 4 2 4 2 2 6 2 2 2" xfId="41417" xr:uid="{CF0C1AC8-F1E7-4F5C-B4FE-1BF7094737EB}"/>
    <cellStyle name="Normal 2 4 2 4 2 2 6 2 3" xfId="16076" xr:uid="{1A1C76F4-8C9A-4777-8C2E-0434703E0F0F}"/>
    <cellStyle name="Normal 2 4 2 4 2 2 6 2 4" xfId="32970" xr:uid="{1D842B75-843A-4F3B-A0ED-06B3F2613975}"/>
    <cellStyle name="Normal 2 4 2 4 2 2 6 3" xfId="20306" xr:uid="{BF037096-748D-4388-A686-A986D5963FAA}"/>
    <cellStyle name="Normal 2 4 2 4 2 2 6 3 2" xfId="37200" xr:uid="{17794B2F-071C-4D33-ADE2-5A3DB7F65901}"/>
    <cellStyle name="Normal 2 4 2 4 2 2 6 4" xfId="11859" xr:uid="{0B103B7A-D074-4857-83E6-BEAC23B62029}"/>
    <cellStyle name="Normal 2 4 2 4 2 2 6 5" xfId="28753" xr:uid="{079E201E-7060-4F3A-9040-7DAB5739D34E}"/>
    <cellStyle name="Normal 2 4 2 4 2 2 7" xfId="4684" xr:uid="{00000000-0005-0000-0000-00004B0F0000}"/>
    <cellStyle name="Normal 2 4 2 4 2 2 7 2" xfId="22457" xr:uid="{0CF05CA0-2F60-4999-92B2-52AAA6B78BEB}"/>
    <cellStyle name="Normal 2 4 2 4 2 2 7 2 2" xfId="39351" xr:uid="{CDA09FF9-EDA8-45C8-B016-2A7D1DD83190}"/>
    <cellStyle name="Normal 2 4 2 4 2 2 7 3" xfId="14010" xr:uid="{6687A7BA-5955-4141-B3B9-E822B0FA74A0}"/>
    <cellStyle name="Normal 2 4 2 4 2 2 7 4" xfId="30904" xr:uid="{7AAF713D-4B19-4ACE-BF64-A1B95B4EB43E}"/>
    <cellStyle name="Normal 2 4 2 4 2 2 8" xfId="9122" xr:uid="{861CB008-611F-4F3F-9D09-5BCA5A4CB255}"/>
    <cellStyle name="Normal 2 4 2 4 2 2 8 2" xfId="18240" xr:uid="{1124C5F6-FC42-4986-8F10-4A2545C179FE}"/>
    <cellStyle name="Normal 2 4 2 4 2 2 8 3" xfId="35134" xr:uid="{9A19553C-5F8E-420B-9DFA-6C35D14016CC}"/>
    <cellStyle name="Normal 2 4 2 4 2 2 9" xfId="9793" xr:uid="{1394B644-9FB6-4E9B-905E-2467E8501FDE}"/>
    <cellStyle name="Normal 2 4 2 4 2 3" xfId="781" xr:uid="{00000000-0005-0000-0000-00004C0F0000}"/>
    <cellStyle name="Normal 2 4 2 4 2 3 2" xfId="3020" xr:uid="{00000000-0005-0000-0000-00004D0F0000}"/>
    <cellStyle name="Normal 2 4 2 4 2 3 2 2" xfId="7242" xr:uid="{00000000-0005-0000-0000-00004E0F0000}"/>
    <cellStyle name="Normal 2 4 2 4 2 3 2 2 2" xfId="25015" xr:uid="{E73868C4-AC44-4BBC-B3F1-807179168167}"/>
    <cellStyle name="Normal 2 4 2 4 2 3 2 2 2 2" xfId="41909" xr:uid="{1A302947-5F47-43B4-8799-E6F6BE412E6A}"/>
    <cellStyle name="Normal 2 4 2 4 2 3 2 2 3" xfId="16568" xr:uid="{C1A591C2-22E7-412E-946A-F99B8CB6AF01}"/>
    <cellStyle name="Normal 2 4 2 4 2 3 2 2 4" xfId="33462" xr:uid="{FCF9FEC5-8471-42C6-9FE1-860E2A1CDDF5}"/>
    <cellStyle name="Normal 2 4 2 4 2 3 2 3" xfId="20798" xr:uid="{F7DE36B4-3EB7-4EED-8836-A46C973DE6F1}"/>
    <cellStyle name="Normal 2 4 2 4 2 3 2 3 2" xfId="37692" xr:uid="{320833FB-B6C7-4239-BCD2-7249B70D2E01}"/>
    <cellStyle name="Normal 2 4 2 4 2 3 2 4" xfId="12351" xr:uid="{98261602-B735-44A3-B17C-3BC34EE4796C}"/>
    <cellStyle name="Normal 2 4 2 4 2 3 2 5" xfId="29245" xr:uid="{52D366FB-8FBA-4737-B729-DA8001148307}"/>
    <cellStyle name="Normal 2 4 2 4 2 3 3" xfId="5097" xr:uid="{00000000-0005-0000-0000-00004F0F0000}"/>
    <cellStyle name="Normal 2 4 2 4 2 3 3 2" xfId="22870" xr:uid="{08F85EBA-2692-4B60-9898-0C3DD401C2B7}"/>
    <cellStyle name="Normal 2 4 2 4 2 3 3 2 2" xfId="39764" xr:uid="{90925994-1B23-4383-8C15-FAF14EFEC519}"/>
    <cellStyle name="Normal 2 4 2 4 2 3 3 3" xfId="14423" xr:uid="{DCBC78C2-D5AF-4943-9B75-2778DB7AED9A}"/>
    <cellStyle name="Normal 2 4 2 4 2 3 3 4" xfId="31317" xr:uid="{68E0F5F0-3C8D-4DA5-AA04-49D7D288B02C}"/>
    <cellStyle name="Normal 2 4 2 4 2 3 4" xfId="9340" xr:uid="{2D1F2F91-F6E8-42AC-98D0-B8667E0ECE37}"/>
    <cellStyle name="Normal 2 4 2 4 2 3 4 2" xfId="18653" xr:uid="{63B9A18D-C8F1-4512-8932-A5214B9C0A13}"/>
    <cellStyle name="Normal 2 4 2 4 2 3 4 3" xfId="35547" xr:uid="{97F93F50-7AF7-4C77-8109-D2D597BB03B4}"/>
    <cellStyle name="Normal 2 4 2 4 2 3 5" xfId="10206" xr:uid="{EADB5A03-C453-4602-A922-6797270A5106}"/>
    <cellStyle name="Normal 2 4 2 4 2 3 6" xfId="27100" xr:uid="{134F0668-DECC-471C-99F1-E254194419A5}"/>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2 2 2" xfId="25428" xr:uid="{63B77391-7A81-4858-906D-C21055DE022C}"/>
    <cellStyle name="Normal 2 4 2 4 2 4 2 2 2 2" xfId="42322" xr:uid="{5F4A4244-43A6-4FCE-8786-CFCDF6F7AF94}"/>
    <cellStyle name="Normal 2 4 2 4 2 4 2 2 3" xfId="16981" xr:uid="{9240021C-294B-4458-B96C-4590F1524129}"/>
    <cellStyle name="Normal 2 4 2 4 2 4 2 2 4" xfId="33875" xr:uid="{8DF7AC43-179E-43F5-A201-C9668F1ECEC3}"/>
    <cellStyle name="Normal 2 4 2 4 2 4 2 3" xfId="21211" xr:uid="{C1E8EA3B-6D3C-41F2-BB13-F42A40E11744}"/>
    <cellStyle name="Normal 2 4 2 4 2 4 2 3 2" xfId="38105" xr:uid="{DDEDCCB3-7B19-487D-93E1-E44E136CBA1A}"/>
    <cellStyle name="Normal 2 4 2 4 2 4 2 4" xfId="12764" xr:uid="{DCDAFF1C-C1B8-42DA-9C42-C7951862A645}"/>
    <cellStyle name="Normal 2 4 2 4 2 4 2 5" xfId="29658" xr:uid="{84AB86EA-5567-497F-BB95-A6874D229D0F}"/>
    <cellStyle name="Normal 2 4 2 4 2 4 3" xfId="5510" xr:uid="{00000000-0005-0000-0000-0000530F0000}"/>
    <cellStyle name="Normal 2 4 2 4 2 4 3 2" xfId="23283" xr:uid="{AB31D5C3-48E2-4146-A117-AA04B56833CB}"/>
    <cellStyle name="Normal 2 4 2 4 2 4 3 2 2" xfId="40177" xr:uid="{6A183956-A3C8-4312-8430-1A15BC8849E1}"/>
    <cellStyle name="Normal 2 4 2 4 2 4 3 3" xfId="14836" xr:uid="{5D6135C1-2C0E-408B-A449-C84A48B9A9E0}"/>
    <cellStyle name="Normal 2 4 2 4 2 4 3 4" xfId="31730" xr:uid="{2758331F-1257-4AF9-A6DC-911353F9096D}"/>
    <cellStyle name="Normal 2 4 2 4 2 4 4" xfId="19066" xr:uid="{57DB7680-3D14-49DE-914C-C430FEFF057A}"/>
    <cellStyle name="Normal 2 4 2 4 2 4 4 2" xfId="35960" xr:uid="{BB1E2C1D-30CA-44D1-AD1D-2A52F4AFD420}"/>
    <cellStyle name="Normal 2 4 2 4 2 4 5" xfId="10619" xr:uid="{B3A579F4-D9B9-463E-8648-9452DC2AD541}"/>
    <cellStyle name="Normal 2 4 2 4 2 4 6" xfId="27513" xr:uid="{EE11F32A-83D7-47AD-A7E5-BC5162F6B15C}"/>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2 2 2" xfId="25841" xr:uid="{724DF84C-3A84-48AE-83FC-BE3D74014E72}"/>
    <cellStyle name="Normal 2 4 2 4 2 5 2 2 2 2" xfId="42735" xr:uid="{4C1C69A3-E429-4C20-B608-31CCF15BF171}"/>
    <cellStyle name="Normal 2 4 2 4 2 5 2 2 3" xfId="17394" xr:uid="{AB7A3172-B70C-4CC6-AB83-024001831C24}"/>
    <cellStyle name="Normal 2 4 2 4 2 5 2 2 4" xfId="34288" xr:uid="{1A656D2C-EA02-48B7-AA9E-300C44CC3D15}"/>
    <cellStyle name="Normal 2 4 2 4 2 5 2 3" xfId="21624" xr:uid="{D37F10CF-8339-41B8-8EA5-D1E5A75F37DB}"/>
    <cellStyle name="Normal 2 4 2 4 2 5 2 3 2" xfId="38518" xr:uid="{23385D86-9025-4BCB-9E32-C48E526778A1}"/>
    <cellStyle name="Normal 2 4 2 4 2 5 2 4" xfId="13177" xr:uid="{900CB000-2510-4A59-A907-8F8D02BC107A}"/>
    <cellStyle name="Normal 2 4 2 4 2 5 2 5" xfId="30071" xr:uid="{60592635-6A0E-413D-8B44-B87DF6C39FD9}"/>
    <cellStyle name="Normal 2 4 2 4 2 5 3" xfId="5923" xr:uid="{00000000-0005-0000-0000-0000570F0000}"/>
    <cellStyle name="Normal 2 4 2 4 2 5 3 2" xfId="23696" xr:uid="{3A086136-942B-41D3-9494-1FD123B17931}"/>
    <cellStyle name="Normal 2 4 2 4 2 5 3 2 2" xfId="40590" xr:uid="{36F97D29-C883-4195-8153-BA4738FBD473}"/>
    <cellStyle name="Normal 2 4 2 4 2 5 3 3" xfId="15249" xr:uid="{F2147305-84E0-4202-8CA1-817341C11BB8}"/>
    <cellStyle name="Normal 2 4 2 4 2 5 3 4" xfId="32143" xr:uid="{60720E47-672D-4195-942F-54BD002EE3A6}"/>
    <cellStyle name="Normal 2 4 2 4 2 5 4" xfId="19479" xr:uid="{8F731484-23D7-42D1-BA49-D65E58684840}"/>
    <cellStyle name="Normal 2 4 2 4 2 5 4 2" xfId="36373" xr:uid="{3EDEB413-9C66-4A45-B7E7-835F453F8297}"/>
    <cellStyle name="Normal 2 4 2 4 2 5 5" xfId="11032" xr:uid="{F8504BD9-938E-47DB-B9F0-B8F4EDEEE3B6}"/>
    <cellStyle name="Normal 2 4 2 4 2 5 6" xfId="27926" xr:uid="{E3D75E48-BC4E-40C3-BC0A-AC1B18589A8E}"/>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2 2 2" xfId="26254" xr:uid="{F10A393B-0E11-45D1-84F1-8EF37F1A9B7F}"/>
    <cellStyle name="Normal 2 4 2 4 2 6 2 2 2 2" xfId="43148" xr:uid="{51A793F8-9793-4DDA-995E-CAA2A288085E}"/>
    <cellStyle name="Normal 2 4 2 4 2 6 2 2 3" xfId="17807" xr:uid="{C03F3C5D-9428-4A4F-B94F-7E147FD5F2AF}"/>
    <cellStyle name="Normal 2 4 2 4 2 6 2 2 4" xfId="34701" xr:uid="{E1556B13-01CD-4362-B71C-C6D57736FA0C}"/>
    <cellStyle name="Normal 2 4 2 4 2 6 2 3" xfId="22037" xr:uid="{02C57088-56B9-4A69-82A1-5505A27A00BF}"/>
    <cellStyle name="Normal 2 4 2 4 2 6 2 3 2" xfId="38931" xr:uid="{0976E3A7-631B-4C3E-971F-F630238A4054}"/>
    <cellStyle name="Normal 2 4 2 4 2 6 2 4" xfId="13590" xr:uid="{FF04FA0E-4FD8-4AFB-982D-0B6775504F05}"/>
    <cellStyle name="Normal 2 4 2 4 2 6 2 5" xfId="30484" xr:uid="{38089F5B-90F4-4151-8A7F-48EECD211893}"/>
    <cellStyle name="Normal 2 4 2 4 2 6 3" xfId="6336" xr:uid="{00000000-0005-0000-0000-00005B0F0000}"/>
    <cellStyle name="Normal 2 4 2 4 2 6 3 2" xfId="24109" xr:uid="{62318D08-19B6-4690-8B85-5C7E08C0BFD5}"/>
    <cellStyle name="Normal 2 4 2 4 2 6 3 2 2" xfId="41003" xr:uid="{B65B474B-F987-4FEA-9645-E50B659F066B}"/>
    <cellStyle name="Normal 2 4 2 4 2 6 3 3" xfId="15662" xr:uid="{D979DD93-B3DB-452E-B6FE-CE82C3FAA673}"/>
    <cellStyle name="Normal 2 4 2 4 2 6 3 4" xfId="32556" xr:uid="{A7CA197E-D364-40CB-A601-C74BB9104906}"/>
    <cellStyle name="Normal 2 4 2 4 2 6 4" xfId="19892" xr:uid="{315E50EE-5649-4EDC-9754-B964226C2A67}"/>
    <cellStyle name="Normal 2 4 2 4 2 6 4 2" xfId="36786" xr:uid="{35E04495-B780-47A3-A22F-01EA00196D04}"/>
    <cellStyle name="Normal 2 4 2 4 2 6 5" xfId="11445" xr:uid="{801DA15A-44C9-44EF-8C51-AA6C59F1D384}"/>
    <cellStyle name="Normal 2 4 2 4 2 6 6" xfId="28339" xr:uid="{729C51A1-BBAD-4A12-8E6C-824AEBE470A5}"/>
    <cellStyle name="Normal 2 4 2 4 2 7" xfId="2466" xr:uid="{00000000-0005-0000-0000-00005C0F0000}"/>
    <cellStyle name="Normal 2 4 2 4 2 7 2" xfId="6749" xr:uid="{00000000-0005-0000-0000-00005D0F0000}"/>
    <cellStyle name="Normal 2 4 2 4 2 7 2 2" xfId="24522" xr:uid="{52847E5B-5C75-4876-9C6B-AA5C12742254}"/>
    <cellStyle name="Normal 2 4 2 4 2 7 2 2 2" xfId="41416" xr:uid="{AEA417D7-B378-4CA2-9CE8-88F5E8D07BED}"/>
    <cellStyle name="Normal 2 4 2 4 2 7 2 3" xfId="16075" xr:uid="{D73F2EB7-E85F-4382-BF2A-60162F2A6A4D}"/>
    <cellStyle name="Normal 2 4 2 4 2 7 2 4" xfId="32969" xr:uid="{48232F89-CBEE-420A-9335-764D924DDBAD}"/>
    <cellStyle name="Normal 2 4 2 4 2 7 3" xfId="20305" xr:uid="{2F602E19-DC2E-41B3-8ABB-01D682DF9B7E}"/>
    <cellStyle name="Normal 2 4 2 4 2 7 3 2" xfId="37199" xr:uid="{E0B2E1E7-7437-4935-928F-9517EAC58C19}"/>
    <cellStyle name="Normal 2 4 2 4 2 7 4" xfId="11858" xr:uid="{5AFB8810-7FB6-4BC5-8D7F-FB8B6C80CE3C}"/>
    <cellStyle name="Normal 2 4 2 4 2 7 5" xfId="28752" xr:uid="{287BB20F-DA5E-45DF-B76D-20EDBBC5899B}"/>
    <cellStyle name="Normal 2 4 2 4 2 8" xfId="4683" xr:uid="{00000000-0005-0000-0000-00005E0F0000}"/>
    <cellStyle name="Normal 2 4 2 4 2 8 2" xfId="22456" xr:uid="{CAA3EF0F-BFB9-4686-BCC3-02AAE31F2AAD}"/>
    <cellStyle name="Normal 2 4 2 4 2 8 2 2" xfId="39350" xr:uid="{8F7BE971-CFE3-490C-97FC-C155818A393A}"/>
    <cellStyle name="Normal 2 4 2 4 2 8 3" xfId="14009" xr:uid="{5DAA2A52-744D-4EC9-BAEA-6279B526104B}"/>
    <cellStyle name="Normal 2 4 2 4 2 8 4" xfId="30903" xr:uid="{398CFF56-7283-47E7-8790-8BF3D3A6FC6B}"/>
    <cellStyle name="Normal 2 4 2 4 2 9" xfId="8915" xr:uid="{2BEB15AA-2AFA-47D4-AC0E-63DAF2CFE119}"/>
    <cellStyle name="Normal 2 4 2 4 2 9 2" xfId="18239" xr:uid="{3D6DE818-FA36-43A6-A8B3-01CFB9DA7CEC}"/>
    <cellStyle name="Normal 2 4 2 4 2 9 3" xfId="35133" xr:uid="{0935573E-DEC4-4D4B-993E-789F6E2F3B5F}"/>
    <cellStyle name="Normal 2 4 2 4 3" xfId="292" xr:uid="{00000000-0005-0000-0000-00005F0F0000}"/>
    <cellStyle name="Normal 2 4 2 4 3 10" xfId="26688" xr:uid="{4B350F7F-0D15-4B22-8ED2-C214C82F92E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2 2 2" xfId="25017" xr:uid="{0E6F8FC9-B017-490A-A106-C530113A2317}"/>
    <cellStyle name="Normal 2 4 2 4 3 2 2 2 2 2" xfId="41911" xr:uid="{0962646B-9C95-4C42-88E4-AEAFE851E046}"/>
    <cellStyle name="Normal 2 4 2 4 3 2 2 2 3" xfId="16570" xr:uid="{A0A69CDD-C2A3-4BB1-BAAB-6AB519CD7576}"/>
    <cellStyle name="Normal 2 4 2 4 3 2 2 2 4" xfId="33464" xr:uid="{79661DBD-40B2-424B-BFE5-64DB4E5F845F}"/>
    <cellStyle name="Normal 2 4 2 4 3 2 2 3" xfId="20800" xr:uid="{8932AEB0-CB96-4B1C-8F94-429C07054DBB}"/>
    <cellStyle name="Normal 2 4 2 4 3 2 2 3 2" xfId="37694" xr:uid="{0785EAB9-9A5F-471C-9AE4-7F6DB884178B}"/>
    <cellStyle name="Normal 2 4 2 4 3 2 2 4" xfId="12353" xr:uid="{5CF30A59-9300-44C3-86DB-520D97D6386A}"/>
    <cellStyle name="Normal 2 4 2 4 3 2 2 5" xfId="29247" xr:uid="{28F7BE17-0546-4313-A534-3488291D586A}"/>
    <cellStyle name="Normal 2 4 2 4 3 2 3" xfId="5099" xr:uid="{00000000-0005-0000-0000-0000630F0000}"/>
    <cellStyle name="Normal 2 4 2 4 3 2 3 2" xfId="22872" xr:uid="{AD7DF950-72A7-461A-820D-FC2FF7F433B2}"/>
    <cellStyle name="Normal 2 4 2 4 3 2 3 2 2" xfId="39766" xr:uid="{8C280F06-55EA-466E-9B2C-C2FBB96D40B9}"/>
    <cellStyle name="Normal 2 4 2 4 3 2 3 3" xfId="14425" xr:uid="{458F0555-B261-46CB-913A-5FA91FF4DDC7}"/>
    <cellStyle name="Normal 2 4 2 4 3 2 3 4" xfId="31319" xr:uid="{3500D560-8279-4ED2-B7CC-5715023E4921}"/>
    <cellStyle name="Normal 2 4 2 4 3 2 4" xfId="9444" xr:uid="{807939DF-E7C0-4015-A3D8-AE9E56020172}"/>
    <cellStyle name="Normal 2 4 2 4 3 2 4 2" xfId="18655" xr:uid="{CBD86ADE-3BF2-4788-8113-A57A70570A32}"/>
    <cellStyle name="Normal 2 4 2 4 3 2 4 3" xfId="35549" xr:uid="{7DB1A393-35BB-45E0-907C-0E29B673236F}"/>
    <cellStyle name="Normal 2 4 2 4 3 2 5" xfId="10208" xr:uid="{AA0E2CE9-2ACB-467A-B817-8F9103A3ACDA}"/>
    <cellStyle name="Normal 2 4 2 4 3 2 6" xfId="27102" xr:uid="{A1C17CD3-2619-4B90-94B9-98056D9567F3}"/>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2 2 2" xfId="25430" xr:uid="{722EF988-FD23-41D4-BB81-17753C60B88F}"/>
    <cellStyle name="Normal 2 4 2 4 3 3 2 2 2 2" xfId="42324" xr:uid="{44FA301A-49A9-49F3-B095-1A8C2E8D2924}"/>
    <cellStyle name="Normal 2 4 2 4 3 3 2 2 3" xfId="16983" xr:uid="{593193A7-8342-4B1C-B09B-66FD5CC3E023}"/>
    <cellStyle name="Normal 2 4 2 4 3 3 2 2 4" xfId="33877" xr:uid="{DEDA50C8-247A-4A18-811B-01F42C6057EB}"/>
    <cellStyle name="Normal 2 4 2 4 3 3 2 3" xfId="21213" xr:uid="{FC41966F-B265-4DD4-AE9C-C2B77D321805}"/>
    <cellStyle name="Normal 2 4 2 4 3 3 2 3 2" xfId="38107" xr:uid="{F12FDD75-E7A9-415B-A579-FD1B10027547}"/>
    <cellStyle name="Normal 2 4 2 4 3 3 2 4" xfId="12766" xr:uid="{E5523E0C-69A6-406B-8011-8D8B937F0530}"/>
    <cellStyle name="Normal 2 4 2 4 3 3 2 5" xfId="29660" xr:uid="{65CDA443-865E-4472-B4EB-F85233A8D458}"/>
    <cellStyle name="Normal 2 4 2 4 3 3 3" xfId="5512" xr:uid="{00000000-0005-0000-0000-0000670F0000}"/>
    <cellStyle name="Normal 2 4 2 4 3 3 3 2" xfId="23285" xr:uid="{245F7BE5-8916-4E06-A11A-9E9EB569B195}"/>
    <cellStyle name="Normal 2 4 2 4 3 3 3 2 2" xfId="40179" xr:uid="{3FC3472D-7E10-44D0-9971-C88486FF245C}"/>
    <cellStyle name="Normal 2 4 2 4 3 3 3 3" xfId="14838" xr:uid="{172A85DB-7F15-4837-AC31-050AF45F132D}"/>
    <cellStyle name="Normal 2 4 2 4 3 3 3 4" xfId="31732" xr:uid="{423B673F-75E8-473F-8CF6-D532AB6437AE}"/>
    <cellStyle name="Normal 2 4 2 4 3 3 4" xfId="19068" xr:uid="{22B55AD7-9980-42E9-BB2A-9B3C15C1EAD7}"/>
    <cellStyle name="Normal 2 4 2 4 3 3 4 2" xfId="35962" xr:uid="{5D2EE560-0F86-4431-AE71-3DEEF8001C91}"/>
    <cellStyle name="Normal 2 4 2 4 3 3 5" xfId="10621" xr:uid="{E7A65A56-E5F1-403C-8BA4-87652DB28E96}"/>
    <cellStyle name="Normal 2 4 2 4 3 3 6" xfId="27515" xr:uid="{EEBB6F10-6854-45F6-9C68-A9C16B58E86B}"/>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2 2 2" xfId="25843" xr:uid="{AE68C36F-5E34-4794-8A59-66A94C30969D}"/>
    <cellStyle name="Normal 2 4 2 4 3 4 2 2 2 2" xfId="42737" xr:uid="{631812A0-9D1A-45B6-B090-AC0084833967}"/>
    <cellStyle name="Normal 2 4 2 4 3 4 2 2 3" xfId="17396" xr:uid="{8904C6D1-7059-427B-8C8B-A42621A88D92}"/>
    <cellStyle name="Normal 2 4 2 4 3 4 2 2 4" xfId="34290" xr:uid="{BC1CF624-6408-43B3-A119-443455B4A474}"/>
    <cellStyle name="Normal 2 4 2 4 3 4 2 3" xfId="21626" xr:uid="{E6B81217-9393-4819-BADC-F755B5101E95}"/>
    <cellStyle name="Normal 2 4 2 4 3 4 2 3 2" xfId="38520" xr:uid="{7BF3CD44-CCDB-474A-A4F0-863239A9F577}"/>
    <cellStyle name="Normal 2 4 2 4 3 4 2 4" xfId="13179" xr:uid="{59C25836-EAEF-417D-96D9-85A5148883CB}"/>
    <cellStyle name="Normal 2 4 2 4 3 4 2 5" xfId="30073" xr:uid="{417D5E36-B294-417A-989A-496A50A35E54}"/>
    <cellStyle name="Normal 2 4 2 4 3 4 3" xfId="5925" xr:uid="{00000000-0005-0000-0000-00006B0F0000}"/>
    <cellStyle name="Normal 2 4 2 4 3 4 3 2" xfId="23698" xr:uid="{F39C961B-7969-4D85-92AD-E30EEF239EC8}"/>
    <cellStyle name="Normal 2 4 2 4 3 4 3 2 2" xfId="40592" xr:uid="{EBFB239E-E44C-49CB-9AFF-BE55E577B1D1}"/>
    <cellStyle name="Normal 2 4 2 4 3 4 3 3" xfId="15251" xr:uid="{CB593580-8128-46B8-9803-374A9B537D42}"/>
    <cellStyle name="Normal 2 4 2 4 3 4 3 4" xfId="32145" xr:uid="{2CF898F4-632C-4839-8DFC-3B22F07F4AFE}"/>
    <cellStyle name="Normal 2 4 2 4 3 4 4" xfId="19481" xr:uid="{5FCE9020-FD4C-45B0-9D8F-20ADBC4301A0}"/>
    <cellStyle name="Normal 2 4 2 4 3 4 4 2" xfId="36375" xr:uid="{A8EDFA3A-CCF8-4ED0-AAE9-4534B7D68154}"/>
    <cellStyle name="Normal 2 4 2 4 3 4 5" xfId="11034" xr:uid="{7999F51F-0FF8-41D7-A78F-8EAA72E39408}"/>
    <cellStyle name="Normal 2 4 2 4 3 4 6" xfId="27928" xr:uid="{458045FB-35B8-49BB-83C2-DB34696B4C9F}"/>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2 2 2" xfId="26256" xr:uid="{1708180C-2249-4FCD-BD7A-DD91B924BC3A}"/>
    <cellStyle name="Normal 2 4 2 4 3 5 2 2 2 2" xfId="43150" xr:uid="{8E12C9A5-ABD0-4839-ABB0-2FB3A5197F50}"/>
    <cellStyle name="Normal 2 4 2 4 3 5 2 2 3" xfId="17809" xr:uid="{3C56912E-4873-4D19-B555-89B129BF08D2}"/>
    <cellStyle name="Normal 2 4 2 4 3 5 2 2 4" xfId="34703" xr:uid="{82B97584-B360-4D8A-894A-76B44A733F58}"/>
    <cellStyle name="Normal 2 4 2 4 3 5 2 3" xfId="22039" xr:uid="{C6CBBC55-AB43-4E6E-80CF-2861CAE9BFE4}"/>
    <cellStyle name="Normal 2 4 2 4 3 5 2 3 2" xfId="38933" xr:uid="{A4BFCDE7-6BCA-448F-AEF2-EEE4CBCA49EA}"/>
    <cellStyle name="Normal 2 4 2 4 3 5 2 4" xfId="13592" xr:uid="{C07F79FE-04FA-4AA2-BB9A-BE29E7578B0B}"/>
    <cellStyle name="Normal 2 4 2 4 3 5 2 5" xfId="30486" xr:uid="{F7B54BA2-0457-498B-93D8-797F222C99B1}"/>
    <cellStyle name="Normal 2 4 2 4 3 5 3" xfId="6338" xr:uid="{00000000-0005-0000-0000-00006F0F0000}"/>
    <cellStyle name="Normal 2 4 2 4 3 5 3 2" xfId="24111" xr:uid="{57B1E5BC-E9BA-4FDC-AE28-57D4EB1C9CF9}"/>
    <cellStyle name="Normal 2 4 2 4 3 5 3 2 2" xfId="41005" xr:uid="{B53A5043-1753-434A-A64C-CCD6DE79DB49}"/>
    <cellStyle name="Normal 2 4 2 4 3 5 3 3" xfId="15664" xr:uid="{7B272BBF-B6D8-4A03-BCE8-7FFCC48103B2}"/>
    <cellStyle name="Normal 2 4 2 4 3 5 3 4" xfId="32558" xr:uid="{2505817E-D6A6-4C15-9B65-E98989EA8C15}"/>
    <cellStyle name="Normal 2 4 2 4 3 5 4" xfId="19894" xr:uid="{9F887404-17F0-4E64-8BEA-931B175FAB15}"/>
    <cellStyle name="Normal 2 4 2 4 3 5 4 2" xfId="36788" xr:uid="{D8BFFACB-899E-4B6E-AA01-55EBA6D80D09}"/>
    <cellStyle name="Normal 2 4 2 4 3 5 5" xfId="11447" xr:uid="{8421A6CA-739B-43FA-8DF1-5E08608DB9CD}"/>
    <cellStyle name="Normal 2 4 2 4 3 5 6" xfId="28341" xr:uid="{30D1225D-9EDD-4602-84EB-082E4FBA8671}"/>
    <cellStyle name="Normal 2 4 2 4 3 6" xfId="2468" xr:uid="{00000000-0005-0000-0000-0000700F0000}"/>
    <cellStyle name="Normal 2 4 2 4 3 6 2" xfId="6751" xr:uid="{00000000-0005-0000-0000-0000710F0000}"/>
    <cellStyle name="Normal 2 4 2 4 3 6 2 2" xfId="24524" xr:uid="{FC801710-77DF-44B9-A0AE-AC122C0A148A}"/>
    <cellStyle name="Normal 2 4 2 4 3 6 2 2 2" xfId="41418" xr:uid="{0A79FCE7-6BDE-4EB2-974A-0640EAB48AF5}"/>
    <cellStyle name="Normal 2 4 2 4 3 6 2 3" xfId="16077" xr:uid="{43390C5E-6CC5-4208-9A5E-17220EDD8B8F}"/>
    <cellStyle name="Normal 2 4 2 4 3 6 2 4" xfId="32971" xr:uid="{93C36D37-73B5-4B93-8E63-388F4B501CD4}"/>
    <cellStyle name="Normal 2 4 2 4 3 6 3" xfId="20307" xr:uid="{9C63CF68-40FE-4F0F-988B-8CA7A6E1F263}"/>
    <cellStyle name="Normal 2 4 2 4 3 6 3 2" xfId="37201" xr:uid="{97549DC8-09B6-401D-AB16-698288C6BB67}"/>
    <cellStyle name="Normal 2 4 2 4 3 6 4" xfId="11860" xr:uid="{0ACE3EA6-30CA-471C-9EBD-A5393CE55976}"/>
    <cellStyle name="Normal 2 4 2 4 3 6 5" xfId="28754" xr:uid="{9FEE8412-1E10-4E69-9B34-142F669005A1}"/>
    <cellStyle name="Normal 2 4 2 4 3 7" xfId="4685" xr:uid="{00000000-0005-0000-0000-0000720F0000}"/>
    <cellStyle name="Normal 2 4 2 4 3 7 2" xfId="22458" xr:uid="{E4017B22-3E68-4594-A176-F7A16E245D86}"/>
    <cellStyle name="Normal 2 4 2 4 3 7 2 2" xfId="39352" xr:uid="{65304F27-BBB4-4C29-99DD-4D5BDF3C4294}"/>
    <cellStyle name="Normal 2 4 2 4 3 7 3" xfId="14011" xr:uid="{8D3DD438-4B63-47F6-ADF7-DD21DCA7C7E7}"/>
    <cellStyle name="Normal 2 4 2 4 3 7 4" xfId="30905" xr:uid="{527359A8-4E0F-4EBE-8100-889BD02675FD}"/>
    <cellStyle name="Normal 2 4 2 4 3 8" xfId="9019" xr:uid="{1F22810F-FF7D-4FF4-861A-F2BA8F253428}"/>
    <cellStyle name="Normal 2 4 2 4 3 8 2" xfId="18241" xr:uid="{CF801338-0966-4461-ADF8-F32948DF3EAB}"/>
    <cellStyle name="Normal 2 4 2 4 3 8 3" xfId="35135" xr:uid="{8011230B-0C82-449F-B670-E2035342AB46}"/>
    <cellStyle name="Normal 2 4 2 4 3 9" xfId="9794" xr:uid="{3DBC3E90-F315-4DCF-9EE2-BB928FAEB79B}"/>
    <cellStyle name="Normal 2 4 2 4 4" xfId="780" xr:uid="{00000000-0005-0000-0000-0000730F0000}"/>
    <cellStyle name="Normal 2 4 2 4 4 2" xfId="3019" xr:uid="{00000000-0005-0000-0000-0000740F0000}"/>
    <cellStyle name="Normal 2 4 2 4 4 2 2" xfId="7241" xr:uid="{00000000-0005-0000-0000-0000750F0000}"/>
    <cellStyle name="Normal 2 4 2 4 4 2 2 2" xfId="25014" xr:uid="{3049BCCD-B91D-4531-81AE-BAEA6726811F}"/>
    <cellStyle name="Normal 2 4 2 4 4 2 2 2 2" xfId="41908" xr:uid="{24195493-315C-4055-A298-5DEF5808C863}"/>
    <cellStyle name="Normal 2 4 2 4 4 2 2 3" xfId="16567" xr:uid="{DDB6D163-AD1C-4E48-98F5-BE722932A106}"/>
    <cellStyle name="Normal 2 4 2 4 4 2 2 4" xfId="33461" xr:uid="{CA2F53B2-DB0A-49A0-8DD7-A35C382C2996}"/>
    <cellStyle name="Normal 2 4 2 4 4 2 3" xfId="20797" xr:uid="{0DF7CC0F-1C8E-4638-A9EB-BE94F7B0F9AF}"/>
    <cellStyle name="Normal 2 4 2 4 4 2 3 2" xfId="37691" xr:uid="{E10159D5-E3B5-4C90-820C-98EAD0B4EB52}"/>
    <cellStyle name="Normal 2 4 2 4 4 2 4" xfId="12350" xr:uid="{CEE6E26D-38F7-4FC8-91C2-C1BBA8BD5BC2}"/>
    <cellStyle name="Normal 2 4 2 4 4 2 5" xfId="29244" xr:uid="{206FB4B2-D92B-49F5-9D5F-E6D68F7CCE1E}"/>
    <cellStyle name="Normal 2 4 2 4 4 3" xfId="5096" xr:uid="{00000000-0005-0000-0000-0000760F0000}"/>
    <cellStyle name="Normal 2 4 2 4 4 3 2" xfId="22869" xr:uid="{C8A1B892-46ED-469F-8F1C-DC0DD0BEAA5F}"/>
    <cellStyle name="Normal 2 4 2 4 4 3 2 2" xfId="39763" xr:uid="{88C7F1BD-BE5C-4AEF-BA99-2B63FF0B1BA7}"/>
    <cellStyle name="Normal 2 4 2 4 4 3 3" xfId="14422" xr:uid="{D8931AD0-A06C-4104-832F-642524888FC1}"/>
    <cellStyle name="Normal 2 4 2 4 4 3 4" xfId="31316" xr:uid="{1EA5BCA6-DE86-49AC-A63E-767ADB8EA615}"/>
    <cellStyle name="Normal 2 4 2 4 4 4" xfId="9237" xr:uid="{FF4B133D-A40B-4895-9E3D-E727B18E66C8}"/>
    <cellStyle name="Normal 2 4 2 4 4 4 2" xfId="18652" xr:uid="{6F56113D-AA03-4EAF-9FDD-3E4294A8B9DA}"/>
    <cellStyle name="Normal 2 4 2 4 4 4 3" xfId="35546" xr:uid="{8C66EB37-10CD-499D-9B8C-A14C681DA00C}"/>
    <cellStyle name="Normal 2 4 2 4 4 5" xfId="10205" xr:uid="{B0C0E029-BF16-485F-8055-98289CFED499}"/>
    <cellStyle name="Normal 2 4 2 4 4 6" xfId="27099" xr:uid="{49DE8932-C411-44E3-AF82-E0839A1574EC}"/>
    <cellStyle name="Normal 2 4 2 4 5" xfId="1202" xr:uid="{00000000-0005-0000-0000-0000770F0000}"/>
    <cellStyle name="Normal 2 4 2 4 5 2" xfId="3432" xr:uid="{00000000-0005-0000-0000-0000780F0000}"/>
    <cellStyle name="Normal 2 4 2 4 5 2 2" xfId="7654" xr:uid="{00000000-0005-0000-0000-0000790F0000}"/>
    <cellStyle name="Normal 2 4 2 4 5 2 2 2" xfId="25427" xr:uid="{9CEF854C-F1C7-474A-AAD8-FEE84A11E560}"/>
    <cellStyle name="Normal 2 4 2 4 5 2 2 2 2" xfId="42321" xr:uid="{974CB72E-7FEE-4BFD-9466-32E9A257BF41}"/>
    <cellStyle name="Normal 2 4 2 4 5 2 2 3" xfId="16980" xr:uid="{2E428E9F-A95D-4137-9F82-F35AE1CEFFFA}"/>
    <cellStyle name="Normal 2 4 2 4 5 2 2 4" xfId="33874" xr:uid="{FF0F493E-0AC5-4656-B872-4194DB31220D}"/>
    <cellStyle name="Normal 2 4 2 4 5 2 3" xfId="21210" xr:uid="{5E6E8587-412F-46A4-AF68-388D2F5DD940}"/>
    <cellStyle name="Normal 2 4 2 4 5 2 3 2" xfId="38104" xr:uid="{936A0097-DDAD-462F-8C89-7BFC8194B0BD}"/>
    <cellStyle name="Normal 2 4 2 4 5 2 4" xfId="12763" xr:uid="{3B62C2C9-4FB3-4591-8280-B302E04A4E52}"/>
    <cellStyle name="Normal 2 4 2 4 5 2 5" xfId="29657" xr:uid="{C4DEF5C7-CCF2-4E6E-A1CE-9E37F32ACB51}"/>
    <cellStyle name="Normal 2 4 2 4 5 3" xfId="5509" xr:uid="{00000000-0005-0000-0000-00007A0F0000}"/>
    <cellStyle name="Normal 2 4 2 4 5 3 2" xfId="23282" xr:uid="{FA3D6CF6-901F-496B-B93C-9E422D35D34C}"/>
    <cellStyle name="Normal 2 4 2 4 5 3 2 2" xfId="40176" xr:uid="{1901B0CD-1F32-48A5-BB17-6000AFA72327}"/>
    <cellStyle name="Normal 2 4 2 4 5 3 3" xfId="14835" xr:uid="{676593E4-1510-40FA-BC8B-1403DE76FDA5}"/>
    <cellStyle name="Normal 2 4 2 4 5 3 4" xfId="31729" xr:uid="{F329DF7A-AA50-4600-A66F-C15BD9197219}"/>
    <cellStyle name="Normal 2 4 2 4 5 4" xfId="19065" xr:uid="{EE24AC81-5BE3-49FC-9611-DF31B95BB755}"/>
    <cellStyle name="Normal 2 4 2 4 5 4 2" xfId="35959" xr:uid="{5DDDF164-A8A6-4421-98C7-342E8BA16AE0}"/>
    <cellStyle name="Normal 2 4 2 4 5 5" xfId="10618" xr:uid="{38C9E404-408F-4826-B21E-BFD9163890C7}"/>
    <cellStyle name="Normal 2 4 2 4 5 6" xfId="27512" xr:uid="{82FBC6BA-4641-404A-AAE3-6F9FBEF4769E}"/>
    <cellStyle name="Normal 2 4 2 4 6" xfId="1615" xr:uid="{00000000-0005-0000-0000-00007B0F0000}"/>
    <cellStyle name="Normal 2 4 2 4 6 2" xfId="3845" xr:uid="{00000000-0005-0000-0000-00007C0F0000}"/>
    <cellStyle name="Normal 2 4 2 4 6 2 2" xfId="8067" xr:uid="{00000000-0005-0000-0000-00007D0F0000}"/>
    <cellStyle name="Normal 2 4 2 4 6 2 2 2" xfId="25840" xr:uid="{66539922-A521-4C9F-B40A-8B0F176C8556}"/>
    <cellStyle name="Normal 2 4 2 4 6 2 2 2 2" xfId="42734" xr:uid="{F23739EF-770C-48A4-B6ED-B61A9350C89E}"/>
    <cellStyle name="Normal 2 4 2 4 6 2 2 3" xfId="17393" xr:uid="{B9DAA703-C054-4BD9-8E20-4B509E25ECAE}"/>
    <cellStyle name="Normal 2 4 2 4 6 2 2 4" xfId="34287" xr:uid="{4DD38B3D-1BC8-4318-9C9E-7ACF62A3E119}"/>
    <cellStyle name="Normal 2 4 2 4 6 2 3" xfId="21623" xr:uid="{B48E2D3C-3FC0-4648-9C65-971C46250514}"/>
    <cellStyle name="Normal 2 4 2 4 6 2 3 2" xfId="38517" xr:uid="{C432C4B4-CDAF-468E-B63C-662CC8F1B567}"/>
    <cellStyle name="Normal 2 4 2 4 6 2 4" xfId="13176" xr:uid="{C5DDBE33-8642-4880-8E7E-8D542B5E3D6D}"/>
    <cellStyle name="Normal 2 4 2 4 6 2 5" xfId="30070" xr:uid="{B8E08FC0-3459-4C35-8275-7F26553A18FB}"/>
    <cellStyle name="Normal 2 4 2 4 6 3" xfId="5922" xr:uid="{00000000-0005-0000-0000-00007E0F0000}"/>
    <cellStyle name="Normal 2 4 2 4 6 3 2" xfId="23695" xr:uid="{5172ED8E-755E-478E-99DC-E22C474C2824}"/>
    <cellStyle name="Normal 2 4 2 4 6 3 2 2" xfId="40589" xr:uid="{D1CAABAB-38DE-43B7-BFF0-22538A24AA10}"/>
    <cellStyle name="Normal 2 4 2 4 6 3 3" xfId="15248" xr:uid="{561EDA4C-6620-4C17-91E2-51EB36066D29}"/>
    <cellStyle name="Normal 2 4 2 4 6 3 4" xfId="32142" xr:uid="{81E803A6-95C7-4DEB-AA6F-232E6D3DBACB}"/>
    <cellStyle name="Normal 2 4 2 4 6 4" xfId="19478" xr:uid="{D2D9CF6F-56C5-4D56-B9AD-2D081A34EE6B}"/>
    <cellStyle name="Normal 2 4 2 4 6 4 2" xfId="36372" xr:uid="{906054E8-C72C-4A91-AEF3-636BF6351E9F}"/>
    <cellStyle name="Normal 2 4 2 4 6 5" xfId="11031" xr:uid="{56B6B713-7A30-4DB9-9038-8742095233A8}"/>
    <cellStyle name="Normal 2 4 2 4 6 6" xfId="27925" xr:uid="{B6844380-9117-4F03-AD6A-A81616F1E818}"/>
    <cellStyle name="Normal 2 4 2 4 7" xfId="2029" xr:uid="{00000000-0005-0000-0000-00007F0F0000}"/>
    <cellStyle name="Normal 2 4 2 4 7 2" xfId="4258" xr:uid="{00000000-0005-0000-0000-0000800F0000}"/>
    <cellStyle name="Normal 2 4 2 4 7 2 2" xfId="8480" xr:uid="{00000000-0005-0000-0000-0000810F0000}"/>
    <cellStyle name="Normal 2 4 2 4 7 2 2 2" xfId="26253" xr:uid="{D5AB20E4-C1AE-4BF0-94D8-9FFDBAE0DC18}"/>
    <cellStyle name="Normal 2 4 2 4 7 2 2 2 2" xfId="43147" xr:uid="{E42BB0A5-F8A5-40D3-A461-28D4494C01CE}"/>
    <cellStyle name="Normal 2 4 2 4 7 2 2 3" xfId="17806" xr:uid="{EE9EC9EA-8E21-41E1-901F-187258BAC296}"/>
    <cellStyle name="Normal 2 4 2 4 7 2 2 4" xfId="34700" xr:uid="{7F0141E4-71EF-4103-AB58-169CB5F5ED66}"/>
    <cellStyle name="Normal 2 4 2 4 7 2 3" xfId="22036" xr:uid="{398734B3-DCB2-4550-91D6-9EC1B5C71E67}"/>
    <cellStyle name="Normal 2 4 2 4 7 2 3 2" xfId="38930" xr:uid="{7EBB9DBB-007E-4CCC-8067-56D2FA33E49A}"/>
    <cellStyle name="Normal 2 4 2 4 7 2 4" xfId="13589" xr:uid="{A311F15A-00C7-45D2-A8B4-12AE05D7458D}"/>
    <cellStyle name="Normal 2 4 2 4 7 2 5" xfId="30483" xr:uid="{29677B14-08EE-448E-A125-D759F256EA4B}"/>
    <cellStyle name="Normal 2 4 2 4 7 3" xfId="6335" xr:uid="{00000000-0005-0000-0000-0000820F0000}"/>
    <cellStyle name="Normal 2 4 2 4 7 3 2" xfId="24108" xr:uid="{1F4CA668-0DD3-4710-A690-826A97C11CCA}"/>
    <cellStyle name="Normal 2 4 2 4 7 3 2 2" xfId="41002" xr:uid="{6BF9CF5D-E209-447F-B471-C5BB35B3DB2F}"/>
    <cellStyle name="Normal 2 4 2 4 7 3 3" xfId="15661" xr:uid="{CF3C38B9-D6A9-4BA0-B3B2-E19323DD2280}"/>
    <cellStyle name="Normal 2 4 2 4 7 3 4" xfId="32555" xr:uid="{6DA51D4C-758F-4588-A9CC-D416E5D33908}"/>
    <cellStyle name="Normal 2 4 2 4 7 4" xfId="19891" xr:uid="{46AEE844-6974-4961-8F11-203D85652244}"/>
    <cellStyle name="Normal 2 4 2 4 7 4 2" xfId="36785" xr:uid="{432AF151-E2B0-4B65-A36F-060FF3AFB5CC}"/>
    <cellStyle name="Normal 2 4 2 4 7 5" xfId="11444" xr:uid="{B4A0C0F6-9393-4F12-AB87-47DB69AC83A9}"/>
    <cellStyle name="Normal 2 4 2 4 7 6" xfId="28338" xr:uid="{62E25EA3-2F12-4839-9945-5571253E3666}"/>
    <cellStyle name="Normal 2 4 2 4 8" xfId="2465" xr:uid="{00000000-0005-0000-0000-0000830F0000}"/>
    <cellStyle name="Normal 2 4 2 4 8 2" xfId="6748" xr:uid="{00000000-0005-0000-0000-0000840F0000}"/>
    <cellStyle name="Normal 2 4 2 4 8 2 2" xfId="24521" xr:uid="{966F56FC-2B59-41FB-A100-8D9E7F54646F}"/>
    <cellStyle name="Normal 2 4 2 4 8 2 2 2" xfId="41415" xr:uid="{FB334DB5-EFD5-4ADD-8328-F788E93647E3}"/>
    <cellStyle name="Normal 2 4 2 4 8 2 3" xfId="16074" xr:uid="{5CE24065-6CC1-4595-B173-717C43210E2C}"/>
    <cellStyle name="Normal 2 4 2 4 8 2 4" xfId="32968" xr:uid="{BBE62751-1B47-4045-AD69-A80906AAF977}"/>
    <cellStyle name="Normal 2 4 2 4 8 3" xfId="20304" xr:uid="{6E0B8511-B189-4300-9949-684EE1847016}"/>
    <cellStyle name="Normal 2 4 2 4 8 3 2" xfId="37198" xr:uid="{879A0A9A-5916-4549-A934-FBE76E143217}"/>
    <cellStyle name="Normal 2 4 2 4 8 4" xfId="11857" xr:uid="{45A00828-3D8A-4F78-98B4-F116F7E5579F}"/>
    <cellStyle name="Normal 2 4 2 4 8 5" xfId="28751" xr:uid="{B82AC155-D931-420E-8AC2-108FF69F6478}"/>
    <cellStyle name="Normal 2 4 2 4 9" xfId="4682" xr:uid="{00000000-0005-0000-0000-0000850F0000}"/>
    <cellStyle name="Normal 2 4 2 4 9 2" xfId="22455" xr:uid="{1252522F-59D7-4EE1-B207-8B59308F025B}"/>
    <cellStyle name="Normal 2 4 2 4 9 2 2" xfId="39349" xr:uid="{63585FED-A0FB-42DB-BAE6-A245BD79821C}"/>
    <cellStyle name="Normal 2 4 2 4 9 3" xfId="14008" xr:uid="{2BBBED96-9082-4E32-8BFD-954AD76F0721}"/>
    <cellStyle name="Normal 2 4 2 4 9 4" xfId="30902" xr:uid="{1CC272F2-6A9B-43C1-8EC4-D66AB99D8391}"/>
    <cellStyle name="Normal 2 4 2 5" xfId="293" xr:uid="{00000000-0005-0000-0000-0000860F0000}"/>
    <cellStyle name="Normal 2 4 2 5 10" xfId="9795" xr:uid="{1E543BE2-0797-4E03-8E7D-5DA8CA264DB2}"/>
    <cellStyle name="Normal 2 4 2 5 11" xfId="26689" xr:uid="{AA9BA14D-0CDB-4DD5-8E9D-E0CC3B8C496A}"/>
    <cellStyle name="Normal 2 4 2 5 2" xfId="294" xr:uid="{00000000-0005-0000-0000-0000870F0000}"/>
    <cellStyle name="Normal 2 4 2 5 2 10" xfId="26690" xr:uid="{2D75049F-C997-48F6-87DB-F111DAE198AF}"/>
    <cellStyle name="Normal 2 4 2 5 2 2" xfId="785" xr:uid="{00000000-0005-0000-0000-0000880F0000}"/>
    <cellStyle name="Normal 2 4 2 5 2 2 2" xfId="3024" xr:uid="{00000000-0005-0000-0000-0000890F0000}"/>
    <cellStyle name="Normal 2 4 2 5 2 2 2 2" xfId="7246" xr:uid="{00000000-0005-0000-0000-00008A0F0000}"/>
    <cellStyle name="Normal 2 4 2 5 2 2 2 2 2" xfId="25019" xr:uid="{97CC0F51-E0B5-48E6-A027-DBCE09A312A6}"/>
    <cellStyle name="Normal 2 4 2 5 2 2 2 2 2 2" xfId="41913" xr:uid="{B4ED484A-C196-4A24-B2F8-8DCF132F8067}"/>
    <cellStyle name="Normal 2 4 2 5 2 2 2 2 3" xfId="16572" xr:uid="{E4D81C84-20F8-483F-BC85-14A3679C2CB0}"/>
    <cellStyle name="Normal 2 4 2 5 2 2 2 2 4" xfId="33466" xr:uid="{C74B6363-BD70-4973-93DF-30DFAE4C55F6}"/>
    <cellStyle name="Normal 2 4 2 5 2 2 2 3" xfId="20802" xr:uid="{312DECF2-76E4-415C-97F2-E14B0E6B2F3E}"/>
    <cellStyle name="Normal 2 4 2 5 2 2 2 3 2" xfId="37696" xr:uid="{FA886CE3-44EB-419C-A9E4-754098990AB3}"/>
    <cellStyle name="Normal 2 4 2 5 2 2 2 4" xfId="12355" xr:uid="{D2D230E7-4E06-41BD-AACA-774E99CC97BC}"/>
    <cellStyle name="Normal 2 4 2 5 2 2 2 5" xfId="29249" xr:uid="{D1E55D40-A5EF-44A9-B732-2179B058277E}"/>
    <cellStyle name="Normal 2 4 2 5 2 2 3" xfId="5101" xr:uid="{00000000-0005-0000-0000-00008B0F0000}"/>
    <cellStyle name="Normal 2 4 2 5 2 2 3 2" xfId="22874" xr:uid="{D1375221-0987-499F-B860-A141DD55E413}"/>
    <cellStyle name="Normal 2 4 2 5 2 2 3 2 2" xfId="39768" xr:uid="{79AA2B84-F91E-4042-BEF6-7E3B8446FAE1}"/>
    <cellStyle name="Normal 2 4 2 5 2 2 3 3" xfId="14427" xr:uid="{CACCCEB6-E671-402B-9400-0EF92A9D6535}"/>
    <cellStyle name="Normal 2 4 2 5 2 2 3 4" xfId="31321" xr:uid="{F7385B45-2B96-43E3-9367-B204192BB9EA}"/>
    <cellStyle name="Normal 2 4 2 5 2 2 4" xfId="9492" xr:uid="{07DC9204-2F52-408E-80EE-617A106DD9FD}"/>
    <cellStyle name="Normal 2 4 2 5 2 2 4 2" xfId="18657" xr:uid="{26363A96-539C-486A-895E-36E9A39ED841}"/>
    <cellStyle name="Normal 2 4 2 5 2 2 4 3" xfId="35551" xr:uid="{2CD07486-BA9D-4088-9F84-3D1697F98F91}"/>
    <cellStyle name="Normal 2 4 2 5 2 2 5" xfId="10210" xr:uid="{7287CC2A-6FB4-4E75-9D5A-6616D3BB4614}"/>
    <cellStyle name="Normal 2 4 2 5 2 2 6" xfId="27104" xr:uid="{0306FC6A-BC32-4597-B6B1-3A898A7C5FE0}"/>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2 2 2" xfId="25432" xr:uid="{0F08A950-C782-45A8-8C57-3DF3FD78A529}"/>
    <cellStyle name="Normal 2 4 2 5 2 3 2 2 2 2" xfId="42326" xr:uid="{30C22037-6ED7-44F2-9601-6519EF957F9C}"/>
    <cellStyle name="Normal 2 4 2 5 2 3 2 2 3" xfId="16985" xr:uid="{22C2DADC-AABD-4434-BC6C-6EFD08A13E7F}"/>
    <cellStyle name="Normal 2 4 2 5 2 3 2 2 4" xfId="33879" xr:uid="{7B560F5C-8935-4CB4-87A3-30798B453897}"/>
    <cellStyle name="Normal 2 4 2 5 2 3 2 3" xfId="21215" xr:uid="{46C9239C-DD3B-412F-902E-7B68727017AC}"/>
    <cellStyle name="Normal 2 4 2 5 2 3 2 3 2" xfId="38109" xr:uid="{7E730EBA-D997-4B42-8467-CAB16795458E}"/>
    <cellStyle name="Normal 2 4 2 5 2 3 2 4" xfId="12768" xr:uid="{4FC0E378-9942-4015-A892-19DA879BF09A}"/>
    <cellStyle name="Normal 2 4 2 5 2 3 2 5" xfId="29662" xr:uid="{AAA8D37A-6D3B-4A3F-A101-90B8E6828714}"/>
    <cellStyle name="Normal 2 4 2 5 2 3 3" xfId="5514" xr:uid="{00000000-0005-0000-0000-00008F0F0000}"/>
    <cellStyle name="Normal 2 4 2 5 2 3 3 2" xfId="23287" xr:uid="{ACB2DE68-D355-4BF2-BC97-6F961B8DAA2D}"/>
    <cellStyle name="Normal 2 4 2 5 2 3 3 2 2" xfId="40181" xr:uid="{881C5C7D-CEC4-4AE9-8349-E991F186513F}"/>
    <cellStyle name="Normal 2 4 2 5 2 3 3 3" xfId="14840" xr:uid="{D125B5F2-4865-4763-988B-5EFD9ED8A154}"/>
    <cellStyle name="Normal 2 4 2 5 2 3 3 4" xfId="31734" xr:uid="{4A46D303-7511-4144-A2C2-E2CDF2BB90D9}"/>
    <cellStyle name="Normal 2 4 2 5 2 3 4" xfId="19070" xr:uid="{A026CFAF-7293-48CE-B56C-C95F9C214D2C}"/>
    <cellStyle name="Normal 2 4 2 5 2 3 4 2" xfId="35964" xr:uid="{0B3E9DE1-A0D3-4351-91B3-02DC6E7756E5}"/>
    <cellStyle name="Normal 2 4 2 5 2 3 5" xfId="10623" xr:uid="{8DEEF0B0-23B7-4560-A49E-7D41AF2A3129}"/>
    <cellStyle name="Normal 2 4 2 5 2 3 6" xfId="27517" xr:uid="{18CF15E8-B83E-482A-9906-6D3203920B76}"/>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2 2 2" xfId="25845" xr:uid="{0C76D40D-A3A5-46EF-9CC2-5D0F205EF9E8}"/>
    <cellStyle name="Normal 2 4 2 5 2 4 2 2 2 2" xfId="42739" xr:uid="{D80BDCB0-074D-4507-8763-674AD449B9B2}"/>
    <cellStyle name="Normal 2 4 2 5 2 4 2 2 3" xfId="17398" xr:uid="{109913A5-076C-47FE-9571-2A1E6A435766}"/>
    <cellStyle name="Normal 2 4 2 5 2 4 2 2 4" xfId="34292" xr:uid="{14846402-7006-45B4-8ED5-4370B1E9613D}"/>
    <cellStyle name="Normal 2 4 2 5 2 4 2 3" xfId="21628" xr:uid="{E6903CB5-DBC3-4D56-A562-62D1D152CA97}"/>
    <cellStyle name="Normal 2 4 2 5 2 4 2 3 2" xfId="38522" xr:uid="{03792318-D078-423F-9C0D-8A378EC43FDB}"/>
    <cellStyle name="Normal 2 4 2 5 2 4 2 4" xfId="13181" xr:uid="{076DA082-A358-49B5-B547-7C66915714C5}"/>
    <cellStyle name="Normal 2 4 2 5 2 4 2 5" xfId="30075" xr:uid="{AE1620F6-63EE-4DD4-8360-D47F33018C20}"/>
    <cellStyle name="Normal 2 4 2 5 2 4 3" xfId="5927" xr:uid="{00000000-0005-0000-0000-0000930F0000}"/>
    <cellStyle name="Normal 2 4 2 5 2 4 3 2" xfId="23700" xr:uid="{40A8B62B-DE19-4B10-B99B-647783C4A1BF}"/>
    <cellStyle name="Normal 2 4 2 5 2 4 3 2 2" xfId="40594" xr:uid="{DDDFC4F6-3F94-4563-AA1C-3FF6A4E322F8}"/>
    <cellStyle name="Normal 2 4 2 5 2 4 3 3" xfId="15253" xr:uid="{C49C5DB4-0648-493D-AFEE-7BF895DB1B60}"/>
    <cellStyle name="Normal 2 4 2 5 2 4 3 4" xfId="32147" xr:uid="{DA1364FE-3287-4A28-8AA3-DBB0899B26C1}"/>
    <cellStyle name="Normal 2 4 2 5 2 4 4" xfId="19483" xr:uid="{E8B4A87D-39C0-4752-883C-13C88ED7F49A}"/>
    <cellStyle name="Normal 2 4 2 5 2 4 4 2" xfId="36377" xr:uid="{80D555EE-F60B-4A09-87B7-B95A19100DCB}"/>
    <cellStyle name="Normal 2 4 2 5 2 4 5" xfId="11036" xr:uid="{81CE1B91-9C6B-44E8-B084-7DED85CBFDB4}"/>
    <cellStyle name="Normal 2 4 2 5 2 4 6" xfId="27930" xr:uid="{AA2E260E-A4CD-49C4-9D45-A709807C33D3}"/>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2 2 2" xfId="26258" xr:uid="{65E86235-A86E-4F99-BB45-E3DEE94EFA4B}"/>
    <cellStyle name="Normal 2 4 2 5 2 5 2 2 2 2" xfId="43152" xr:uid="{0280AA38-0D13-4A0D-8456-F6986F1A84AE}"/>
    <cellStyle name="Normal 2 4 2 5 2 5 2 2 3" xfId="17811" xr:uid="{F77ADC28-D737-4AAD-BA8F-B8AA87ADF5E2}"/>
    <cellStyle name="Normal 2 4 2 5 2 5 2 2 4" xfId="34705" xr:uid="{1F2B0B37-84C3-4021-BAE1-32A065004511}"/>
    <cellStyle name="Normal 2 4 2 5 2 5 2 3" xfId="22041" xr:uid="{EB89105A-1449-4F73-8C64-EB581C6A4F06}"/>
    <cellStyle name="Normal 2 4 2 5 2 5 2 3 2" xfId="38935" xr:uid="{EB3DE52E-0D3C-4787-9822-917801304B0C}"/>
    <cellStyle name="Normal 2 4 2 5 2 5 2 4" xfId="13594" xr:uid="{66B2BAC5-8271-4172-8F96-03445E61CDF2}"/>
    <cellStyle name="Normal 2 4 2 5 2 5 2 5" xfId="30488" xr:uid="{0EDBFBFC-8D7F-4A13-A6F1-759A58199565}"/>
    <cellStyle name="Normal 2 4 2 5 2 5 3" xfId="6340" xr:uid="{00000000-0005-0000-0000-0000970F0000}"/>
    <cellStyle name="Normal 2 4 2 5 2 5 3 2" xfId="24113" xr:uid="{B759F99D-CC83-46E6-BB95-0AC883A9B5CD}"/>
    <cellStyle name="Normal 2 4 2 5 2 5 3 2 2" xfId="41007" xr:uid="{FC50DBE8-4A93-4CED-B2CD-7879C276FE0B}"/>
    <cellStyle name="Normal 2 4 2 5 2 5 3 3" xfId="15666" xr:uid="{37D0069B-4843-4B1D-ABE9-E6E4AB7F3FA5}"/>
    <cellStyle name="Normal 2 4 2 5 2 5 3 4" xfId="32560" xr:uid="{6A63E61D-94CA-46F1-82BB-F7E7BCC06C14}"/>
    <cellStyle name="Normal 2 4 2 5 2 5 4" xfId="19896" xr:uid="{74818DB5-8CA1-4224-98A8-07BC35F36591}"/>
    <cellStyle name="Normal 2 4 2 5 2 5 4 2" xfId="36790" xr:uid="{67D9779C-EB80-4945-83EE-34F11645C5F5}"/>
    <cellStyle name="Normal 2 4 2 5 2 5 5" xfId="11449" xr:uid="{BEEA76CA-B01F-4F15-9ACB-DD72027F06C3}"/>
    <cellStyle name="Normal 2 4 2 5 2 5 6" xfId="28343" xr:uid="{2A040FE8-647D-467F-8262-A2B57C18D895}"/>
    <cellStyle name="Normal 2 4 2 5 2 6" xfId="2470" xr:uid="{00000000-0005-0000-0000-0000980F0000}"/>
    <cellStyle name="Normal 2 4 2 5 2 6 2" xfId="6753" xr:uid="{00000000-0005-0000-0000-0000990F0000}"/>
    <cellStyle name="Normal 2 4 2 5 2 6 2 2" xfId="24526" xr:uid="{54DF88E6-5995-4482-9448-770C14D49D10}"/>
    <cellStyle name="Normal 2 4 2 5 2 6 2 2 2" xfId="41420" xr:uid="{50F05686-763E-43A9-9E12-51B85C4EA9F2}"/>
    <cellStyle name="Normal 2 4 2 5 2 6 2 3" xfId="16079" xr:uid="{B325E67A-9722-4592-8BDC-17E89FCE4B9A}"/>
    <cellStyle name="Normal 2 4 2 5 2 6 2 4" xfId="32973" xr:uid="{54A034E4-F9AE-4E32-8E62-4F4316561905}"/>
    <cellStyle name="Normal 2 4 2 5 2 6 3" xfId="20309" xr:uid="{67CC6247-3BCA-41FA-AC51-BC96036F20DE}"/>
    <cellStyle name="Normal 2 4 2 5 2 6 3 2" xfId="37203" xr:uid="{DDE625E4-63B4-4B7E-B2B3-C1B7851499F2}"/>
    <cellStyle name="Normal 2 4 2 5 2 6 4" xfId="11862" xr:uid="{07F458BD-B60D-4CCE-A5C9-2E3CF18E1851}"/>
    <cellStyle name="Normal 2 4 2 5 2 6 5" xfId="28756" xr:uid="{8E6913E7-9044-4DA4-ACED-0CB209FEAD85}"/>
    <cellStyle name="Normal 2 4 2 5 2 7" xfId="4687" xr:uid="{00000000-0005-0000-0000-00009A0F0000}"/>
    <cellStyle name="Normal 2 4 2 5 2 7 2" xfId="22460" xr:uid="{AE7616F1-C095-474A-9B93-36EDF9EA5D3D}"/>
    <cellStyle name="Normal 2 4 2 5 2 7 2 2" xfId="39354" xr:uid="{75F308F3-FFEC-4E32-9EFB-B3AD4CFBAD40}"/>
    <cellStyle name="Normal 2 4 2 5 2 7 3" xfId="14013" xr:uid="{9193F4AD-BE5A-44BC-8F88-A4C3B9AF4B3B}"/>
    <cellStyle name="Normal 2 4 2 5 2 7 4" xfId="30907" xr:uid="{264E8371-1CB3-4E63-A97E-B29E74DDFBAC}"/>
    <cellStyle name="Normal 2 4 2 5 2 8" xfId="9067" xr:uid="{89D5CB5A-ADE0-44B8-BC1E-FDE984B579C9}"/>
    <cellStyle name="Normal 2 4 2 5 2 8 2" xfId="18243" xr:uid="{0A2290FD-5493-446F-80D4-355106DB02F0}"/>
    <cellStyle name="Normal 2 4 2 5 2 8 3" xfId="35137" xr:uid="{9896BA2D-43CB-4E30-9823-D0EA758F6999}"/>
    <cellStyle name="Normal 2 4 2 5 2 9" xfId="9796" xr:uid="{77D98BEC-B4D8-4593-AB36-42D71D3E4681}"/>
    <cellStyle name="Normal 2 4 2 5 3" xfId="784" xr:uid="{00000000-0005-0000-0000-00009B0F0000}"/>
    <cellStyle name="Normal 2 4 2 5 3 2" xfId="3023" xr:uid="{00000000-0005-0000-0000-00009C0F0000}"/>
    <cellStyle name="Normal 2 4 2 5 3 2 2" xfId="7245" xr:uid="{00000000-0005-0000-0000-00009D0F0000}"/>
    <cellStyle name="Normal 2 4 2 5 3 2 2 2" xfId="25018" xr:uid="{F7E3637C-740C-41EA-B1F3-07A6290592D9}"/>
    <cellStyle name="Normal 2 4 2 5 3 2 2 2 2" xfId="41912" xr:uid="{230124D9-A75D-44BB-9AEE-3A466E75CCFD}"/>
    <cellStyle name="Normal 2 4 2 5 3 2 2 3" xfId="16571" xr:uid="{8CC5F79F-783A-417D-A894-71B6D15565C9}"/>
    <cellStyle name="Normal 2 4 2 5 3 2 2 4" xfId="33465" xr:uid="{CFA574A0-3821-4FB1-8CA7-BA94EB44C7A8}"/>
    <cellStyle name="Normal 2 4 2 5 3 2 3" xfId="20801" xr:uid="{50F4CA87-2E6D-4A3C-A272-D04E2D78352C}"/>
    <cellStyle name="Normal 2 4 2 5 3 2 3 2" xfId="37695" xr:uid="{F5AA0980-0005-4EC3-94EA-D15B4569CDC5}"/>
    <cellStyle name="Normal 2 4 2 5 3 2 4" xfId="12354" xr:uid="{9CBA1066-C10D-459F-BF70-2B1F40C6ABFF}"/>
    <cellStyle name="Normal 2 4 2 5 3 2 5" xfId="29248" xr:uid="{1BD4FE35-4A85-4C17-B810-E9A829F5A8BB}"/>
    <cellStyle name="Normal 2 4 2 5 3 3" xfId="5100" xr:uid="{00000000-0005-0000-0000-00009E0F0000}"/>
    <cellStyle name="Normal 2 4 2 5 3 3 2" xfId="22873" xr:uid="{1D642666-B47C-419F-ABA5-BF86B1DC1740}"/>
    <cellStyle name="Normal 2 4 2 5 3 3 2 2" xfId="39767" xr:uid="{0CC1D9CA-ACE8-4620-A1A0-D6890C851718}"/>
    <cellStyle name="Normal 2 4 2 5 3 3 3" xfId="14426" xr:uid="{0215A07A-F3C7-4046-8219-99C33DE9AD50}"/>
    <cellStyle name="Normal 2 4 2 5 3 3 4" xfId="31320" xr:uid="{2120E245-39C9-437C-B5E8-6658546D351A}"/>
    <cellStyle name="Normal 2 4 2 5 3 4" xfId="9285" xr:uid="{5DA39FB9-904E-46D3-8E24-58BF2F19DA5B}"/>
    <cellStyle name="Normal 2 4 2 5 3 4 2" xfId="18656" xr:uid="{6C3C09F2-F0C4-48F6-9A54-F46E5DC63F59}"/>
    <cellStyle name="Normal 2 4 2 5 3 4 3" xfId="35550" xr:uid="{80952D4C-B06B-414E-8807-C1DB883B8E37}"/>
    <cellStyle name="Normal 2 4 2 5 3 5" xfId="10209" xr:uid="{249C761F-4E7E-4BD2-82C9-9FBDA42D65EA}"/>
    <cellStyle name="Normal 2 4 2 5 3 6" xfId="27103" xr:uid="{8A4CCDB8-D4CD-481B-A69E-5761E946524F}"/>
    <cellStyle name="Normal 2 4 2 5 4" xfId="1206" xr:uid="{00000000-0005-0000-0000-00009F0F0000}"/>
    <cellStyle name="Normal 2 4 2 5 4 2" xfId="3436" xr:uid="{00000000-0005-0000-0000-0000A00F0000}"/>
    <cellStyle name="Normal 2 4 2 5 4 2 2" xfId="7658" xr:uid="{00000000-0005-0000-0000-0000A10F0000}"/>
    <cellStyle name="Normal 2 4 2 5 4 2 2 2" xfId="25431" xr:uid="{BD15C7AB-CADD-491F-B87E-B0213F1EEFF4}"/>
    <cellStyle name="Normal 2 4 2 5 4 2 2 2 2" xfId="42325" xr:uid="{DD10597B-C435-4F26-BBB2-6B12A26E6B09}"/>
    <cellStyle name="Normal 2 4 2 5 4 2 2 3" xfId="16984" xr:uid="{ADBA53C4-41D7-40F2-AA2B-15E0F863C1A2}"/>
    <cellStyle name="Normal 2 4 2 5 4 2 2 4" xfId="33878" xr:uid="{9649E9A3-AADB-48A5-9290-069527A2CC4D}"/>
    <cellStyle name="Normal 2 4 2 5 4 2 3" xfId="21214" xr:uid="{19127598-1A24-44AE-9827-41E8B036529E}"/>
    <cellStyle name="Normal 2 4 2 5 4 2 3 2" xfId="38108" xr:uid="{75689172-921E-4401-9AE5-99B54EC7914E}"/>
    <cellStyle name="Normal 2 4 2 5 4 2 4" xfId="12767" xr:uid="{64C94CFE-1923-42F8-8188-5F035976B5EF}"/>
    <cellStyle name="Normal 2 4 2 5 4 2 5" xfId="29661" xr:uid="{7E1ACD1B-7602-4188-9FA6-3BE1343D6AB3}"/>
    <cellStyle name="Normal 2 4 2 5 4 3" xfId="5513" xr:uid="{00000000-0005-0000-0000-0000A20F0000}"/>
    <cellStyle name="Normal 2 4 2 5 4 3 2" xfId="23286" xr:uid="{F056515B-F617-436D-B2EE-5A5921C7CCC6}"/>
    <cellStyle name="Normal 2 4 2 5 4 3 2 2" xfId="40180" xr:uid="{562B0141-D2A4-4256-8C27-A7A50E8B2746}"/>
    <cellStyle name="Normal 2 4 2 5 4 3 3" xfId="14839" xr:uid="{97549FBD-8118-4837-9DF7-255ABC63B4F9}"/>
    <cellStyle name="Normal 2 4 2 5 4 3 4" xfId="31733" xr:uid="{3CE214EB-14D8-4D83-89C7-5369E983B6A5}"/>
    <cellStyle name="Normal 2 4 2 5 4 4" xfId="19069" xr:uid="{14432B9D-CC8A-48B1-86F2-72514F63A96A}"/>
    <cellStyle name="Normal 2 4 2 5 4 4 2" xfId="35963" xr:uid="{CA47F806-5076-4307-826F-78687B7D0429}"/>
    <cellStyle name="Normal 2 4 2 5 4 5" xfId="10622" xr:uid="{B7068EB0-94C2-4697-86B0-608717ED73F6}"/>
    <cellStyle name="Normal 2 4 2 5 4 6" xfId="27516" xr:uid="{2BF0B15C-4E2D-4CDA-8309-222F92052139}"/>
    <cellStyle name="Normal 2 4 2 5 5" xfId="1619" xr:uid="{00000000-0005-0000-0000-0000A30F0000}"/>
    <cellStyle name="Normal 2 4 2 5 5 2" xfId="3849" xr:uid="{00000000-0005-0000-0000-0000A40F0000}"/>
    <cellStyle name="Normal 2 4 2 5 5 2 2" xfId="8071" xr:uid="{00000000-0005-0000-0000-0000A50F0000}"/>
    <cellStyle name="Normal 2 4 2 5 5 2 2 2" xfId="25844" xr:uid="{7824CCB9-58BC-43FD-99E0-E5219F7DFF1F}"/>
    <cellStyle name="Normal 2 4 2 5 5 2 2 2 2" xfId="42738" xr:uid="{B2B12580-0E18-45A6-BC1B-15F62A027B76}"/>
    <cellStyle name="Normal 2 4 2 5 5 2 2 3" xfId="17397" xr:uid="{A2FA45AE-2060-4737-9610-D6CC7B32FC25}"/>
    <cellStyle name="Normal 2 4 2 5 5 2 2 4" xfId="34291" xr:uid="{6851EDFD-D485-47E3-A9FB-C4AD11EC9409}"/>
    <cellStyle name="Normal 2 4 2 5 5 2 3" xfId="21627" xr:uid="{8280DF75-3814-4B92-9638-1B225CA9B4F5}"/>
    <cellStyle name="Normal 2 4 2 5 5 2 3 2" xfId="38521" xr:uid="{9DD0332D-9B4A-436C-BB1B-BC762E4F620A}"/>
    <cellStyle name="Normal 2 4 2 5 5 2 4" xfId="13180" xr:uid="{6920FAA8-62C2-4EB7-B032-1708A16ECC28}"/>
    <cellStyle name="Normal 2 4 2 5 5 2 5" xfId="30074" xr:uid="{E75C00DF-60B4-44CF-8576-94FEFACF4701}"/>
    <cellStyle name="Normal 2 4 2 5 5 3" xfId="5926" xr:uid="{00000000-0005-0000-0000-0000A60F0000}"/>
    <cellStyle name="Normal 2 4 2 5 5 3 2" xfId="23699" xr:uid="{E504A213-F294-46E8-B4E6-A2E633A5076D}"/>
    <cellStyle name="Normal 2 4 2 5 5 3 2 2" xfId="40593" xr:uid="{ABE090EA-4C6F-46A9-94E9-66BDE14C54BB}"/>
    <cellStyle name="Normal 2 4 2 5 5 3 3" xfId="15252" xr:uid="{4FB290AB-65B4-40EB-834C-007F3BF606B8}"/>
    <cellStyle name="Normal 2 4 2 5 5 3 4" xfId="32146" xr:uid="{7CCC070C-4087-4305-9395-F14B3CCB336C}"/>
    <cellStyle name="Normal 2 4 2 5 5 4" xfId="19482" xr:uid="{F3B1C987-3714-4758-806D-6C7CF7F18DDF}"/>
    <cellStyle name="Normal 2 4 2 5 5 4 2" xfId="36376" xr:uid="{48C74850-62A6-4689-9223-37E05F0A0E4C}"/>
    <cellStyle name="Normal 2 4 2 5 5 5" xfId="11035" xr:uid="{4630AE69-3AB4-4AA8-B77D-A87967DC5F8F}"/>
    <cellStyle name="Normal 2 4 2 5 5 6" xfId="27929" xr:uid="{BE565E55-E975-4077-93E1-77A505DB9171}"/>
    <cellStyle name="Normal 2 4 2 5 6" xfId="2033" xr:uid="{00000000-0005-0000-0000-0000A70F0000}"/>
    <cellStyle name="Normal 2 4 2 5 6 2" xfId="4262" xr:uid="{00000000-0005-0000-0000-0000A80F0000}"/>
    <cellStyle name="Normal 2 4 2 5 6 2 2" xfId="8484" xr:uid="{00000000-0005-0000-0000-0000A90F0000}"/>
    <cellStyle name="Normal 2 4 2 5 6 2 2 2" xfId="26257" xr:uid="{2055A5C6-91E3-4BCA-892D-EC5AD8953AE6}"/>
    <cellStyle name="Normal 2 4 2 5 6 2 2 2 2" xfId="43151" xr:uid="{9E3C751C-5DB0-4007-A753-C4F1B60630CC}"/>
    <cellStyle name="Normal 2 4 2 5 6 2 2 3" xfId="17810" xr:uid="{81AC29AD-E9D2-482B-ADE9-4D5F0F68C631}"/>
    <cellStyle name="Normal 2 4 2 5 6 2 2 4" xfId="34704" xr:uid="{FE07C10E-BEEC-4D26-A683-90D4225F76BA}"/>
    <cellStyle name="Normal 2 4 2 5 6 2 3" xfId="22040" xr:uid="{51048290-9954-4155-A07F-7DC350A21B1E}"/>
    <cellStyle name="Normal 2 4 2 5 6 2 3 2" xfId="38934" xr:uid="{C9893AD8-7F76-45BA-8913-FABA3F349A08}"/>
    <cellStyle name="Normal 2 4 2 5 6 2 4" xfId="13593" xr:uid="{629A0139-31BB-42CE-B447-F599110BBA6A}"/>
    <cellStyle name="Normal 2 4 2 5 6 2 5" xfId="30487" xr:uid="{CCAAC806-7082-442B-93A4-53706790FE47}"/>
    <cellStyle name="Normal 2 4 2 5 6 3" xfId="6339" xr:uid="{00000000-0005-0000-0000-0000AA0F0000}"/>
    <cellStyle name="Normal 2 4 2 5 6 3 2" xfId="24112" xr:uid="{9B53C5C8-16AB-457D-952D-3E0947A26D44}"/>
    <cellStyle name="Normal 2 4 2 5 6 3 2 2" xfId="41006" xr:uid="{A5E5DE0D-EF57-42B6-97E4-5E03FBE49565}"/>
    <cellStyle name="Normal 2 4 2 5 6 3 3" xfId="15665" xr:uid="{C79FE469-DD34-4A74-88D9-244802F1E494}"/>
    <cellStyle name="Normal 2 4 2 5 6 3 4" xfId="32559" xr:uid="{A68D6492-CB1C-417D-ADF3-D85744BA7923}"/>
    <cellStyle name="Normal 2 4 2 5 6 4" xfId="19895" xr:uid="{30C9B4C3-B686-4294-97E9-EB4C27834DB1}"/>
    <cellStyle name="Normal 2 4 2 5 6 4 2" xfId="36789" xr:uid="{BFF99477-34C4-4C11-ADC5-C231F25820E3}"/>
    <cellStyle name="Normal 2 4 2 5 6 5" xfId="11448" xr:uid="{6B3371E2-D003-46E0-982D-E6C62C29AA31}"/>
    <cellStyle name="Normal 2 4 2 5 6 6" xfId="28342" xr:uid="{5B1C5CA3-9ECB-402D-8C1C-D9F3E05A5C6D}"/>
    <cellStyle name="Normal 2 4 2 5 7" xfId="2469" xr:uid="{00000000-0005-0000-0000-0000AB0F0000}"/>
    <cellStyle name="Normal 2 4 2 5 7 2" xfId="6752" xr:uid="{00000000-0005-0000-0000-0000AC0F0000}"/>
    <cellStyle name="Normal 2 4 2 5 7 2 2" xfId="24525" xr:uid="{C2393B5B-F2E1-48F4-B5F8-C7C0DC17DD5E}"/>
    <cellStyle name="Normal 2 4 2 5 7 2 2 2" xfId="41419" xr:uid="{80F7A045-5DF6-4189-8DF4-67EE830E0D55}"/>
    <cellStyle name="Normal 2 4 2 5 7 2 3" xfId="16078" xr:uid="{F47E0C54-0C80-400F-B61B-39C19D84BF47}"/>
    <cellStyle name="Normal 2 4 2 5 7 2 4" xfId="32972" xr:uid="{DA0164A4-EC3B-4D61-9475-375D7CE7275E}"/>
    <cellStyle name="Normal 2 4 2 5 7 3" xfId="20308" xr:uid="{92ED5DD0-E9FC-4622-A82E-43D7D24CDE8F}"/>
    <cellStyle name="Normal 2 4 2 5 7 3 2" xfId="37202" xr:uid="{ED749AA7-0F85-43D4-9467-64EBB4CDB599}"/>
    <cellStyle name="Normal 2 4 2 5 7 4" xfId="11861" xr:uid="{2743A64A-A707-42DF-9E32-7990F6F27DCD}"/>
    <cellStyle name="Normal 2 4 2 5 7 5" xfId="28755" xr:uid="{30C693E0-196A-41FC-849A-3A68DCF6A9AD}"/>
    <cellStyle name="Normal 2 4 2 5 8" xfId="4686" xr:uid="{00000000-0005-0000-0000-0000AD0F0000}"/>
    <cellStyle name="Normal 2 4 2 5 8 2" xfId="22459" xr:uid="{6DF577A1-C100-486D-A275-64231AF39E07}"/>
    <cellStyle name="Normal 2 4 2 5 8 2 2" xfId="39353" xr:uid="{A3FF7054-2331-4CC9-8F62-2172AE21A1B9}"/>
    <cellStyle name="Normal 2 4 2 5 8 3" xfId="14012" xr:uid="{5789DB04-A8FE-4D91-B790-D89F64D4D07A}"/>
    <cellStyle name="Normal 2 4 2 5 8 4" xfId="30906" xr:uid="{207D84E7-BA47-441D-ABF1-27D52EFE2593}"/>
    <cellStyle name="Normal 2 4 2 5 9" xfId="8860" xr:uid="{5FAFEFC0-3249-464B-9F12-2B1DA137C588}"/>
    <cellStyle name="Normal 2 4 2 5 9 2" xfId="18242" xr:uid="{486190F4-0F6B-426A-A256-0B6BF4007653}"/>
    <cellStyle name="Normal 2 4 2 5 9 3" xfId="35136" xr:uid="{C9A6337D-D4B8-4ECC-8BC6-4BF49C75E1E8}"/>
    <cellStyle name="Normal 2 4 2 6" xfId="295" xr:uid="{00000000-0005-0000-0000-0000AE0F0000}"/>
    <cellStyle name="Normal 2 4 2 6 10" xfId="26691" xr:uid="{33FDE312-FD99-476C-8B0A-F1BF35DAF221}"/>
    <cellStyle name="Normal 2 4 2 6 2" xfId="786" xr:uid="{00000000-0005-0000-0000-0000AF0F0000}"/>
    <cellStyle name="Normal 2 4 2 6 2 2" xfId="3025" xr:uid="{00000000-0005-0000-0000-0000B00F0000}"/>
    <cellStyle name="Normal 2 4 2 6 2 2 2" xfId="7247" xr:uid="{00000000-0005-0000-0000-0000B10F0000}"/>
    <cellStyle name="Normal 2 4 2 6 2 2 2 2" xfId="25020" xr:uid="{F29C65A4-CDA0-48D0-A4F0-41244F0033C5}"/>
    <cellStyle name="Normal 2 4 2 6 2 2 2 2 2" xfId="41914" xr:uid="{6D2FCE4B-52CB-44BE-A574-0341755C1CF3}"/>
    <cellStyle name="Normal 2 4 2 6 2 2 2 3" xfId="16573" xr:uid="{5D117B8A-4427-47D6-9746-902E8D633BFF}"/>
    <cellStyle name="Normal 2 4 2 6 2 2 2 4" xfId="33467" xr:uid="{D3999086-372C-486E-BD70-B5EDC5F2B7A8}"/>
    <cellStyle name="Normal 2 4 2 6 2 2 3" xfId="20803" xr:uid="{E19CCFC9-4478-418E-A841-D06F186CB420}"/>
    <cellStyle name="Normal 2 4 2 6 2 2 3 2" xfId="37697" xr:uid="{0F8A8041-3E2B-42DC-B715-E681B0805563}"/>
    <cellStyle name="Normal 2 4 2 6 2 2 4" xfId="12356" xr:uid="{E77B7999-E1CA-46A7-B79B-417A4C4BF134}"/>
    <cellStyle name="Normal 2 4 2 6 2 2 5" xfId="29250" xr:uid="{8D398AB1-3939-47D9-B323-D279804B8C94}"/>
    <cellStyle name="Normal 2 4 2 6 2 3" xfId="5102" xr:uid="{00000000-0005-0000-0000-0000B20F0000}"/>
    <cellStyle name="Normal 2 4 2 6 2 3 2" xfId="22875" xr:uid="{B378B518-185D-45C3-AB72-DF9E4A06F6AE}"/>
    <cellStyle name="Normal 2 4 2 6 2 3 2 2" xfId="39769" xr:uid="{B0F2FF62-05EC-43E2-AD24-38C2D4109C0B}"/>
    <cellStyle name="Normal 2 4 2 6 2 3 3" xfId="14428" xr:uid="{9FDEFE21-938B-4882-BFB3-EA162DCE90B7}"/>
    <cellStyle name="Normal 2 4 2 6 2 3 4" xfId="31322" xr:uid="{4D31C882-BE5E-4821-9C3D-FB4260758A01}"/>
    <cellStyle name="Normal 2 4 2 6 2 4" xfId="9401" xr:uid="{C89DD342-23DD-474B-84C5-F9DED42F169B}"/>
    <cellStyle name="Normal 2 4 2 6 2 4 2" xfId="18658" xr:uid="{AD6E9BEB-F521-4754-9180-C9EF9A174D98}"/>
    <cellStyle name="Normal 2 4 2 6 2 4 3" xfId="35552" xr:uid="{1238DF0A-DB97-4C15-810D-C13AE62D4DF9}"/>
    <cellStyle name="Normal 2 4 2 6 2 5" xfId="10211" xr:uid="{216ACAAD-7F60-474D-9333-460E180DDCC0}"/>
    <cellStyle name="Normal 2 4 2 6 2 6" xfId="27105" xr:uid="{00AF5C4B-5D1E-41CC-8361-D22BA5FF223A}"/>
    <cellStyle name="Normal 2 4 2 6 3" xfId="1208" xr:uid="{00000000-0005-0000-0000-0000B30F0000}"/>
    <cellStyle name="Normal 2 4 2 6 3 2" xfId="3438" xr:uid="{00000000-0005-0000-0000-0000B40F0000}"/>
    <cellStyle name="Normal 2 4 2 6 3 2 2" xfId="7660" xr:uid="{00000000-0005-0000-0000-0000B50F0000}"/>
    <cellStyle name="Normal 2 4 2 6 3 2 2 2" xfId="25433" xr:uid="{3FB60020-FCA5-4EDB-82ED-76D5978B8487}"/>
    <cellStyle name="Normal 2 4 2 6 3 2 2 2 2" xfId="42327" xr:uid="{3C1CE6CE-96B3-4212-A8C4-B18B5A35514A}"/>
    <cellStyle name="Normal 2 4 2 6 3 2 2 3" xfId="16986" xr:uid="{A011CE17-F677-4721-AFD5-AEC7B826C092}"/>
    <cellStyle name="Normal 2 4 2 6 3 2 2 4" xfId="33880" xr:uid="{7CFDD1D1-6C06-45BE-9524-7241CB0A5C9C}"/>
    <cellStyle name="Normal 2 4 2 6 3 2 3" xfId="21216" xr:uid="{A68109E4-D76F-470A-A68D-FD9D0036346F}"/>
    <cellStyle name="Normal 2 4 2 6 3 2 3 2" xfId="38110" xr:uid="{4FCF99EF-1454-44B7-A0E0-14782176441D}"/>
    <cellStyle name="Normal 2 4 2 6 3 2 4" xfId="12769" xr:uid="{BDF2F4F5-B0FB-45FC-82CC-0FB0BAA6A576}"/>
    <cellStyle name="Normal 2 4 2 6 3 2 5" xfId="29663" xr:uid="{3F1AD2A9-0501-4334-A9C2-826F1D8C2765}"/>
    <cellStyle name="Normal 2 4 2 6 3 3" xfId="5515" xr:uid="{00000000-0005-0000-0000-0000B60F0000}"/>
    <cellStyle name="Normal 2 4 2 6 3 3 2" xfId="23288" xr:uid="{F6787AC0-C1AE-4817-9581-478790941229}"/>
    <cellStyle name="Normal 2 4 2 6 3 3 2 2" xfId="40182" xr:uid="{B27CA14C-10E9-4C57-8624-0339B5297549}"/>
    <cellStyle name="Normal 2 4 2 6 3 3 3" xfId="14841" xr:uid="{2847BEFF-5B79-49B8-A9CC-5D2E4973704C}"/>
    <cellStyle name="Normal 2 4 2 6 3 3 4" xfId="31735" xr:uid="{1FEE6D05-CF5B-456E-B27E-4EDA2FEE3E3D}"/>
    <cellStyle name="Normal 2 4 2 6 3 4" xfId="19071" xr:uid="{C33E6FCA-0A4E-448D-B602-56B7CD4B8FFC}"/>
    <cellStyle name="Normal 2 4 2 6 3 4 2" xfId="35965" xr:uid="{078E2324-B9AB-4683-9534-558A0DAE27AD}"/>
    <cellStyle name="Normal 2 4 2 6 3 5" xfId="10624" xr:uid="{11386D0A-9A81-4D8D-9492-B781F83DB530}"/>
    <cellStyle name="Normal 2 4 2 6 3 6" xfId="27518" xr:uid="{E8482AB3-457A-4E4D-83E2-D339F3EF5A77}"/>
    <cellStyle name="Normal 2 4 2 6 4" xfId="1621" xr:uid="{00000000-0005-0000-0000-0000B70F0000}"/>
    <cellStyle name="Normal 2 4 2 6 4 2" xfId="3851" xr:uid="{00000000-0005-0000-0000-0000B80F0000}"/>
    <cellStyle name="Normal 2 4 2 6 4 2 2" xfId="8073" xr:uid="{00000000-0005-0000-0000-0000B90F0000}"/>
    <cellStyle name="Normal 2 4 2 6 4 2 2 2" xfId="25846" xr:uid="{D21878E9-17E0-42E2-8AE1-EA37C60C5097}"/>
    <cellStyle name="Normal 2 4 2 6 4 2 2 2 2" xfId="42740" xr:uid="{7DB01504-B5DE-4F0E-84BD-3C043DC3C3BB}"/>
    <cellStyle name="Normal 2 4 2 6 4 2 2 3" xfId="17399" xr:uid="{3269E074-D47E-42DF-BDD0-B564B214DB65}"/>
    <cellStyle name="Normal 2 4 2 6 4 2 2 4" xfId="34293" xr:uid="{C5F87448-4D9A-4A1D-9031-0A5C8A1EA5B0}"/>
    <cellStyle name="Normal 2 4 2 6 4 2 3" xfId="21629" xr:uid="{1416BFDE-8C0E-49F1-A1DB-267481BC9373}"/>
    <cellStyle name="Normal 2 4 2 6 4 2 3 2" xfId="38523" xr:uid="{6B5619A4-7EE3-4671-918F-ACFFAB71201C}"/>
    <cellStyle name="Normal 2 4 2 6 4 2 4" xfId="13182" xr:uid="{36B787C3-AD7E-4E52-96D1-B1E7AB3871BD}"/>
    <cellStyle name="Normal 2 4 2 6 4 2 5" xfId="30076" xr:uid="{64DE637A-CA35-4AAB-A2FB-D8C626AE4427}"/>
    <cellStyle name="Normal 2 4 2 6 4 3" xfId="5928" xr:uid="{00000000-0005-0000-0000-0000BA0F0000}"/>
    <cellStyle name="Normal 2 4 2 6 4 3 2" xfId="23701" xr:uid="{5B26B94D-7846-476E-8445-42588C1D904B}"/>
    <cellStyle name="Normal 2 4 2 6 4 3 2 2" xfId="40595" xr:uid="{7835BDA4-5078-41A4-BB81-34B6FC4A91EF}"/>
    <cellStyle name="Normal 2 4 2 6 4 3 3" xfId="15254" xr:uid="{4BCA7910-C12F-409D-B8E7-BAEAEB40CE68}"/>
    <cellStyle name="Normal 2 4 2 6 4 3 4" xfId="32148" xr:uid="{F847E95C-3AED-4AE0-8B7D-79ECE3BF6A9A}"/>
    <cellStyle name="Normal 2 4 2 6 4 4" xfId="19484" xr:uid="{805C7EBC-F829-4963-9008-074B75C05B7E}"/>
    <cellStyle name="Normal 2 4 2 6 4 4 2" xfId="36378" xr:uid="{2E6F6454-6AD0-4773-B928-7178544360EB}"/>
    <cellStyle name="Normal 2 4 2 6 4 5" xfId="11037" xr:uid="{92B69CEE-DA52-477E-98E0-E624CBF90715}"/>
    <cellStyle name="Normal 2 4 2 6 4 6" xfId="27931" xr:uid="{569D5C8B-9157-46DE-AC13-480F3F39C166}"/>
    <cellStyle name="Normal 2 4 2 6 5" xfId="2035" xr:uid="{00000000-0005-0000-0000-0000BB0F0000}"/>
    <cellStyle name="Normal 2 4 2 6 5 2" xfId="4264" xr:uid="{00000000-0005-0000-0000-0000BC0F0000}"/>
    <cellStyle name="Normal 2 4 2 6 5 2 2" xfId="8486" xr:uid="{00000000-0005-0000-0000-0000BD0F0000}"/>
    <cellStyle name="Normal 2 4 2 6 5 2 2 2" xfId="26259" xr:uid="{59E6C560-D1BD-4348-8CFC-7A384DA91C75}"/>
    <cellStyle name="Normal 2 4 2 6 5 2 2 2 2" xfId="43153" xr:uid="{B029A2D4-59E0-4314-8D6A-7068069A13F7}"/>
    <cellStyle name="Normal 2 4 2 6 5 2 2 3" xfId="17812" xr:uid="{82CD52E9-3231-4CCE-A1AC-984DA9351352}"/>
    <cellStyle name="Normal 2 4 2 6 5 2 2 4" xfId="34706" xr:uid="{84270574-4CA0-4314-B126-1AD9458166E5}"/>
    <cellStyle name="Normal 2 4 2 6 5 2 3" xfId="22042" xr:uid="{5242B3B5-E8A5-439B-9FBC-B6AAD40FB5EE}"/>
    <cellStyle name="Normal 2 4 2 6 5 2 3 2" xfId="38936" xr:uid="{6EA1E625-C6AB-4CAC-9044-49148F9E15AD}"/>
    <cellStyle name="Normal 2 4 2 6 5 2 4" xfId="13595" xr:uid="{7493EDA2-716B-4770-ACA7-F25EA19BB00D}"/>
    <cellStyle name="Normal 2 4 2 6 5 2 5" xfId="30489" xr:uid="{F88EEF1A-FF1B-4488-9793-CCB45EBB5755}"/>
    <cellStyle name="Normal 2 4 2 6 5 3" xfId="6341" xr:uid="{00000000-0005-0000-0000-0000BE0F0000}"/>
    <cellStyle name="Normal 2 4 2 6 5 3 2" xfId="24114" xr:uid="{BEA8E366-1D52-4A30-8DE4-77B5439AA664}"/>
    <cellStyle name="Normal 2 4 2 6 5 3 2 2" xfId="41008" xr:uid="{D4435ABD-B6C7-4493-9FC6-AF7FA112E7E6}"/>
    <cellStyle name="Normal 2 4 2 6 5 3 3" xfId="15667" xr:uid="{316692C8-62AA-4945-A660-D677EF7EE9F5}"/>
    <cellStyle name="Normal 2 4 2 6 5 3 4" xfId="32561" xr:uid="{7FE277FD-5757-46C2-AF78-D9E75358903E}"/>
    <cellStyle name="Normal 2 4 2 6 5 4" xfId="19897" xr:uid="{805B6589-F07B-4F1C-A17E-3DECAC65D219}"/>
    <cellStyle name="Normal 2 4 2 6 5 4 2" xfId="36791" xr:uid="{29E15978-8F53-4AF8-A08E-C3AA9037B37E}"/>
    <cellStyle name="Normal 2 4 2 6 5 5" xfId="11450" xr:uid="{E5943D65-6CF4-4CA0-B6E9-376E99178010}"/>
    <cellStyle name="Normal 2 4 2 6 5 6" xfId="28344" xr:uid="{2D32892B-4EDA-4820-9960-3ECC710ED620}"/>
    <cellStyle name="Normal 2 4 2 6 6" xfId="2471" xr:uid="{00000000-0005-0000-0000-0000BF0F0000}"/>
    <cellStyle name="Normal 2 4 2 6 6 2" xfId="6754" xr:uid="{00000000-0005-0000-0000-0000C00F0000}"/>
    <cellStyle name="Normal 2 4 2 6 6 2 2" xfId="24527" xr:uid="{E40A9F33-E44C-410B-AFAF-EE39B92E9FB6}"/>
    <cellStyle name="Normal 2 4 2 6 6 2 2 2" xfId="41421" xr:uid="{21EDBBA8-8E61-46B5-9B1F-3C7C50501B51}"/>
    <cellStyle name="Normal 2 4 2 6 6 2 3" xfId="16080" xr:uid="{0FF22438-C986-4606-A9B6-3144E7E14D45}"/>
    <cellStyle name="Normal 2 4 2 6 6 2 4" xfId="32974" xr:uid="{B843E56A-9547-4ACE-B3CB-A0F28688C1C8}"/>
    <cellStyle name="Normal 2 4 2 6 6 3" xfId="20310" xr:uid="{7A34CA18-1E5F-401E-B735-F7ECA52B8E43}"/>
    <cellStyle name="Normal 2 4 2 6 6 3 2" xfId="37204" xr:uid="{5226B257-04A0-4195-A670-941DD9C3A48E}"/>
    <cellStyle name="Normal 2 4 2 6 6 4" xfId="11863" xr:uid="{FB3ACFA0-2E79-45AF-B88B-5A3037CAEE17}"/>
    <cellStyle name="Normal 2 4 2 6 6 5" xfId="28757" xr:uid="{5261E21B-863A-4B42-B84D-AB5391BA9025}"/>
    <cellStyle name="Normal 2 4 2 6 7" xfId="4688" xr:uid="{00000000-0005-0000-0000-0000C10F0000}"/>
    <cellStyle name="Normal 2 4 2 6 7 2" xfId="22461" xr:uid="{60AB162A-38BF-42FF-9391-847AD86CA894}"/>
    <cellStyle name="Normal 2 4 2 6 7 2 2" xfId="39355" xr:uid="{0B540C17-38C2-4A5A-B1D6-A53B090F2DFC}"/>
    <cellStyle name="Normal 2 4 2 6 7 3" xfId="14014" xr:uid="{C5C5CE3D-183C-44B3-818E-15F2418852DB}"/>
    <cellStyle name="Normal 2 4 2 6 7 4" xfId="30908" xr:uid="{918E0ECE-6933-4239-B3AE-C0C663300F02}"/>
    <cellStyle name="Normal 2 4 2 6 8" xfId="8976" xr:uid="{6DEAFF8C-68CB-4364-A161-479509F453AE}"/>
    <cellStyle name="Normal 2 4 2 6 8 2" xfId="18244" xr:uid="{B2A275C1-AB59-4633-8B20-B2FEFC92ECBD}"/>
    <cellStyle name="Normal 2 4 2 6 8 3" xfId="35138" xr:uid="{FA4E5A8B-8705-48A6-B486-9C43EE686E60}"/>
    <cellStyle name="Normal 2 4 2 6 9" xfId="9797" xr:uid="{A7127068-89E2-4BFA-B44A-BE37CA4F12D0}"/>
    <cellStyle name="Normal 2 4 2 7" xfId="771" xr:uid="{00000000-0005-0000-0000-0000C20F0000}"/>
    <cellStyle name="Normal 2 4 2 7 2" xfId="3010" xr:uid="{00000000-0005-0000-0000-0000C30F0000}"/>
    <cellStyle name="Normal 2 4 2 7 2 2" xfId="7232" xr:uid="{00000000-0005-0000-0000-0000C40F0000}"/>
    <cellStyle name="Normal 2 4 2 7 2 2 2" xfId="25005" xr:uid="{22332339-AF85-4AA4-8BBA-AAC764635D59}"/>
    <cellStyle name="Normal 2 4 2 7 2 2 2 2" xfId="41899" xr:uid="{B29FF295-FE36-4DF9-8F75-9C976578BD46}"/>
    <cellStyle name="Normal 2 4 2 7 2 2 3" xfId="16558" xr:uid="{4CE49030-A412-499C-9275-F3D63B86B490}"/>
    <cellStyle name="Normal 2 4 2 7 2 2 4" xfId="33452" xr:uid="{B99EB41A-D241-44E1-BEAE-84F5510ECB4F}"/>
    <cellStyle name="Normal 2 4 2 7 2 3" xfId="20788" xr:uid="{71C59F7C-BA4A-4079-8211-8A0709C0EB86}"/>
    <cellStyle name="Normal 2 4 2 7 2 3 2" xfId="37682" xr:uid="{90307014-A1BF-48C7-9D64-B6A9BB631655}"/>
    <cellStyle name="Normal 2 4 2 7 2 4" xfId="12341" xr:uid="{11987992-E887-4DCD-A9CC-18C9D2CEBEB6}"/>
    <cellStyle name="Normal 2 4 2 7 2 5" xfId="29235" xr:uid="{51C3500F-BC82-4C6D-BC33-BBC24A731A3D}"/>
    <cellStyle name="Normal 2 4 2 7 3" xfId="5087" xr:uid="{00000000-0005-0000-0000-0000C50F0000}"/>
    <cellStyle name="Normal 2 4 2 7 3 2" xfId="22860" xr:uid="{F944B3CA-A980-4490-AC3C-38FDA202DE2F}"/>
    <cellStyle name="Normal 2 4 2 7 3 2 2" xfId="39754" xr:uid="{CEB575AC-BE40-4950-AFC4-779EF54CB095}"/>
    <cellStyle name="Normal 2 4 2 7 3 3" xfId="14413" xr:uid="{1D51BE44-BD57-469E-89AC-6CB2FEDC9F07}"/>
    <cellStyle name="Normal 2 4 2 7 3 4" xfId="31307" xr:uid="{3D4F0F6A-9EFB-465E-85C9-68FC203D3BA1}"/>
    <cellStyle name="Normal 2 4 2 7 4" xfId="9179" xr:uid="{D1C44CED-398E-43B3-AFA3-1E7DC60C5D92}"/>
    <cellStyle name="Normal 2 4 2 7 4 2" xfId="18643" xr:uid="{EFED8390-37FF-41EF-AAE9-1A7F985CAA17}"/>
    <cellStyle name="Normal 2 4 2 7 4 3" xfId="35537" xr:uid="{0E72A266-2B88-42E7-81BE-2F189F775DA2}"/>
    <cellStyle name="Normal 2 4 2 7 5" xfId="10196" xr:uid="{6D52FC3C-2758-4F51-92ED-0F19D42ACDBE}"/>
    <cellStyle name="Normal 2 4 2 7 6" xfId="27090" xr:uid="{764269A6-DEF3-48EB-B1B4-2DCB88E6FDDD}"/>
    <cellStyle name="Normal 2 4 2 8" xfId="1193" xr:uid="{00000000-0005-0000-0000-0000C60F0000}"/>
    <cellStyle name="Normal 2 4 2 8 2" xfId="3423" xr:uid="{00000000-0005-0000-0000-0000C70F0000}"/>
    <cellStyle name="Normal 2 4 2 8 2 2" xfId="7645" xr:uid="{00000000-0005-0000-0000-0000C80F0000}"/>
    <cellStyle name="Normal 2 4 2 8 2 2 2" xfId="25418" xr:uid="{69673F6A-96A9-4A3B-8EF4-EFA2A2F19CE7}"/>
    <cellStyle name="Normal 2 4 2 8 2 2 2 2" xfId="42312" xr:uid="{E67B6B7E-D59D-4A57-B710-5EB9EB55A8A3}"/>
    <cellStyle name="Normal 2 4 2 8 2 2 3" xfId="16971" xr:uid="{D67259CB-482A-4311-9E0A-B5587CE1D68E}"/>
    <cellStyle name="Normal 2 4 2 8 2 2 4" xfId="33865" xr:uid="{C7A97CF0-449A-4357-BC20-596D010490E0}"/>
    <cellStyle name="Normal 2 4 2 8 2 3" xfId="21201" xr:uid="{65DBE698-D267-4487-A1EB-7C4836AC9C32}"/>
    <cellStyle name="Normal 2 4 2 8 2 3 2" xfId="38095" xr:uid="{7D6FC129-A8B1-41AE-8EED-C73D0B0133D1}"/>
    <cellStyle name="Normal 2 4 2 8 2 4" xfId="12754" xr:uid="{7B7F7D7B-5C7E-4DEE-B946-037DBC88E5F3}"/>
    <cellStyle name="Normal 2 4 2 8 2 5" xfId="29648" xr:uid="{4ADF7A35-7FB6-4D3F-BF8E-AB96F6CB2417}"/>
    <cellStyle name="Normal 2 4 2 8 3" xfId="5500" xr:uid="{00000000-0005-0000-0000-0000C90F0000}"/>
    <cellStyle name="Normal 2 4 2 8 3 2" xfId="23273" xr:uid="{9BE232D6-694C-43D5-A26B-6E9F27E07A8A}"/>
    <cellStyle name="Normal 2 4 2 8 3 2 2" xfId="40167" xr:uid="{889B30E8-F8F2-4158-9A2B-73209CEBECD5}"/>
    <cellStyle name="Normal 2 4 2 8 3 3" xfId="14826" xr:uid="{806B56DC-D6E6-4889-94E5-7FB6BE1B861D}"/>
    <cellStyle name="Normal 2 4 2 8 3 4" xfId="31720" xr:uid="{5876DF7F-2B6D-4283-A360-8B0324D415AC}"/>
    <cellStyle name="Normal 2 4 2 8 4" xfId="19056" xr:uid="{B3419FC2-EA5C-40A5-99CF-26699B54FC64}"/>
    <cellStyle name="Normal 2 4 2 8 4 2" xfId="35950" xr:uid="{9F93EA94-9BB3-45A3-BA38-F787203A5174}"/>
    <cellStyle name="Normal 2 4 2 8 5" xfId="10609" xr:uid="{DA20A6DB-300D-4322-AC7C-D6359B78FB91}"/>
    <cellStyle name="Normal 2 4 2 8 6" xfId="27503" xr:uid="{CBB625E5-62BA-4B0F-A8B9-F9EE35F56E50}"/>
    <cellStyle name="Normal 2 4 2 9" xfId="1606" xr:uid="{00000000-0005-0000-0000-0000CA0F0000}"/>
    <cellStyle name="Normal 2 4 2 9 2" xfId="3836" xr:uid="{00000000-0005-0000-0000-0000CB0F0000}"/>
    <cellStyle name="Normal 2 4 2 9 2 2" xfId="8058" xr:uid="{00000000-0005-0000-0000-0000CC0F0000}"/>
    <cellStyle name="Normal 2 4 2 9 2 2 2" xfId="25831" xr:uid="{0BFEC91C-B6DA-4F01-B874-FE12EE5DE4D3}"/>
    <cellStyle name="Normal 2 4 2 9 2 2 2 2" xfId="42725" xr:uid="{846F8243-8112-4331-A38A-90333A80DDF7}"/>
    <cellStyle name="Normal 2 4 2 9 2 2 3" xfId="17384" xr:uid="{742E7783-BB44-4DBB-A54F-73D70332EDB2}"/>
    <cellStyle name="Normal 2 4 2 9 2 2 4" xfId="34278" xr:uid="{8B1F1342-A56E-477E-AC33-01E7C6E415BC}"/>
    <cellStyle name="Normal 2 4 2 9 2 3" xfId="21614" xr:uid="{B8D06AF2-5ADC-4B80-8B35-4797C3121F98}"/>
    <cellStyle name="Normal 2 4 2 9 2 3 2" xfId="38508" xr:uid="{2FD50F27-2A7E-435F-B477-E51EF2CF907A}"/>
    <cellStyle name="Normal 2 4 2 9 2 4" xfId="13167" xr:uid="{793C4EFB-8E60-46D6-8CC6-77CBB461F998}"/>
    <cellStyle name="Normal 2 4 2 9 2 5" xfId="30061" xr:uid="{E9AE3B19-23C5-48DE-898E-FBFAA90F7001}"/>
    <cellStyle name="Normal 2 4 2 9 3" xfId="5913" xr:uid="{00000000-0005-0000-0000-0000CD0F0000}"/>
    <cellStyle name="Normal 2 4 2 9 3 2" xfId="23686" xr:uid="{6BE30B41-6970-4B83-A4BA-4BE4B7E5BC11}"/>
    <cellStyle name="Normal 2 4 2 9 3 2 2" xfId="40580" xr:uid="{8F06AA4C-DA5E-4725-921E-254482C0CD25}"/>
    <cellStyle name="Normal 2 4 2 9 3 3" xfId="15239" xr:uid="{73947C29-3371-406E-9EC2-86BA379E52D5}"/>
    <cellStyle name="Normal 2 4 2 9 3 4" xfId="32133" xr:uid="{FC4F6ECA-4193-4EB1-81A0-8A3E37E453A3}"/>
    <cellStyle name="Normal 2 4 2 9 4" xfId="19469" xr:uid="{05B139B0-8551-4F22-9938-B3A78EA7E6D7}"/>
    <cellStyle name="Normal 2 4 2 9 4 2" xfId="36363" xr:uid="{829961E0-4378-43EF-BC64-0A56E3CDA5ED}"/>
    <cellStyle name="Normal 2 4 2 9 5" xfId="11022" xr:uid="{549671AF-2240-40DF-9C94-9448FAD6E146}"/>
    <cellStyle name="Normal 2 4 2 9 6" xfId="27916" xr:uid="{7EF94AB4-DA6C-4BA8-8543-C6F47B87D357}"/>
    <cellStyle name="Normal 2 4 3" xfId="296" xr:uid="{00000000-0005-0000-0000-0000CE0F0000}"/>
    <cellStyle name="Normal 2 4 3 10" xfId="18245" xr:uid="{A3488802-B7D7-458D-9945-FC34EC227D1C}"/>
    <cellStyle name="Normal 2 4 3 10 2" xfId="35139" xr:uid="{838642B9-4F1E-4D20-97CD-9243E9F08D73}"/>
    <cellStyle name="Normal 2 4 3 11" xfId="9798" xr:uid="{B0011DB9-63E6-4A7B-A3F4-277733F911B4}"/>
    <cellStyle name="Normal 2 4 3 12" xfId="26692" xr:uid="{0F0D826F-9F18-42CC-BA18-CC0FBB489F6F}"/>
    <cellStyle name="Normal 2 4 3 2" xfId="297" xr:uid="{00000000-0005-0000-0000-0000CF0F0000}"/>
    <cellStyle name="Normal 2 4 3 3" xfId="298" xr:uid="{00000000-0005-0000-0000-0000D00F0000}"/>
    <cellStyle name="Normal 2 4 3 3 10" xfId="8814" xr:uid="{F78EFD99-FCC5-4915-ACA3-DFC3FC0D45A5}"/>
    <cellStyle name="Normal 2 4 3 3 10 2" xfId="18246" xr:uid="{D6F8FEB3-6098-4567-9110-E53A4EDB4736}"/>
    <cellStyle name="Normal 2 4 3 3 10 3" xfId="35140" xr:uid="{B642FCC1-818E-4852-82D4-66F774487F4A}"/>
    <cellStyle name="Normal 2 4 3 3 11" xfId="9799" xr:uid="{05DE73C5-2C73-42B5-B110-240B954DC70D}"/>
    <cellStyle name="Normal 2 4 3 3 12" xfId="26693" xr:uid="{F647E340-E35F-40CA-B10F-04A9B13931E3}"/>
    <cellStyle name="Normal 2 4 3 3 2" xfId="299" xr:uid="{00000000-0005-0000-0000-0000D10F0000}"/>
    <cellStyle name="Normal 2 4 3 3 2 10" xfId="9800" xr:uid="{0F981204-B0A9-4CBD-9151-E7218F23D248}"/>
    <cellStyle name="Normal 2 4 3 3 2 11" xfId="26694" xr:uid="{70008EF3-9761-455E-AF16-B8DC3E381CBB}"/>
    <cellStyle name="Normal 2 4 3 3 2 2" xfId="300" xr:uid="{00000000-0005-0000-0000-0000D20F0000}"/>
    <cellStyle name="Normal 2 4 3 3 2 2 10" xfId="26695" xr:uid="{D6301D2E-2845-4291-BB09-1ECDB049971D}"/>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2 2 2" xfId="25024" xr:uid="{EE6C61C6-C818-4EF7-9CA7-3DE2813E50E6}"/>
    <cellStyle name="Normal 2 4 3 3 2 2 2 2 2 2 2" xfId="41918" xr:uid="{21EFC6CD-302B-4E45-8515-822AAF3624AF}"/>
    <cellStyle name="Normal 2 4 3 3 2 2 2 2 2 3" xfId="16577" xr:uid="{8ED5B896-29E1-4987-886E-FC2A17CA5FED}"/>
    <cellStyle name="Normal 2 4 3 3 2 2 2 2 2 4" xfId="33471" xr:uid="{7D7EA8A1-D53F-4321-ACC0-E7E2F55B1CE5}"/>
    <cellStyle name="Normal 2 4 3 3 2 2 2 2 3" xfId="20807" xr:uid="{00ADE040-9A8F-49C5-80F1-E5A25BF3BDF4}"/>
    <cellStyle name="Normal 2 4 3 3 2 2 2 2 3 2" xfId="37701" xr:uid="{C275FCA5-883B-4096-8D9F-5B8C8CD0A9E2}"/>
    <cellStyle name="Normal 2 4 3 3 2 2 2 2 4" xfId="12360" xr:uid="{63416404-9E56-4026-9D10-C6048C3C7E90}"/>
    <cellStyle name="Normal 2 4 3 3 2 2 2 2 5" xfId="29254" xr:uid="{41DB7D44-CEFB-4062-9F55-EEEA7EE9A5AF}"/>
    <cellStyle name="Normal 2 4 3 3 2 2 2 3" xfId="5106" xr:uid="{00000000-0005-0000-0000-0000D60F0000}"/>
    <cellStyle name="Normal 2 4 3 3 2 2 2 3 2" xfId="22879" xr:uid="{44187240-8967-4477-9CCA-511DEDC95C80}"/>
    <cellStyle name="Normal 2 4 3 3 2 2 2 3 2 2" xfId="39773" xr:uid="{F35A82E8-89D9-4D7B-A87C-763EB89F9FD8}"/>
    <cellStyle name="Normal 2 4 3 3 2 2 2 3 3" xfId="14432" xr:uid="{22853F8A-C264-461A-B717-5CC376A65346}"/>
    <cellStyle name="Normal 2 4 3 3 2 2 2 3 4" xfId="31326" xr:uid="{355EBDDC-CF43-41F6-AD89-529339EEB2EB}"/>
    <cellStyle name="Normal 2 4 3 3 2 2 2 4" xfId="9549" xr:uid="{EA88B7BC-E37D-4688-A768-0D7FE5EF9F42}"/>
    <cellStyle name="Normal 2 4 3 3 2 2 2 4 2" xfId="18662" xr:uid="{A528BF70-5232-4D19-9646-97D7529C0645}"/>
    <cellStyle name="Normal 2 4 3 3 2 2 2 4 3" xfId="35556" xr:uid="{0D4179D1-59AA-4D09-8BFC-0F49B2A576C5}"/>
    <cellStyle name="Normal 2 4 3 3 2 2 2 5" xfId="10215" xr:uid="{49E999BA-CB83-4AF3-A096-B0FF07B164DB}"/>
    <cellStyle name="Normal 2 4 3 3 2 2 2 6" xfId="27109" xr:uid="{6F328A34-9F84-464C-B90C-D576337ACEFA}"/>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2 2 2" xfId="25437" xr:uid="{1D17F8E0-A3BC-4583-A993-8037A5AAABC9}"/>
    <cellStyle name="Normal 2 4 3 3 2 2 3 2 2 2 2" xfId="42331" xr:uid="{2FBC97B1-2B68-4577-BAFD-10580570AAB9}"/>
    <cellStyle name="Normal 2 4 3 3 2 2 3 2 2 3" xfId="16990" xr:uid="{BD901885-62DD-4C1C-B9C9-B320EA675DD5}"/>
    <cellStyle name="Normal 2 4 3 3 2 2 3 2 2 4" xfId="33884" xr:uid="{9C5EBA72-9C03-48E3-926F-BCAC1944C716}"/>
    <cellStyle name="Normal 2 4 3 3 2 2 3 2 3" xfId="21220" xr:uid="{423BCA4B-AC86-48CD-9668-52DE552D5876}"/>
    <cellStyle name="Normal 2 4 3 3 2 2 3 2 3 2" xfId="38114" xr:uid="{29B2E164-89C6-4F3F-86D6-2374C8C31E39}"/>
    <cellStyle name="Normal 2 4 3 3 2 2 3 2 4" xfId="12773" xr:uid="{C86527DB-0FB1-49C2-A7CD-81E1888DEB73}"/>
    <cellStyle name="Normal 2 4 3 3 2 2 3 2 5" xfId="29667" xr:uid="{91017401-7CFA-4B10-9ED2-DA38211827DD}"/>
    <cellStyle name="Normal 2 4 3 3 2 2 3 3" xfId="5519" xr:uid="{00000000-0005-0000-0000-0000DA0F0000}"/>
    <cellStyle name="Normal 2 4 3 3 2 2 3 3 2" xfId="23292" xr:uid="{D249459D-1DEF-4D32-8480-853BA940C881}"/>
    <cellStyle name="Normal 2 4 3 3 2 2 3 3 2 2" xfId="40186" xr:uid="{E03E3641-D4C8-4C3D-AA56-66A811857180}"/>
    <cellStyle name="Normal 2 4 3 3 2 2 3 3 3" xfId="14845" xr:uid="{7FDBBD77-AA4C-4DB3-9E58-14568BD6BDFF}"/>
    <cellStyle name="Normal 2 4 3 3 2 2 3 3 4" xfId="31739" xr:uid="{C704DB3F-C29E-4F3A-8FBD-EF35DD767470}"/>
    <cellStyle name="Normal 2 4 3 3 2 2 3 4" xfId="19075" xr:uid="{05F38512-A2E6-4BD2-8955-CBD7570C4D8F}"/>
    <cellStyle name="Normal 2 4 3 3 2 2 3 4 2" xfId="35969" xr:uid="{C667B893-FDA3-4B11-AB0D-C6C220984C71}"/>
    <cellStyle name="Normal 2 4 3 3 2 2 3 5" xfId="10628" xr:uid="{F5828E24-D22A-415F-B38B-A983E86B4883}"/>
    <cellStyle name="Normal 2 4 3 3 2 2 3 6" xfId="27522" xr:uid="{99269D4A-F9B7-4316-A808-4071FE71F79B}"/>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2 2 2" xfId="25850" xr:uid="{EF202F4F-1AE6-49A4-A346-737282B59DCA}"/>
    <cellStyle name="Normal 2 4 3 3 2 2 4 2 2 2 2" xfId="42744" xr:uid="{A3A2E891-3F50-4807-80FC-84FDF39EBC18}"/>
    <cellStyle name="Normal 2 4 3 3 2 2 4 2 2 3" xfId="17403" xr:uid="{FAE60913-1820-4B41-81C0-44D354DD9CF1}"/>
    <cellStyle name="Normal 2 4 3 3 2 2 4 2 2 4" xfId="34297" xr:uid="{701D8EF5-6F30-43D2-8EE3-560BB8DB764B}"/>
    <cellStyle name="Normal 2 4 3 3 2 2 4 2 3" xfId="21633" xr:uid="{17B22E41-8EC1-40BE-84B1-DDC9C1A7223E}"/>
    <cellStyle name="Normal 2 4 3 3 2 2 4 2 3 2" xfId="38527" xr:uid="{30858965-1AB7-4FFA-AD5B-B0AD495C5BD7}"/>
    <cellStyle name="Normal 2 4 3 3 2 2 4 2 4" xfId="13186" xr:uid="{EE1D2BEF-2370-4888-ABFD-1FDC44D1E772}"/>
    <cellStyle name="Normal 2 4 3 3 2 2 4 2 5" xfId="30080" xr:uid="{F5B4A5AE-28C7-4288-AB41-391D6418312B}"/>
    <cellStyle name="Normal 2 4 3 3 2 2 4 3" xfId="5932" xr:uid="{00000000-0005-0000-0000-0000DE0F0000}"/>
    <cellStyle name="Normal 2 4 3 3 2 2 4 3 2" xfId="23705" xr:uid="{83F967F4-A22B-41A3-BBCF-6B551D0F385C}"/>
    <cellStyle name="Normal 2 4 3 3 2 2 4 3 2 2" xfId="40599" xr:uid="{8E469422-E05B-487B-94E4-AAA850CB218B}"/>
    <cellStyle name="Normal 2 4 3 3 2 2 4 3 3" xfId="15258" xr:uid="{99602B8C-976E-4837-ADE4-4CDC5FDE24A1}"/>
    <cellStyle name="Normal 2 4 3 3 2 2 4 3 4" xfId="32152" xr:uid="{5B594971-E5E7-4191-A603-F54906AB915A}"/>
    <cellStyle name="Normal 2 4 3 3 2 2 4 4" xfId="19488" xr:uid="{32428646-3BBF-4846-8AD7-3601E86B3D2E}"/>
    <cellStyle name="Normal 2 4 3 3 2 2 4 4 2" xfId="36382" xr:uid="{14CF960A-910E-4607-8499-7145EB207B7F}"/>
    <cellStyle name="Normal 2 4 3 3 2 2 4 5" xfId="11041" xr:uid="{5227CB03-53E6-4FD1-ABA7-5B3657D93F0B}"/>
    <cellStyle name="Normal 2 4 3 3 2 2 4 6" xfId="27935" xr:uid="{F268DE1E-B2DB-4CF1-8673-D8C6E274FF31}"/>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2 2 2" xfId="26263" xr:uid="{D820757E-BA60-447D-87CE-8DDBF890B29A}"/>
    <cellStyle name="Normal 2 4 3 3 2 2 5 2 2 2 2" xfId="43157" xr:uid="{C514E2A5-A7FB-454F-931B-9C58DDDD19C5}"/>
    <cellStyle name="Normal 2 4 3 3 2 2 5 2 2 3" xfId="17816" xr:uid="{E8C99248-377B-47D1-882B-17028DFBE68A}"/>
    <cellStyle name="Normal 2 4 3 3 2 2 5 2 2 4" xfId="34710" xr:uid="{B03EDD13-D75C-47CF-9721-209D2684E985}"/>
    <cellStyle name="Normal 2 4 3 3 2 2 5 2 3" xfId="22046" xr:uid="{7E54AB0F-3C83-4DEC-9EA6-22D0A4087449}"/>
    <cellStyle name="Normal 2 4 3 3 2 2 5 2 3 2" xfId="38940" xr:uid="{7873949E-25A0-4EDD-8BC9-F8B2674AF373}"/>
    <cellStyle name="Normal 2 4 3 3 2 2 5 2 4" xfId="13599" xr:uid="{98941803-6957-4729-89FD-2FC0FB7EBA35}"/>
    <cellStyle name="Normal 2 4 3 3 2 2 5 2 5" xfId="30493" xr:uid="{DFC59FFA-BBA6-43FB-A0D6-BD0BBD7B232C}"/>
    <cellStyle name="Normal 2 4 3 3 2 2 5 3" xfId="6345" xr:uid="{00000000-0005-0000-0000-0000E20F0000}"/>
    <cellStyle name="Normal 2 4 3 3 2 2 5 3 2" xfId="24118" xr:uid="{3DFF6775-A746-49DD-B070-2C3CA65AAD69}"/>
    <cellStyle name="Normal 2 4 3 3 2 2 5 3 2 2" xfId="41012" xr:uid="{C4B6021D-3435-4A53-A9DB-D23C09677449}"/>
    <cellStyle name="Normal 2 4 3 3 2 2 5 3 3" xfId="15671" xr:uid="{EF94D35E-FDCA-4760-813C-4AB3AA3A029B}"/>
    <cellStyle name="Normal 2 4 3 3 2 2 5 3 4" xfId="32565" xr:uid="{DB26C56F-D9AA-43D2-AA5B-9AFC3A162EB9}"/>
    <cellStyle name="Normal 2 4 3 3 2 2 5 4" xfId="19901" xr:uid="{A9FA42C5-BABB-4DC8-B3FD-345AC9D8ED1F}"/>
    <cellStyle name="Normal 2 4 3 3 2 2 5 4 2" xfId="36795" xr:uid="{80028DE2-0147-41CE-9F05-C98789430EFF}"/>
    <cellStyle name="Normal 2 4 3 3 2 2 5 5" xfId="11454" xr:uid="{92851F26-2DDF-483B-9C6D-9318BE7CD4AA}"/>
    <cellStyle name="Normal 2 4 3 3 2 2 5 6" xfId="28348" xr:uid="{FE37E1AF-A041-4682-A422-D50880C2C769}"/>
    <cellStyle name="Normal 2 4 3 3 2 2 6" xfId="2475" xr:uid="{00000000-0005-0000-0000-0000E30F0000}"/>
    <cellStyle name="Normal 2 4 3 3 2 2 6 2" xfId="6758" xr:uid="{00000000-0005-0000-0000-0000E40F0000}"/>
    <cellStyle name="Normal 2 4 3 3 2 2 6 2 2" xfId="24531" xr:uid="{82199339-845F-4664-A122-A1CA9E168CC6}"/>
    <cellStyle name="Normal 2 4 3 3 2 2 6 2 2 2" xfId="41425" xr:uid="{D82127DA-31BF-45A6-9BE4-6EFC79A24B5E}"/>
    <cellStyle name="Normal 2 4 3 3 2 2 6 2 3" xfId="16084" xr:uid="{5DFC1538-65F1-422E-8034-3198D834C655}"/>
    <cellStyle name="Normal 2 4 3 3 2 2 6 2 4" xfId="32978" xr:uid="{4013D436-D3A4-4849-AEE9-259861425DF5}"/>
    <cellStyle name="Normal 2 4 3 3 2 2 6 3" xfId="20314" xr:uid="{7FB260A1-762A-43BD-A44F-C36B45412669}"/>
    <cellStyle name="Normal 2 4 3 3 2 2 6 3 2" xfId="37208" xr:uid="{03CB416E-21B8-4135-9D22-A395CE0DAE4C}"/>
    <cellStyle name="Normal 2 4 3 3 2 2 6 4" xfId="11867" xr:uid="{5AE50F05-451F-4F0C-BB03-C08DE5B486DD}"/>
    <cellStyle name="Normal 2 4 3 3 2 2 6 5" xfId="28761" xr:uid="{31097CA0-0AE0-46EB-870C-0A41DCFDF871}"/>
    <cellStyle name="Normal 2 4 3 3 2 2 7" xfId="4692" xr:uid="{00000000-0005-0000-0000-0000E50F0000}"/>
    <cellStyle name="Normal 2 4 3 3 2 2 7 2" xfId="22465" xr:uid="{C8025ACC-0CB0-425F-87F3-95BFC41370CC}"/>
    <cellStyle name="Normal 2 4 3 3 2 2 7 2 2" xfId="39359" xr:uid="{2980BB61-A4DA-4DAD-9226-10C17A507C04}"/>
    <cellStyle name="Normal 2 4 3 3 2 2 7 3" xfId="14018" xr:uid="{2DF1638C-DA85-4BA9-B1A0-4A2E93AD6651}"/>
    <cellStyle name="Normal 2 4 3 3 2 2 7 4" xfId="30912" xr:uid="{A21B2424-5557-4995-9CE6-C1B242A8FF9A}"/>
    <cellStyle name="Normal 2 4 3 3 2 2 8" xfId="9124" xr:uid="{1FF2B195-09C8-4D7B-A363-E8AF809A669B}"/>
    <cellStyle name="Normal 2 4 3 3 2 2 8 2" xfId="18248" xr:uid="{1A970451-0600-4985-912D-7AD44E9E98B6}"/>
    <cellStyle name="Normal 2 4 3 3 2 2 8 3" xfId="35142" xr:uid="{0C5DA433-66D7-4E31-8EAC-B8E3D45FCCA0}"/>
    <cellStyle name="Normal 2 4 3 3 2 2 9" xfId="9801" xr:uid="{B0576425-7903-4464-98DE-D92E228D31EE}"/>
    <cellStyle name="Normal 2 4 3 3 2 3" xfId="789" xr:uid="{00000000-0005-0000-0000-0000E60F0000}"/>
    <cellStyle name="Normal 2 4 3 3 2 3 2" xfId="3028" xr:uid="{00000000-0005-0000-0000-0000E70F0000}"/>
    <cellStyle name="Normal 2 4 3 3 2 3 2 2" xfId="7250" xr:uid="{00000000-0005-0000-0000-0000E80F0000}"/>
    <cellStyle name="Normal 2 4 3 3 2 3 2 2 2" xfId="25023" xr:uid="{70FDEB06-6A59-42A8-A942-4D9E27EBD03F}"/>
    <cellStyle name="Normal 2 4 3 3 2 3 2 2 2 2" xfId="41917" xr:uid="{898565F4-4AED-46C8-950F-2A033E633D16}"/>
    <cellStyle name="Normal 2 4 3 3 2 3 2 2 3" xfId="16576" xr:uid="{47B640CB-9A29-4A38-BD34-F619918EA2C1}"/>
    <cellStyle name="Normal 2 4 3 3 2 3 2 2 4" xfId="33470" xr:uid="{7E8049E1-18D2-4462-BC97-814796E0459F}"/>
    <cellStyle name="Normal 2 4 3 3 2 3 2 3" xfId="20806" xr:uid="{B3264076-82A4-4EB6-801F-F2182FA8E897}"/>
    <cellStyle name="Normal 2 4 3 3 2 3 2 3 2" xfId="37700" xr:uid="{AD25C573-6BBE-4F5D-8E43-388AA70DC9C5}"/>
    <cellStyle name="Normal 2 4 3 3 2 3 2 4" xfId="12359" xr:uid="{D4541EFF-B61F-4067-B1EC-E45CA7522055}"/>
    <cellStyle name="Normal 2 4 3 3 2 3 2 5" xfId="29253" xr:uid="{DE109F8B-3732-47BD-A415-7177C451BC38}"/>
    <cellStyle name="Normal 2 4 3 3 2 3 3" xfId="5105" xr:uid="{00000000-0005-0000-0000-0000E90F0000}"/>
    <cellStyle name="Normal 2 4 3 3 2 3 3 2" xfId="22878" xr:uid="{CB123791-643D-4D5D-9AB5-F9CAF0F01181}"/>
    <cellStyle name="Normal 2 4 3 3 2 3 3 2 2" xfId="39772" xr:uid="{19126ED5-A790-4C8C-BF0A-63E2839A18D1}"/>
    <cellStyle name="Normal 2 4 3 3 2 3 3 3" xfId="14431" xr:uid="{EA383392-0CCC-4511-BE17-1877282FBDAC}"/>
    <cellStyle name="Normal 2 4 3 3 2 3 3 4" xfId="31325" xr:uid="{CCF15B29-4043-4C30-AC0A-B0234A9FF056}"/>
    <cellStyle name="Normal 2 4 3 3 2 3 4" xfId="9342" xr:uid="{41454CF9-47C1-4E8A-868A-8F39341308EB}"/>
    <cellStyle name="Normal 2 4 3 3 2 3 4 2" xfId="18661" xr:uid="{0851FB1D-E1E5-4570-8864-B6E10AF00E64}"/>
    <cellStyle name="Normal 2 4 3 3 2 3 4 3" xfId="35555" xr:uid="{D282DD37-A3C6-41CC-857D-CD1F7642EB6A}"/>
    <cellStyle name="Normal 2 4 3 3 2 3 5" xfId="10214" xr:uid="{2C2A68EC-732C-4AD4-B812-26EAF5FDF946}"/>
    <cellStyle name="Normal 2 4 3 3 2 3 6" xfId="27108" xr:uid="{79F03B49-323C-4E14-8C9A-9C882895334C}"/>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2 2 2" xfId="25436" xr:uid="{64FC1080-AD4F-42CE-B7DD-63AA2C8A06EA}"/>
    <cellStyle name="Normal 2 4 3 3 2 4 2 2 2 2" xfId="42330" xr:uid="{1C05ED6B-6940-4BD5-8462-C9FC6462531A}"/>
    <cellStyle name="Normal 2 4 3 3 2 4 2 2 3" xfId="16989" xr:uid="{49F80117-C32C-4E4F-9F2B-662434BE3374}"/>
    <cellStyle name="Normal 2 4 3 3 2 4 2 2 4" xfId="33883" xr:uid="{2E7245F5-80D8-46D5-B114-57B86076DB0C}"/>
    <cellStyle name="Normal 2 4 3 3 2 4 2 3" xfId="21219" xr:uid="{D6E35F0B-CFD3-4B49-BF3C-1901C804B215}"/>
    <cellStyle name="Normal 2 4 3 3 2 4 2 3 2" xfId="38113" xr:uid="{092A5B72-5896-405B-8CAD-12A2582F2EFD}"/>
    <cellStyle name="Normal 2 4 3 3 2 4 2 4" xfId="12772" xr:uid="{773660BB-197D-4730-ACDF-970AF3F08F20}"/>
    <cellStyle name="Normal 2 4 3 3 2 4 2 5" xfId="29666" xr:uid="{15C29456-CCC8-4135-86D0-C883164A7AFB}"/>
    <cellStyle name="Normal 2 4 3 3 2 4 3" xfId="5518" xr:uid="{00000000-0005-0000-0000-0000ED0F0000}"/>
    <cellStyle name="Normal 2 4 3 3 2 4 3 2" xfId="23291" xr:uid="{7A128B6A-E8B7-49FB-B38F-8C468CE6CE91}"/>
    <cellStyle name="Normal 2 4 3 3 2 4 3 2 2" xfId="40185" xr:uid="{F0BF4D5D-B812-4DDA-989A-C13B97183C43}"/>
    <cellStyle name="Normal 2 4 3 3 2 4 3 3" xfId="14844" xr:uid="{457F9AC8-2169-464C-A00F-71D6C9B360CC}"/>
    <cellStyle name="Normal 2 4 3 3 2 4 3 4" xfId="31738" xr:uid="{7D27F90E-0332-493B-A57D-A7163B42A6E1}"/>
    <cellStyle name="Normal 2 4 3 3 2 4 4" xfId="19074" xr:uid="{22B2A8F9-5C17-4B89-96D3-F4A40C1FE0A6}"/>
    <cellStyle name="Normal 2 4 3 3 2 4 4 2" xfId="35968" xr:uid="{2C4E6347-3A75-44CC-A20E-AB48CFB16E1D}"/>
    <cellStyle name="Normal 2 4 3 3 2 4 5" xfId="10627" xr:uid="{D371E6CE-B8D7-45DC-99BC-CABE001F303B}"/>
    <cellStyle name="Normal 2 4 3 3 2 4 6" xfId="27521" xr:uid="{161DE8ED-393B-4BBE-8F2B-89C641E97D33}"/>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2 2 2" xfId="25849" xr:uid="{DD1B6B2A-B77D-49A5-BDBE-AB4ACB2BACD8}"/>
    <cellStyle name="Normal 2 4 3 3 2 5 2 2 2 2" xfId="42743" xr:uid="{8BD5CBA6-4003-4394-85D5-257F3D1B2921}"/>
    <cellStyle name="Normal 2 4 3 3 2 5 2 2 3" xfId="17402" xr:uid="{8F52D1D0-239C-4385-8D53-DBE427CCB07A}"/>
    <cellStyle name="Normal 2 4 3 3 2 5 2 2 4" xfId="34296" xr:uid="{73120F45-94C2-43CE-86AF-4B538F09FB3E}"/>
    <cellStyle name="Normal 2 4 3 3 2 5 2 3" xfId="21632" xr:uid="{1AF2CBE6-1FD2-4733-A3FB-364F78B0777D}"/>
    <cellStyle name="Normal 2 4 3 3 2 5 2 3 2" xfId="38526" xr:uid="{F60F682F-DF2F-4E4D-BD06-3AEBBFF267AF}"/>
    <cellStyle name="Normal 2 4 3 3 2 5 2 4" xfId="13185" xr:uid="{CBB8120A-C9DF-4AC7-A011-3CDCEA1EDFF8}"/>
    <cellStyle name="Normal 2 4 3 3 2 5 2 5" xfId="30079" xr:uid="{C4D1976D-A796-446D-B05C-76206E773532}"/>
    <cellStyle name="Normal 2 4 3 3 2 5 3" xfId="5931" xr:uid="{00000000-0005-0000-0000-0000F10F0000}"/>
    <cellStyle name="Normal 2 4 3 3 2 5 3 2" xfId="23704" xr:uid="{B3D75BC8-E32B-41B1-9EBC-51F739275CC0}"/>
    <cellStyle name="Normal 2 4 3 3 2 5 3 2 2" xfId="40598" xr:uid="{0C5144DC-E3C1-4CAE-9E89-4DE62D69DDAF}"/>
    <cellStyle name="Normal 2 4 3 3 2 5 3 3" xfId="15257" xr:uid="{B303FE5A-2CF3-4CA0-BAA9-7964B1E4DCD0}"/>
    <cellStyle name="Normal 2 4 3 3 2 5 3 4" xfId="32151" xr:uid="{71086E69-FC92-4154-912A-829423C2A3BB}"/>
    <cellStyle name="Normal 2 4 3 3 2 5 4" xfId="19487" xr:uid="{D62583D9-070F-4D1A-A08B-52EAD56E4811}"/>
    <cellStyle name="Normal 2 4 3 3 2 5 4 2" xfId="36381" xr:uid="{D9743B8B-1261-426A-BB05-7C34F523BDA3}"/>
    <cellStyle name="Normal 2 4 3 3 2 5 5" xfId="11040" xr:uid="{E3C3F7CF-8F3A-43B7-A2BA-2F0CD5D42705}"/>
    <cellStyle name="Normal 2 4 3 3 2 5 6" xfId="27934" xr:uid="{06F40C53-269A-403A-B323-01145DCC8C71}"/>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2 2 2" xfId="26262" xr:uid="{D818FE45-3F64-4A0C-A559-FD03C219E817}"/>
    <cellStyle name="Normal 2 4 3 3 2 6 2 2 2 2" xfId="43156" xr:uid="{E030C9EF-7F03-47B2-9444-A09CE7BACEFF}"/>
    <cellStyle name="Normal 2 4 3 3 2 6 2 2 3" xfId="17815" xr:uid="{8214DCF3-5DBC-43B7-91FD-6203EAED5E7C}"/>
    <cellStyle name="Normal 2 4 3 3 2 6 2 2 4" xfId="34709" xr:uid="{A9E2A6F1-9FB4-4E7A-82C1-91FE11A0F17A}"/>
    <cellStyle name="Normal 2 4 3 3 2 6 2 3" xfId="22045" xr:uid="{6B78482B-81DB-42E8-8808-E0795CFE52FD}"/>
    <cellStyle name="Normal 2 4 3 3 2 6 2 3 2" xfId="38939" xr:uid="{DE2B6C30-3FFD-4AA6-955D-79FC93B6341D}"/>
    <cellStyle name="Normal 2 4 3 3 2 6 2 4" xfId="13598" xr:uid="{BCF73881-E52C-4539-A3DB-392ACB015A29}"/>
    <cellStyle name="Normal 2 4 3 3 2 6 2 5" xfId="30492" xr:uid="{54ED82AD-D803-40D4-B96D-3D93BAB92983}"/>
    <cellStyle name="Normal 2 4 3 3 2 6 3" xfId="6344" xr:uid="{00000000-0005-0000-0000-0000F50F0000}"/>
    <cellStyle name="Normal 2 4 3 3 2 6 3 2" xfId="24117" xr:uid="{5AA7F5DA-A0C4-41C2-95AA-6136FACCAEF9}"/>
    <cellStyle name="Normal 2 4 3 3 2 6 3 2 2" xfId="41011" xr:uid="{6945FC1A-412D-4235-809D-9433B489F2EA}"/>
    <cellStyle name="Normal 2 4 3 3 2 6 3 3" xfId="15670" xr:uid="{E05AB730-2C93-4C33-9037-908EA3847CB6}"/>
    <cellStyle name="Normal 2 4 3 3 2 6 3 4" xfId="32564" xr:uid="{58721FEE-AF4D-4C13-8A46-6DA95F57573D}"/>
    <cellStyle name="Normal 2 4 3 3 2 6 4" xfId="19900" xr:uid="{5A9FC6F2-0736-44CC-8F9B-FAAA9B174C82}"/>
    <cellStyle name="Normal 2 4 3 3 2 6 4 2" xfId="36794" xr:uid="{8FFE987A-2A28-4927-A02D-BBA6DACEB6CA}"/>
    <cellStyle name="Normal 2 4 3 3 2 6 5" xfId="11453" xr:uid="{AF4D7DEC-8612-45BF-B21F-A890576229E1}"/>
    <cellStyle name="Normal 2 4 3 3 2 6 6" xfId="28347" xr:uid="{578C3BFF-7C95-48DF-A931-D35281AA614B}"/>
    <cellStyle name="Normal 2 4 3 3 2 7" xfId="2474" xr:uid="{00000000-0005-0000-0000-0000F60F0000}"/>
    <cellStyle name="Normal 2 4 3 3 2 7 2" xfId="6757" xr:uid="{00000000-0005-0000-0000-0000F70F0000}"/>
    <cellStyle name="Normal 2 4 3 3 2 7 2 2" xfId="24530" xr:uid="{3AF6502B-FF3F-482E-AA7D-4D55C5EBD79C}"/>
    <cellStyle name="Normal 2 4 3 3 2 7 2 2 2" xfId="41424" xr:uid="{919D2806-BF98-495A-91D8-7E764B77AE25}"/>
    <cellStyle name="Normal 2 4 3 3 2 7 2 3" xfId="16083" xr:uid="{2A3D6448-3274-4F1A-997B-5E71933B1AB8}"/>
    <cellStyle name="Normal 2 4 3 3 2 7 2 4" xfId="32977" xr:uid="{8BB43550-998D-4A73-B0E0-E428AB96FC84}"/>
    <cellStyle name="Normal 2 4 3 3 2 7 3" xfId="20313" xr:uid="{EB19CE4A-8F25-4AF3-913F-9304755CDFFE}"/>
    <cellStyle name="Normal 2 4 3 3 2 7 3 2" xfId="37207" xr:uid="{41C58D9B-57FD-4302-AE95-F3C4E8407B2B}"/>
    <cellStyle name="Normal 2 4 3 3 2 7 4" xfId="11866" xr:uid="{6FD3903A-5699-4A41-A7AA-E9535F368B7A}"/>
    <cellStyle name="Normal 2 4 3 3 2 7 5" xfId="28760" xr:uid="{0CFAD014-CC05-4E87-92AC-2BF704929FF0}"/>
    <cellStyle name="Normal 2 4 3 3 2 8" xfId="4691" xr:uid="{00000000-0005-0000-0000-0000F80F0000}"/>
    <cellStyle name="Normal 2 4 3 3 2 8 2" xfId="22464" xr:uid="{A9D5223A-6014-40BB-A248-88CE9235EEF1}"/>
    <cellStyle name="Normal 2 4 3 3 2 8 2 2" xfId="39358" xr:uid="{41CCA7E6-C41A-47FC-9886-637B8AF12DCC}"/>
    <cellStyle name="Normal 2 4 3 3 2 8 3" xfId="14017" xr:uid="{F5F0F172-EFD7-4747-B8DF-79499914EF7F}"/>
    <cellStyle name="Normal 2 4 3 3 2 8 4" xfId="30911" xr:uid="{79939EBE-398C-4F73-9904-661A8A275E69}"/>
    <cellStyle name="Normal 2 4 3 3 2 9" xfId="8917" xr:uid="{1E22693C-F4B1-4678-80B0-65CF6DC31586}"/>
    <cellStyle name="Normal 2 4 3 3 2 9 2" xfId="18247" xr:uid="{2283E661-68F3-4B13-A67A-8A68E53316E5}"/>
    <cellStyle name="Normal 2 4 3 3 2 9 3" xfId="35141" xr:uid="{24C6D3AC-0B4A-49AD-A41B-78B8DE25350F}"/>
    <cellStyle name="Normal 2 4 3 3 3" xfId="301" xr:uid="{00000000-0005-0000-0000-0000F90F0000}"/>
    <cellStyle name="Normal 2 4 3 3 3 10" xfId="26696" xr:uid="{2E082152-8E9C-41E5-B01F-FDDD28239E92}"/>
    <cellStyle name="Normal 2 4 3 3 3 2" xfId="791" xr:uid="{00000000-0005-0000-0000-0000FA0F0000}"/>
    <cellStyle name="Normal 2 4 3 3 3 2 2" xfId="3030" xr:uid="{00000000-0005-0000-0000-0000FB0F0000}"/>
    <cellStyle name="Normal 2 4 3 3 3 2 2 2" xfId="7252" xr:uid="{00000000-0005-0000-0000-0000FC0F0000}"/>
    <cellStyle name="Normal 2 4 3 3 3 2 2 2 2" xfId="25025" xr:uid="{722E9917-58A4-46E3-984B-4F315C19EE96}"/>
    <cellStyle name="Normal 2 4 3 3 3 2 2 2 2 2" xfId="41919" xr:uid="{6171BC2F-C948-404F-AB00-0C654177F22E}"/>
    <cellStyle name="Normal 2 4 3 3 3 2 2 2 3" xfId="16578" xr:uid="{2187F9F1-BC3E-449A-B546-4FB88EB286E3}"/>
    <cellStyle name="Normal 2 4 3 3 3 2 2 2 4" xfId="33472" xr:uid="{CD7AE9B6-9708-45DE-BC5A-3B17AFD51ED3}"/>
    <cellStyle name="Normal 2 4 3 3 3 2 2 3" xfId="20808" xr:uid="{96C28048-FD63-451C-8959-8ECB39D2D5D9}"/>
    <cellStyle name="Normal 2 4 3 3 3 2 2 3 2" xfId="37702" xr:uid="{2EDBBEFD-63F2-421E-9375-0BD456BA42F6}"/>
    <cellStyle name="Normal 2 4 3 3 3 2 2 4" xfId="12361" xr:uid="{80F7EC24-A424-4E98-9352-2A387A5C33EC}"/>
    <cellStyle name="Normal 2 4 3 3 3 2 2 5" xfId="29255" xr:uid="{2254109B-3187-4E84-AF75-F304B83CA709}"/>
    <cellStyle name="Normal 2 4 3 3 3 2 3" xfId="5107" xr:uid="{00000000-0005-0000-0000-0000FD0F0000}"/>
    <cellStyle name="Normal 2 4 3 3 3 2 3 2" xfId="22880" xr:uid="{BD62B223-7E08-45AD-A5ED-C5A5071F0A7D}"/>
    <cellStyle name="Normal 2 4 3 3 3 2 3 2 2" xfId="39774" xr:uid="{4292AAC9-12BC-44D1-991E-8C36819D5B51}"/>
    <cellStyle name="Normal 2 4 3 3 3 2 3 3" xfId="14433" xr:uid="{088D9AF4-98EC-4914-A323-EEF5DCE8681D}"/>
    <cellStyle name="Normal 2 4 3 3 3 2 3 4" xfId="31327" xr:uid="{3B17C4EC-69F5-45F5-8FCD-936668CB7D34}"/>
    <cellStyle name="Normal 2 4 3 3 3 2 4" xfId="9446" xr:uid="{7ACDBBC8-943F-41CF-9832-96F56BCB3985}"/>
    <cellStyle name="Normal 2 4 3 3 3 2 4 2" xfId="18663" xr:uid="{E238E85A-D2E6-492E-8C91-E9830C489C08}"/>
    <cellStyle name="Normal 2 4 3 3 3 2 4 3" xfId="35557" xr:uid="{57DC5796-0BCB-42D8-8630-499A46B53C1F}"/>
    <cellStyle name="Normal 2 4 3 3 3 2 5" xfId="10216" xr:uid="{F05D2E40-5480-4A62-A709-B878DC8D2FD7}"/>
    <cellStyle name="Normal 2 4 3 3 3 2 6" xfId="27110" xr:uid="{FC64D3DD-F4F7-466E-BE6C-05C18CE282DB}"/>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2 2 2" xfId="25438" xr:uid="{DB675F52-F2F3-49E1-BE70-7E5B57850BF5}"/>
    <cellStyle name="Normal 2 4 3 3 3 3 2 2 2 2" xfId="42332" xr:uid="{5E6A9266-5DC0-47FC-832A-87999F68A7B1}"/>
    <cellStyle name="Normal 2 4 3 3 3 3 2 2 3" xfId="16991" xr:uid="{EA27B888-0CB3-40C2-8EB9-D52E82946200}"/>
    <cellStyle name="Normal 2 4 3 3 3 3 2 2 4" xfId="33885" xr:uid="{BBDB31D7-F4B0-46AC-A70B-DC16EE551591}"/>
    <cellStyle name="Normal 2 4 3 3 3 3 2 3" xfId="21221" xr:uid="{F9373CE8-FD98-4E67-9AF2-02D64B841E5A}"/>
    <cellStyle name="Normal 2 4 3 3 3 3 2 3 2" xfId="38115" xr:uid="{714BE4CA-9A73-4747-834D-23C15BB612B2}"/>
    <cellStyle name="Normal 2 4 3 3 3 3 2 4" xfId="12774" xr:uid="{8B7D1943-8152-4C32-892B-287A9564E762}"/>
    <cellStyle name="Normal 2 4 3 3 3 3 2 5" xfId="29668" xr:uid="{71B50DA3-E63E-46A6-9474-6D134FD5D015}"/>
    <cellStyle name="Normal 2 4 3 3 3 3 3" xfId="5520" xr:uid="{00000000-0005-0000-0000-000001100000}"/>
    <cellStyle name="Normal 2 4 3 3 3 3 3 2" xfId="23293" xr:uid="{95878D5C-8288-4CC2-A54E-9229349089B1}"/>
    <cellStyle name="Normal 2 4 3 3 3 3 3 2 2" xfId="40187" xr:uid="{D1FF2E01-9BC5-4206-B58A-EB06BCDBCE44}"/>
    <cellStyle name="Normal 2 4 3 3 3 3 3 3" xfId="14846" xr:uid="{3E86EDD7-A338-4ABF-B089-73E59A2CAB76}"/>
    <cellStyle name="Normal 2 4 3 3 3 3 3 4" xfId="31740" xr:uid="{171F2A2E-A593-4EBD-B349-A71C04707E2F}"/>
    <cellStyle name="Normal 2 4 3 3 3 3 4" xfId="19076" xr:uid="{427AF453-DA37-474E-8F6A-CFD441D40F3D}"/>
    <cellStyle name="Normal 2 4 3 3 3 3 4 2" xfId="35970" xr:uid="{A68F1777-43A1-4281-9CFA-9078353BE613}"/>
    <cellStyle name="Normal 2 4 3 3 3 3 5" xfId="10629" xr:uid="{49140D69-4296-420D-9E23-81813672DE9D}"/>
    <cellStyle name="Normal 2 4 3 3 3 3 6" xfId="27523" xr:uid="{9179C16E-D726-465E-868A-6F35AB2A09C2}"/>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2 2 2" xfId="25851" xr:uid="{8D243EB9-33A3-4615-B07D-A6AE51E6C9F4}"/>
    <cellStyle name="Normal 2 4 3 3 3 4 2 2 2 2" xfId="42745" xr:uid="{C0EF43B7-7DA0-4B5C-AB99-953E60A85EA5}"/>
    <cellStyle name="Normal 2 4 3 3 3 4 2 2 3" xfId="17404" xr:uid="{916B55AB-5892-4715-9972-0FBFC84AA9EE}"/>
    <cellStyle name="Normal 2 4 3 3 3 4 2 2 4" xfId="34298" xr:uid="{CDB504E0-EA08-4F1A-A58F-BEF770A7E06C}"/>
    <cellStyle name="Normal 2 4 3 3 3 4 2 3" xfId="21634" xr:uid="{9E819E91-B43F-4F8D-96E5-C87124AFD666}"/>
    <cellStyle name="Normal 2 4 3 3 3 4 2 3 2" xfId="38528" xr:uid="{6F834EBC-803C-4B40-9A20-3C2946F38002}"/>
    <cellStyle name="Normal 2 4 3 3 3 4 2 4" xfId="13187" xr:uid="{6CED2B3F-4EB5-427E-844F-B54D3BDC420F}"/>
    <cellStyle name="Normal 2 4 3 3 3 4 2 5" xfId="30081" xr:uid="{852D4DF8-3854-47CE-80B2-797D646EBD35}"/>
    <cellStyle name="Normal 2 4 3 3 3 4 3" xfId="5933" xr:uid="{00000000-0005-0000-0000-000005100000}"/>
    <cellStyle name="Normal 2 4 3 3 3 4 3 2" xfId="23706" xr:uid="{11CD16F1-E9B6-48FE-8611-9CB72E88732E}"/>
    <cellStyle name="Normal 2 4 3 3 3 4 3 2 2" xfId="40600" xr:uid="{0CE58AFB-6AEE-4582-B406-24E07899F9A7}"/>
    <cellStyle name="Normal 2 4 3 3 3 4 3 3" xfId="15259" xr:uid="{B9750F6A-DD3B-4766-B61C-29BE968FB0AD}"/>
    <cellStyle name="Normal 2 4 3 3 3 4 3 4" xfId="32153" xr:uid="{34FF493F-B87F-497A-A30B-5BD5C2CF64ED}"/>
    <cellStyle name="Normal 2 4 3 3 3 4 4" xfId="19489" xr:uid="{1A64C5FC-AC4F-428E-A35E-6F7806281529}"/>
    <cellStyle name="Normal 2 4 3 3 3 4 4 2" xfId="36383" xr:uid="{0FC2E487-29E4-4E55-8E84-FB914553F326}"/>
    <cellStyle name="Normal 2 4 3 3 3 4 5" xfId="11042" xr:uid="{35C40BF8-B88F-4192-9ECE-7F1FEC67EB7F}"/>
    <cellStyle name="Normal 2 4 3 3 3 4 6" xfId="27936" xr:uid="{9AADB507-53EE-435E-A260-AE44C6D6AC4A}"/>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2 2 2" xfId="26264" xr:uid="{567AE704-786F-4EC0-8A0D-161350C644C9}"/>
    <cellStyle name="Normal 2 4 3 3 3 5 2 2 2 2" xfId="43158" xr:uid="{FD4C07C4-10DB-47D7-8167-D5323EA52FD9}"/>
    <cellStyle name="Normal 2 4 3 3 3 5 2 2 3" xfId="17817" xr:uid="{E593720D-B50C-4F47-8B15-BCA5D6241B83}"/>
    <cellStyle name="Normal 2 4 3 3 3 5 2 2 4" xfId="34711" xr:uid="{5669B39E-D6BD-40F5-BA81-6E117884D876}"/>
    <cellStyle name="Normal 2 4 3 3 3 5 2 3" xfId="22047" xr:uid="{AD9A64EA-791F-472F-8648-BC339ABC0F8F}"/>
    <cellStyle name="Normal 2 4 3 3 3 5 2 3 2" xfId="38941" xr:uid="{055E4AD7-648F-4D57-B192-7A47E5BB5B5B}"/>
    <cellStyle name="Normal 2 4 3 3 3 5 2 4" xfId="13600" xr:uid="{47C7B3C0-FA3B-48AD-A1A2-9DD646CD5454}"/>
    <cellStyle name="Normal 2 4 3 3 3 5 2 5" xfId="30494" xr:uid="{E5484243-0B0E-4E54-B6BB-A8CBB720647F}"/>
    <cellStyle name="Normal 2 4 3 3 3 5 3" xfId="6346" xr:uid="{00000000-0005-0000-0000-000009100000}"/>
    <cellStyle name="Normal 2 4 3 3 3 5 3 2" xfId="24119" xr:uid="{3B780E57-C1E6-4C7F-82E6-A98B26E71DF8}"/>
    <cellStyle name="Normal 2 4 3 3 3 5 3 2 2" xfId="41013" xr:uid="{D10DFEA1-2477-4C55-9FEF-404CDC1A5207}"/>
    <cellStyle name="Normal 2 4 3 3 3 5 3 3" xfId="15672" xr:uid="{55C41505-4649-4820-9D77-153ACD13E887}"/>
    <cellStyle name="Normal 2 4 3 3 3 5 3 4" xfId="32566" xr:uid="{2DEEAF81-E0B8-46D1-A2F8-54CE3379DDAC}"/>
    <cellStyle name="Normal 2 4 3 3 3 5 4" xfId="19902" xr:uid="{B215A859-C88F-4B9A-8AC5-095DA0CE05E3}"/>
    <cellStyle name="Normal 2 4 3 3 3 5 4 2" xfId="36796" xr:uid="{FD2070DD-5089-47B6-9B47-13C1FADC084D}"/>
    <cellStyle name="Normal 2 4 3 3 3 5 5" xfId="11455" xr:uid="{98E4EA59-BEE1-4C68-8E05-DDF5C681EDB9}"/>
    <cellStyle name="Normal 2 4 3 3 3 5 6" xfId="28349" xr:uid="{991DF904-AC92-443B-81AD-300CE9AB28A4}"/>
    <cellStyle name="Normal 2 4 3 3 3 6" xfId="2476" xr:uid="{00000000-0005-0000-0000-00000A100000}"/>
    <cellStyle name="Normal 2 4 3 3 3 6 2" xfId="6759" xr:uid="{00000000-0005-0000-0000-00000B100000}"/>
    <cellStyle name="Normal 2 4 3 3 3 6 2 2" xfId="24532" xr:uid="{243F120B-F3E2-4DA6-82D5-4E03BA95BBF6}"/>
    <cellStyle name="Normal 2 4 3 3 3 6 2 2 2" xfId="41426" xr:uid="{5EAE9831-5000-4F55-A39E-0AE2F68A1F21}"/>
    <cellStyle name="Normal 2 4 3 3 3 6 2 3" xfId="16085" xr:uid="{8D0C0DCD-6956-480D-8506-3703D3EEA203}"/>
    <cellStyle name="Normal 2 4 3 3 3 6 2 4" xfId="32979" xr:uid="{41536510-4778-406D-9043-A91800DD7C88}"/>
    <cellStyle name="Normal 2 4 3 3 3 6 3" xfId="20315" xr:uid="{02CD9829-50AD-48CE-B47F-4F0FE9568AD2}"/>
    <cellStyle name="Normal 2 4 3 3 3 6 3 2" xfId="37209" xr:uid="{85D6886C-7593-4EAB-87AA-AD0B50BCBE07}"/>
    <cellStyle name="Normal 2 4 3 3 3 6 4" xfId="11868" xr:uid="{631EA859-0CCF-4F52-96B1-E6895BF227B0}"/>
    <cellStyle name="Normal 2 4 3 3 3 6 5" xfId="28762" xr:uid="{DC1597F4-EF06-4152-945A-0D7FE8B94054}"/>
    <cellStyle name="Normal 2 4 3 3 3 7" xfId="4693" xr:uid="{00000000-0005-0000-0000-00000C100000}"/>
    <cellStyle name="Normal 2 4 3 3 3 7 2" xfId="22466" xr:uid="{EA13952B-7F0C-43E2-82B9-AFA534F962CD}"/>
    <cellStyle name="Normal 2 4 3 3 3 7 2 2" xfId="39360" xr:uid="{A41AB2E6-E485-4D00-BFE3-89CFDEBFF90F}"/>
    <cellStyle name="Normal 2 4 3 3 3 7 3" xfId="14019" xr:uid="{C2B79896-962F-4E39-8B47-0141E859A39B}"/>
    <cellStyle name="Normal 2 4 3 3 3 7 4" xfId="30913" xr:uid="{8A8F6F26-4201-497D-822D-09BD610E0628}"/>
    <cellStyle name="Normal 2 4 3 3 3 8" xfId="9021" xr:uid="{4EC0F035-DC07-4262-9C58-7142AC357944}"/>
    <cellStyle name="Normal 2 4 3 3 3 8 2" xfId="18249" xr:uid="{CA06017C-197A-45B9-8F0D-FF9F7B796155}"/>
    <cellStyle name="Normal 2 4 3 3 3 8 3" xfId="35143" xr:uid="{17703550-A087-4340-907D-820CEBFCEDC1}"/>
    <cellStyle name="Normal 2 4 3 3 3 9" xfId="9802" xr:uid="{567246FF-B374-4481-92C5-9A9E87CE7D78}"/>
    <cellStyle name="Normal 2 4 3 3 4" xfId="788" xr:uid="{00000000-0005-0000-0000-00000D100000}"/>
    <cellStyle name="Normal 2 4 3 3 4 2" xfId="3027" xr:uid="{00000000-0005-0000-0000-00000E100000}"/>
    <cellStyle name="Normal 2 4 3 3 4 2 2" xfId="7249" xr:uid="{00000000-0005-0000-0000-00000F100000}"/>
    <cellStyle name="Normal 2 4 3 3 4 2 2 2" xfId="25022" xr:uid="{0B6F5845-4BA0-4FCD-A191-1C7ACB775CBC}"/>
    <cellStyle name="Normal 2 4 3 3 4 2 2 2 2" xfId="41916" xr:uid="{CE2AD4C9-B464-463E-BDB8-45E3B9F95051}"/>
    <cellStyle name="Normal 2 4 3 3 4 2 2 3" xfId="16575" xr:uid="{D25F86F7-4CA2-43EB-97B8-D981DBBD5BA1}"/>
    <cellStyle name="Normal 2 4 3 3 4 2 2 4" xfId="33469" xr:uid="{0606FBBA-5D29-4A71-A838-82FAE5E91B6B}"/>
    <cellStyle name="Normal 2 4 3 3 4 2 3" xfId="20805" xr:uid="{D2057A4A-E866-490D-846A-E8D274E8D3C7}"/>
    <cellStyle name="Normal 2 4 3 3 4 2 3 2" xfId="37699" xr:uid="{77E2EF15-9C01-4AC2-8B3D-61D7E5E42A23}"/>
    <cellStyle name="Normal 2 4 3 3 4 2 4" xfId="12358" xr:uid="{E2857BEA-1B0B-4FB7-AA4B-901F71BDF9E2}"/>
    <cellStyle name="Normal 2 4 3 3 4 2 5" xfId="29252" xr:uid="{0CD990E5-24C9-43F2-B89D-41E4582D0D35}"/>
    <cellStyle name="Normal 2 4 3 3 4 3" xfId="5104" xr:uid="{00000000-0005-0000-0000-000010100000}"/>
    <cellStyle name="Normal 2 4 3 3 4 3 2" xfId="22877" xr:uid="{A8C733E3-83A8-47AC-8E5F-E7489F3C03D5}"/>
    <cellStyle name="Normal 2 4 3 3 4 3 2 2" xfId="39771" xr:uid="{25BDB76F-0470-4CEB-A49C-8CD763F97625}"/>
    <cellStyle name="Normal 2 4 3 3 4 3 3" xfId="14430" xr:uid="{8FA6CDB7-6E3A-4F9A-A6BA-067D2D2FA11F}"/>
    <cellStyle name="Normal 2 4 3 3 4 3 4" xfId="31324" xr:uid="{19F1E6F5-DA33-4A0C-9018-0A5CCD5C48C0}"/>
    <cellStyle name="Normal 2 4 3 3 4 4" xfId="9239" xr:uid="{3DCBA9AF-C63D-4CA9-81B6-AC7CB7B67292}"/>
    <cellStyle name="Normal 2 4 3 3 4 4 2" xfId="18660" xr:uid="{E92E1B02-DDC8-4398-87AD-7766BF91E549}"/>
    <cellStyle name="Normal 2 4 3 3 4 4 3" xfId="35554" xr:uid="{3FD68CC1-C52F-4E3D-B3A8-86B355044379}"/>
    <cellStyle name="Normal 2 4 3 3 4 5" xfId="10213" xr:uid="{05FEA05C-5D4D-408F-B766-AF93F74F26CE}"/>
    <cellStyle name="Normal 2 4 3 3 4 6" xfId="27107" xr:uid="{8802FC4C-710E-4005-B7F4-0D46B03839EC}"/>
    <cellStyle name="Normal 2 4 3 3 5" xfId="1210" xr:uid="{00000000-0005-0000-0000-000011100000}"/>
    <cellStyle name="Normal 2 4 3 3 5 2" xfId="3440" xr:uid="{00000000-0005-0000-0000-000012100000}"/>
    <cellStyle name="Normal 2 4 3 3 5 2 2" xfId="7662" xr:uid="{00000000-0005-0000-0000-000013100000}"/>
    <cellStyle name="Normal 2 4 3 3 5 2 2 2" xfId="25435" xr:uid="{33B1C0D7-C329-4E64-9FBA-8420D6ED29AF}"/>
    <cellStyle name="Normal 2 4 3 3 5 2 2 2 2" xfId="42329" xr:uid="{B1D27BBF-0C60-4306-98DF-1557C1F7F247}"/>
    <cellStyle name="Normal 2 4 3 3 5 2 2 3" xfId="16988" xr:uid="{2434786A-2362-4EC9-89F4-6A7945AD0461}"/>
    <cellStyle name="Normal 2 4 3 3 5 2 2 4" xfId="33882" xr:uid="{72553D48-8F3D-4A3B-9814-6410F29AC8F3}"/>
    <cellStyle name="Normal 2 4 3 3 5 2 3" xfId="21218" xr:uid="{4A6CD802-C199-49BD-AA68-911E9A69158E}"/>
    <cellStyle name="Normal 2 4 3 3 5 2 3 2" xfId="38112" xr:uid="{91FC7FBD-099F-4478-B128-E868216762BF}"/>
    <cellStyle name="Normal 2 4 3 3 5 2 4" xfId="12771" xr:uid="{2459035A-7C7C-4D46-91A6-2B3F8EA96900}"/>
    <cellStyle name="Normal 2 4 3 3 5 2 5" xfId="29665" xr:uid="{9F291CBB-4F98-4A53-849C-505656084B93}"/>
    <cellStyle name="Normal 2 4 3 3 5 3" xfId="5517" xr:uid="{00000000-0005-0000-0000-000014100000}"/>
    <cellStyle name="Normal 2 4 3 3 5 3 2" xfId="23290" xr:uid="{3A481DB5-2D15-4F25-A203-44DDDBF2DF21}"/>
    <cellStyle name="Normal 2 4 3 3 5 3 2 2" xfId="40184" xr:uid="{FFE96F5F-2568-418B-9B25-3A8014FEA950}"/>
    <cellStyle name="Normal 2 4 3 3 5 3 3" xfId="14843" xr:uid="{773B53C3-F3DA-4D5C-BC77-BBAC0C6E68BF}"/>
    <cellStyle name="Normal 2 4 3 3 5 3 4" xfId="31737" xr:uid="{95F5F8F8-DC10-4B13-B773-107B35FDD9B2}"/>
    <cellStyle name="Normal 2 4 3 3 5 4" xfId="19073" xr:uid="{D4E51BA2-B11E-4258-B032-CE8BDD8FC231}"/>
    <cellStyle name="Normal 2 4 3 3 5 4 2" xfId="35967" xr:uid="{C67A152A-462C-4E97-AADF-0657D515FFA4}"/>
    <cellStyle name="Normal 2 4 3 3 5 5" xfId="10626" xr:uid="{C1280E3E-E1F8-43F6-82A7-515ABB33BCB9}"/>
    <cellStyle name="Normal 2 4 3 3 5 6" xfId="27520" xr:uid="{695244A2-D1B6-4C6A-812C-FB298719AF1D}"/>
    <cellStyle name="Normal 2 4 3 3 6" xfId="1623" xr:uid="{00000000-0005-0000-0000-000015100000}"/>
    <cellStyle name="Normal 2 4 3 3 6 2" xfId="3853" xr:uid="{00000000-0005-0000-0000-000016100000}"/>
    <cellStyle name="Normal 2 4 3 3 6 2 2" xfId="8075" xr:uid="{00000000-0005-0000-0000-000017100000}"/>
    <cellStyle name="Normal 2 4 3 3 6 2 2 2" xfId="25848" xr:uid="{F72E9305-DA46-4E23-9E8E-66AA5CAE8A0D}"/>
    <cellStyle name="Normal 2 4 3 3 6 2 2 2 2" xfId="42742" xr:uid="{51D0ACE7-5D89-49E7-A870-945F8566D148}"/>
    <cellStyle name="Normal 2 4 3 3 6 2 2 3" xfId="17401" xr:uid="{F7132342-C373-4FC1-8232-B2E1CD3FB9A1}"/>
    <cellStyle name="Normal 2 4 3 3 6 2 2 4" xfId="34295" xr:uid="{0F1858B0-6AFB-453D-AC3A-2DBF8E268221}"/>
    <cellStyle name="Normal 2 4 3 3 6 2 3" xfId="21631" xr:uid="{EA87FC75-4964-420E-A892-B7E77F693964}"/>
    <cellStyle name="Normal 2 4 3 3 6 2 3 2" xfId="38525" xr:uid="{C10D7908-7E87-4BBB-AF5A-22C310B35A52}"/>
    <cellStyle name="Normal 2 4 3 3 6 2 4" xfId="13184" xr:uid="{EFCAA812-2A65-488A-AD74-CC594D279652}"/>
    <cellStyle name="Normal 2 4 3 3 6 2 5" xfId="30078" xr:uid="{D6A87135-4DEC-4A23-A73D-363F3946AE13}"/>
    <cellStyle name="Normal 2 4 3 3 6 3" xfId="5930" xr:uid="{00000000-0005-0000-0000-000018100000}"/>
    <cellStyle name="Normal 2 4 3 3 6 3 2" xfId="23703" xr:uid="{DF23DBBD-1F08-43B5-A1A6-7825E961AA77}"/>
    <cellStyle name="Normal 2 4 3 3 6 3 2 2" xfId="40597" xr:uid="{A0A943EB-04C4-420F-92F7-BC2F476596D6}"/>
    <cellStyle name="Normal 2 4 3 3 6 3 3" xfId="15256" xr:uid="{28969C38-1E1B-4432-B0C2-5AFCE13DFD9A}"/>
    <cellStyle name="Normal 2 4 3 3 6 3 4" xfId="32150" xr:uid="{82DDC1C0-993C-46CF-A806-85526C635582}"/>
    <cellStyle name="Normal 2 4 3 3 6 4" xfId="19486" xr:uid="{72CCABBC-AE26-4619-90B2-75EF3491A550}"/>
    <cellStyle name="Normal 2 4 3 3 6 4 2" xfId="36380" xr:uid="{C6F8E067-465B-4FF6-A76F-DAA22E37D1A4}"/>
    <cellStyle name="Normal 2 4 3 3 6 5" xfId="11039" xr:uid="{4210EE61-3A46-42DC-B649-ED132DF0CC0E}"/>
    <cellStyle name="Normal 2 4 3 3 6 6" xfId="27933" xr:uid="{BDD2DEE3-5D8F-423C-9FF3-58A67853F75E}"/>
    <cellStyle name="Normal 2 4 3 3 7" xfId="2037" xr:uid="{00000000-0005-0000-0000-000019100000}"/>
    <cellStyle name="Normal 2 4 3 3 7 2" xfId="4266" xr:uid="{00000000-0005-0000-0000-00001A100000}"/>
    <cellStyle name="Normal 2 4 3 3 7 2 2" xfId="8488" xr:uid="{00000000-0005-0000-0000-00001B100000}"/>
    <cellStyle name="Normal 2 4 3 3 7 2 2 2" xfId="26261" xr:uid="{03F6AD9A-AFDD-4E7C-B442-6686F166D8B0}"/>
    <cellStyle name="Normal 2 4 3 3 7 2 2 2 2" xfId="43155" xr:uid="{DE248D7B-B799-493C-AF72-E1AC0EADAF24}"/>
    <cellStyle name="Normal 2 4 3 3 7 2 2 3" xfId="17814" xr:uid="{935D3477-8D58-48B8-BB0D-35A32804E732}"/>
    <cellStyle name="Normal 2 4 3 3 7 2 2 4" xfId="34708" xr:uid="{F3C6977C-79F8-46D8-A153-C6790714D4C5}"/>
    <cellStyle name="Normal 2 4 3 3 7 2 3" xfId="22044" xr:uid="{8613B948-885D-4468-8C4F-2B7B4DA3F4A0}"/>
    <cellStyle name="Normal 2 4 3 3 7 2 3 2" xfId="38938" xr:uid="{211BD354-09C7-4D4F-9CDC-1083F84BC85C}"/>
    <cellStyle name="Normal 2 4 3 3 7 2 4" xfId="13597" xr:uid="{3382C6A0-4B7D-42C3-979C-7F29CB14DD91}"/>
    <cellStyle name="Normal 2 4 3 3 7 2 5" xfId="30491" xr:uid="{45109F02-213E-489A-8771-2163A487F096}"/>
    <cellStyle name="Normal 2 4 3 3 7 3" xfId="6343" xr:uid="{00000000-0005-0000-0000-00001C100000}"/>
    <cellStyle name="Normal 2 4 3 3 7 3 2" xfId="24116" xr:uid="{0977A891-BF1B-4851-B5FF-878324ED8A2C}"/>
    <cellStyle name="Normal 2 4 3 3 7 3 2 2" xfId="41010" xr:uid="{DEA2F519-E231-4557-B4B2-53F11EA5676A}"/>
    <cellStyle name="Normal 2 4 3 3 7 3 3" xfId="15669" xr:uid="{5AB3ED09-FCE4-4275-B552-2D4E79A2FD09}"/>
    <cellStyle name="Normal 2 4 3 3 7 3 4" xfId="32563" xr:uid="{3F5DDBCB-38C7-485A-A0C5-0B9AEFA70DF4}"/>
    <cellStyle name="Normal 2 4 3 3 7 4" xfId="19899" xr:uid="{D58A6934-DD46-4631-9DFD-F7A83FB3797C}"/>
    <cellStyle name="Normal 2 4 3 3 7 4 2" xfId="36793" xr:uid="{7966CEB6-1450-4638-8851-52CC0DA8DAE6}"/>
    <cellStyle name="Normal 2 4 3 3 7 5" xfId="11452" xr:uid="{0C9363EB-27F6-4A84-B982-6BA9D5A3E9CF}"/>
    <cellStyle name="Normal 2 4 3 3 7 6" xfId="28346" xr:uid="{2404A726-2DCF-440C-B29C-0D706925B237}"/>
    <cellStyle name="Normal 2 4 3 3 8" xfId="2473" xr:uid="{00000000-0005-0000-0000-00001D100000}"/>
    <cellStyle name="Normal 2 4 3 3 8 2" xfId="6756" xr:uid="{00000000-0005-0000-0000-00001E100000}"/>
    <cellStyle name="Normal 2 4 3 3 8 2 2" xfId="24529" xr:uid="{20A989D1-2FC8-488C-8DCC-930FE1419B38}"/>
    <cellStyle name="Normal 2 4 3 3 8 2 2 2" xfId="41423" xr:uid="{74A3B583-981C-44C3-9101-B6601E9E4B40}"/>
    <cellStyle name="Normal 2 4 3 3 8 2 3" xfId="16082" xr:uid="{00F47750-9E0F-4C5E-9044-C2DE9E01E8E3}"/>
    <cellStyle name="Normal 2 4 3 3 8 2 4" xfId="32976" xr:uid="{ED14BEAB-2EF2-47F7-AE3C-B3D9000E7D89}"/>
    <cellStyle name="Normal 2 4 3 3 8 3" xfId="20312" xr:uid="{03A0F684-1116-40BF-9DDC-68A2FDFCD3BF}"/>
    <cellStyle name="Normal 2 4 3 3 8 3 2" xfId="37206" xr:uid="{AA6C670D-8DCB-415D-AC5F-B411F9F71B04}"/>
    <cellStyle name="Normal 2 4 3 3 8 4" xfId="11865" xr:uid="{5F07C3A0-E07F-4B5C-A6FF-366858F373B5}"/>
    <cellStyle name="Normal 2 4 3 3 8 5" xfId="28759" xr:uid="{A0C9CC80-AACA-4AA9-8642-1CA759B40E6A}"/>
    <cellStyle name="Normal 2 4 3 3 9" xfId="4690" xr:uid="{00000000-0005-0000-0000-00001F100000}"/>
    <cellStyle name="Normal 2 4 3 3 9 2" xfId="22463" xr:uid="{1DC7A1DB-95A7-44E5-9FDD-182707CBB8F7}"/>
    <cellStyle name="Normal 2 4 3 3 9 2 2" xfId="39357" xr:uid="{1E54ADC1-83FE-4744-8564-5E7082669E85}"/>
    <cellStyle name="Normal 2 4 3 3 9 3" xfId="14016" xr:uid="{D367F5EB-D51C-4A8E-8962-6B18B75A9C66}"/>
    <cellStyle name="Normal 2 4 3 3 9 4" xfId="30910" xr:uid="{4B5FE886-D22E-4C9D-AFF5-B2DDB5C9EF65}"/>
    <cellStyle name="Normal 2 4 3 4" xfId="787" xr:uid="{00000000-0005-0000-0000-000020100000}"/>
    <cellStyle name="Normal 2 4 3 4 2" xfId="3026" xr:uid="{00000000-0005-0000-0000-000021100000}"/>
    <cellStyle name="Normal 2 4 3 4 2 2" xfId="7248" xr:uid="{00000000-0005-0000-0000-000022100000}"/>
    <cellStyle name="Normal 2 4 3 4 2 2 2" xfId="25021" xr:uid="{8E621829-AF43-41F9-90C5-D02FB2DF8530}"/>
    <cellStyle name="Normal 2 4 3 4 2 2 2 2" xfId="41915" xr:uid="{44A4B38C-3F97-4A7B-A926-B3F264D82058}"/>
    <cellStyle name="Normal 2 4 3 4 2 2 3" xfId="16574" xr:uid="{4FCBF035-1501-4C84-9A9F-CD3308BF2067}"/>
    <cellStyle name="Normal 2 4 3 4 2 2 4" xfId="33468" xr:uid="{22C714D7-5EDC-4BE6-B26C-6F1ABD126997}"/>
    <cellStyle name="Normal 2 4 3 4 2 3" xfId="20804" xr:uid="{A42275FE-5B05-4DAE-B775-92C2C2F221DE}"/>
    <cellStyle name="Normal 2 4 3 4 2 3 2" xfId="37698" xr:uid="{7AFB3C62-0F59-4F6D-BA45-1F605C959671}"/>
    <cellStyle name="Normal 2 4 3 4 2 4" xfId="12357" xr:uid="{1C55D084-38DA-4554-8654-701D750722CA}"/>
    <cellStyle name="Normal 2 4 3 4 2 5" xfId="29251" xr:uid="{6D68C316-987A-484B-B948-A1590537FB91}"/>
    <cellStyle name="Normal 2 4 3 4 3" xfId="5103" xr:uid="{00000000-0005-0000-0000-000023100000}"/>
    <cellStyle name="Normal 2 4 3 4 3 2" xfId="22876" xr:uid="{1F7FA0EE-7ECB-45BA-B133-32256F0B54C2}"/>
    <cellStyle name="Normal 2 4 3 4 3 2 2" xfId="39770" xr:uid="{4EE25C98-8691-4788-B474-F0D3106A4A30}"/>
    <cellStyle name="Normal 2 4 3 4 3 3" xfId="14429" xr:uid="{8784B4B4-8588-464D-AD0F-A94525EC4674}"/>
    <cellStyle name="Normal 2 4 3 4 3 4" xfId="31323" xr:uid="{524EC18D-81FB-467A-B5BD-DEA1C187E964}"/>
    <cellStyle name="Normal 2 4 3 4 4" xfId="9605" xr:uid="{31B075F0-6828-4EC6-AC77-4B4B0626A722}"/>
    <cellStyle name="Normal 2 4 3 4 4 2" xfId="18659" xr:uid="{08E99DD4-B1D3-44FF-B9EF-562780AF9775}"/>
    <cellStyle name="Normal 2 4 3 4 4 3" xfId="35553" xr:uid="{8441538E-467C-4D42-B6EC-C253E8B6BDFE}"/>
    <cellStyle name="Normal 2 4 3 4 5" xfId="10212" xr:uid="{39572C4B-C5A0-4BB7-8AF4-46698F58FF95}"/>
    <cellStyle name="Normal 2 4 3 4 6" xfId="27106" xr:uid="{D6195306-AA2E-4A7F-81FD-C75FDFC74D82}"/>
    <cellStyle name="Normal 2 4 3 5" xfId="1209" xr:uid="{00000000-0005-0000-0000-000024100000}"/>
    <cellStyle name="Normal 2 4 3 5 2" xfId="3439" xr:uid="{00000000-0005-0000-0000-000025100000}"/>
    <cellStyle name="Normal 2 4 3 5 2 2" xfId="7661" xr:uid="{00000000-0005-0000-0000-000026100000}"/>
    <cellStyle name="Normal 2 4 3 5 2 2 2" xfId="25434" xr:uid="{EFC26D69-5D5F-4946-ABB6-BE38C243FA61}"/>
    <cellStyle name="Normal 2 4 3 5 2 2 2 2" xfId="42328" xr:uid="{E6CB1091-D448-4DBD-A21F-07292C71AB27}"/>
    <cellStyle name="Normal 2 4 3 5 2 2 3" xfId="16987" xr:uid="{A182C422-C46C-4086-A104-5C88CE430D6A}"/>
    <cellStyle name="Normal 2 4 3 5 2 2 4" xfId="33881" xr:uid="{59376D3A-AC5D-4CBF-925A-0D3C50582949}"/>
    <cellStyle name="Normal 2 4 3 5 2 3" xfId="21217" xr:uid="{57F4446C-0258-4931-A245-E3073B783E27}"/>
    <cellStyle name="Normal 2 4 3 5 2 3 2" xfId="38111" xr:uid="{E6A170BC-06D1-440B-8AE1-38C833E82EF3}"/>
    <cellStyle name="Normal 2 4 3 5 2 4" xfId="12770" xr:uid="{6E219C01-CBEC-4B23-B1C7-C0CFE8BC19A4}"/>
    <cellStyle name="Normal 2 4 3 5 2 5" xfId="29664" xr:uid="{85BCE579-BE91-4548-A542-F665E5BBE03D}"/>
    <cellStyle name="Normal 2 4 3 5 3" xfId="5516" xr:uid="{00000000-0005-0000-0000-000027100000}"/>
    <cellStyle name="Normal 2 4 3 5 3 2" xfId="23289" xr:uid="{3ADED64E-6185-4E8C-886D-520569FFBB90}"/>
    <cellStyle name="Normal 2 4 3 5 3 2 2" xfId="40183" xr:uid="{BB64863E-3D64-40F6-99F0-9A85AA282A04}"/>
    <cellStyle name="Normal 2 4 3 5 3 3" xfId="14842" xr:uid="{B5A3F34F-FABD-457E-B0B6-77FBF05891EC}"/>
    <cellStyle name="Normal 2 4 3 5 3 4" xfId="31736" xr:uid="{DF0BD14A-E7CA-45DA-902C-FCC09C3F0EC5}"/>
    <cellStyle name="Normal 2 4 3 5 4" xfId="19072" xr:uid="{AECE3C36-B237-4103-8CAF-465F83FA8093}"/>
    <cellStyle name="Normal 2 4 3 5 4 2" xfId="35966" xr:uid="{E97F4FB1-952C-4632-9C3E-2EE6AFADDAA8}"/>
    <cellStyle name="Normal 2 4 3 5 5" xfId="10625" xr:uid="{728A736D-399A-4939-81ED-2E4393031634}"/>
    <cellStyle name="Normal 2 4 3 5 6" xfId="27519" xr:uid="{6DE1B76E-38E9-4031-BAFE-BF1218A546CA}"/>
    <cellStyle name="Normal 2 4 3 6" xfId="1622" xr:uid="{00000000-0005-0000-0000-000028100000}"/>
    <cellStyle name="Normal 2 4 3 6 2" xfId="3852" xr:uid="{00000000-0005-0000-0000-000029100000}"/>
    <cellStyle name="Normal 2 4 3 6 2 2" xfId="8074" xr:uid="{00000000-0005-0000-0000-00002A100000}"/>
    <cellStyle name="Normal 2 4 3 6 2 2 2" xfId="25847" xr:uid="{6D7F8251-5716-4CD3-9C79-9DBD86279EAC}"/>
    <cellStyle name="Normal 2 4 3 6 2 2 2 2" xfId="42741" xr:uid="{B88F0FE3-0AE6-4A2F-B07A-F99F8E6FB436}"/>
    <cellStyle name="Normal 2 4 3 6 2 2 3" xfId="17400" xr:uid="{542E3D78-CCA0-4A79-9B8B-C69F3F997044}"/>
    <cellStyle name="Normal 2 4 3 6 2 2 4" xfId="34294" xr:uid="{7B0113A0-3BD5-4609-938B-7E93F653F5CA}"/>
    <cellStyle name="Normal 2 4 3 6 2 3" xfId="21630" xr:uid="{37FB00B3-980F-4707-A448-9A6658814B55}"/>
    <cellStyle name="Normal 2 4 3 6 2 3 2" xfId="38524" xr:uid="{D7CE0C08-FCD8-46BA-B57A-25D12329E544}"/>
    <cellStyle name="Normal 2 4 3 6 2 4" xfId="13183" xr:uid="{988D49B4-ADFF-44BF-88FC-3BF5A337179E}"/>
    <cellStyle name="Normal 2 4 3 6 2 5" xfId="30077" xr:uid="{9DB99D7F-47F1-4AB2-A086-7F5A500040EB}"/>
    <cellStyle name="Normal 2 4 3 6 3" xfId="5929" xr:uid="{00000000-0005-0000-0000-00002B100000}"/>
    <cellStyle name="Normal 2 4 3 6 3 2" xfId="23702" xr:uid="{8B35E2DC-FE1E-41F0-9FDA-FC4215A0AB17}"/>
    <cellStyle name="Normal 2 4 3 6 3 2 2" xfId="40596" xr:uid="{F222475E-AC14-430C-8014-FEABDF0AC2F6}"/>
    <cellStyle name="Normal 2 4 3 6 3 3" xfId="15255" xr:uid="{089D0C01-318D-4A87-94A4-76A224D54ED7}"/>
    <cellStyle name="Normal 2 4 3 6 3 4" xfId="32149" xr:uid="{085D8AEE-3D5C-47DE-BE53-ACE534A34B2D}"/>
    <cellStyle name="Normal 2 4 3 6 4" xfId="19485" xr:uid="{F916B6C4-779B-4C72-83AA-7F7E161AE7AF}"/>
    <cellStyle name="Normal 2 4 3 6 4 2" xfId="36379" xr:uid="{D2221E30-B231-4DD9-AC85-F93D277325CB}"/>
    <cellStyle name="Normal 2 4 3 6 5" xfId="11038" xr:uid="{DF78B778-EB43-48F3-B24E-3A8196069FB0}"/>
    <cellStyle name="Normal 2 4 3 6 6" xfId="27932" xr:uid="{E5C3DB37-97E9-47AE-B300-C1A04E104F90}"/>
    <cellStyle name="Normal 2 4 3 7" xfId="2036" xr:uid="{00000000-0005-0000-0000-00002C100000}"/>
    <cellStyle name="Normal 2 4 3 7 2" xfId="4265" xr:uid="{00000000-0005-0000-0000-00002D100000}"/>
    <cellStyle name="Normal 2 4 3 7 2 2" xfId="8487" xr:uid="{00000000-0005-0000-0000-00002E100000}"/>
    <cellStyle name="Normal 2 4 3 7 2 2 2" xfId="26260" xr:uid="{5AFF2F4B-B111-4C18-BEAC-7AD893CBEC1B}"/>
    <cellStyle name="Normal 2 4 3 7 2 2 2 2" xfId="43154" xr:uid="{F671B5EF-B78D-4020-A309-235C52551FE8}"/>
    <cellStyle name="Normal 2 4 3 7 2 2 3" xfId="17813" xr:uid="{1E4AECF7-9108-4ED4-AAD6-A01FFF94481F}"/>
    <cellStyle name="Normal 2 4 3 7 2 2 4" xfId="34707" xr:uid="{B37C3AD2-55E8-4910-9D02-3A9C3D214DDE}"/>
    <cellStyle name="Normal 2 4 3 7 2 3" xfId="22043" xr:uid="{BD711076-5330-4FBA-BEBB-0C817FBBFA22}"/>
    <cellStyle name="Normal 2 4 3 7 2 3 2" xfId="38937" xr:uid="{F2440C75-68D5-4EEB-A173-74032229FA03}"/>
    <cellStyle name="Normal 2 4 3 7 2 4" xfId="13596" xr:uid="{72511F8C-9A17-4582-B6C5-6987A8B7DDA9}"/>
    <cellStyle name="Normal 2 4 3 7 2 5" xfId="30490" xr:uid="{0F9FBCD3-66F4-4E94-A636-286706CED97D}"/>
    <cellStyle name="Normal 2 4 3 7 3" xfId="6342" xr:uid="{00000000-0005-0000-0000-00002F100000}"/>
    <cellStyle name="Normal 2 4 3 7 3 2" xfId="24115" xr:uid="{93A7A6C0-D5C6-4428-9EFE-095D78A00367}"/>
    <cellStyle name="Normal 2 4 3 7 3 2 2" xfId="41009" xr:uid="{EA40131A-24C7-48D0-A3ED-880B01EDB0B6}"/>
    <cellStyle name="Normal 2 4 3 7 3 3" xfId="15668" xr:uid="{C5037381-5392-4403-BA03-AC861E83D13A}"/>
    <cellStyle name="Normal 2 4 3 7 3 4" xfId="32562" xr:uid="{640E6277-F5D0-465A-B792-DD88F1C1CC5B}"/>
    <cellStyle name="Normal 2 4 3 7 4" xfId="19898" xr:uid="{8AB1EE14-92BC-4B40-934C-CD8BA943150E}"/>
    <cellStyle name="Normal 2 4 3 7 4 2" xfId="36792" xr:uid="{DD8D898F-1657-4CB0-908F-3DD70F5DAADB}"/>
    <cellStyle name="Normal 2 4 3 7 5" xfId="11451" xr:uid="{74A09D94-BBA6-41BF-9A1D-0D8FB06BEA3E}"/>
    <cellStyle name="Normal 2 4 3 7 6" xfId="28345" xr:uid="{72116938-0691-462C-BE0E-503AC8265BAA}"/>
    <cellStyle name="Normal 2 4 3 8" xfId="2472" xr:uid="{00000000-0005-0000-0000-000030100000}"/>
    <cellStyle name="Normal 2 4 3 8 2" xfId="6755" xr:uid="{00000000-0005-0000-0000-000031100000}"/>
    <cellStyle name="Normal 2 4 3 8 2 2" xfId="24528" xr:uid="{F6EAEE08-2671-4691-8883-1B13ED94B9CD}"/>
    <cellStyle name="Normal 2 4 3 8 2 2 2" xfId="41422" xr:uid="{25FE00C6-DF62-4C14-980F-A8F0C8F4794D}"/>
    <cellStyle name="Normal 2 4 3 8 2 3" xfId="16081" xr:uid="{8BDEEFF3-A150-4933-8F7E-B4781A1A761C}"/>
    <cellStyle name="Normal 2 4 3 8 2 4" xfId="32975" xr:uid="{AD29156B-A9B5-4B8D-8854-2D4F8279DC74}"/>
    <cellStyle name="Normal 2 4 3 8 3" xfId="20311" xr:uid="{7ACEE2FC-07D7-4C18-B433-4B8EEA6B29DF}"/>
    <cellStyle name="Normal 2 4 3 8 3 2" xfId="37205" xr:uid="{34946A27-1B48-4302-A46C-A115E0BDF19D}"/>
    <cellStyle name="Normal 2 4 3 8 4" xfId="11864" xr:uid="{E7958420-0273-4132-B16E-FFBD7C4306C2}"/>
    <cellStyle name="Normal 2 4 3 8 5" xfId="28758" xr:uid="{F77B6D24-205F-4541-8097-5C83FAADD807}"/>
    <cellStyle name="Normal 2 4 3 9" xfId="4689" xr:uid="{00000000-0005-0000-0000-000032100000}"/>
    <cellStyle name="Normal 2 4 3 9 2" xfId="22462" xr:uid="{BD325710-3DE6-40AF-A5A8-046C7B04C769}"/>
    <cellStyle name="Normal 2 4 3 9 2 2" xfId="39356" xr:uid="{23B87FDE-59D0-4726-AB72-A0471AC1E21C}"/>
    <cellStyle name="Normal 2 4 3 9 3" xfId="14015" xr:uid="{0CEF41CA-38A4-4C70-8111-CC84AD737664}"/>
    <cellStyle name="Normal 2 4 3 9 4" xfId="30909" xr:uid="{9D2C893B-5DB9-42E1-B458-06C9F50FFC49}"/>
    <cellStyle name="Normal 2 4 4" xfId="302" xr:uid="{00000000-0005-0000-0000-000033100000}"/>
    <cellStyle name="Normal 2 4 5" xfId="303" xr:uid="{00000000-0005-0000-0000-000034100000}"/>
    <cellStyle name="Normal 2 4 5 10" xfId="4694" xr:uid="{00000000-0005-0000-0000-000035100000}"/>
    <cellStyle name="Normal 2 4 5 10 2" xfId="22467" xr:uid="{53EE629D-9769-4990-86F5-FA18CDBEDDAB}"/>
    <cellStyle name="Normal 2 4 5 10 2 2" xfId="39361" xr:uid="{4FA79AFC-C009-4608-9A5B-B368994327F1}"/>
    <cellStyle name="Normal 2 4 5 10 3" xfId="14020" xr:uid="{82F15E53-F48E-4C05-89F1-321933D8F84F}"/>
    <cellStyle name="Normal 2 4 5 10 4" xfId="30914" xr:uid="{F1336A9C-F056-4F04-A822-EFB4C7933928}"/>
    <cellStyle name="Normal 2 4 5 11" xfId="8780" xr:uid="{7650B30D-5C17-47F0-B17B-A5E27258C29E}"/>
    <cellStyle name="Normal 2 4 5 11 2" xfId="18250" xr:uid="{54FA6ECA-8322-4664-918E-D3DA4C10EF79}"/>
    <cellStyle name="Normal 2 4 5 11 3" xfId="35144" xr:uid="{29D690CA-36D2-4C02-AA94-0EB3847A5B55}"/>
    <cellStyle name="Normal 2 4 5 12" xfId="9803" xr:uid="{3F1811F7-207C-4022-B2C8-572D273C5E11}"/>
    <cellStyle name="Normal 2 4 5 13" xfId="26697" xr:uid="{6E8FDFDC-3ECD-4EFF-84AD-70016AA6B114}"/>
    <cellStyle name="Normal 2 4 5 2" xfId="304" xr:uid="{00000000-0005-0000-0000-000036100000}"/>
    <cellStyle name="Normal 2 4 5 2 10" xfId="8815" xr:uid="{40A5EFE5-2EC9-4F25-B9EC-CAF9321E00F7}"/>
    <cellStyle name="Normal 2 4 5 2 10 2" xfId="18251" xr:uid="{AF6AEFEC-E10B-4E45-864C-9845E7FCCD7D}"/>
    <cellStyle name="Normal 2 4 5 2 10 3" xfId="35145" xr:uid="{09B814C3-0D2D-4DEA-8F76-318BD8D445B0}"/>
    <cellStyle name="Normal 2 4 5 2 11" xfId="9804" xr:uid="{505B6AD3-54BE-47D3-A47D-230790253219}"/>
    <cellStyle name="Normal 2 4 5 2 12" xfId="26698" xr:uid="{2DA26D17-DDB4-40F2-A4C6-05D092AACF5F}"/>
    <cellStyle name="Normal 2 4 5 2 2" xfId="305" xr:uid="{00000000-0005-0000-0000-000037100000}"/>
    <cellStyle name="Normal 2 4 5 2 2 10" xfId="9805" xr:uid="{781D3845-1BE7-457C-8129-4447183616EC}"/>
    <cellStyle name="Normal 2 4 5 2 2 11" xfId="26699" xr:uid="{CBE2FB48-6EA1-4945-B383-25EDB92E3668}"/>
    <cellStyle name="Normal 2 4 5 2 2 2" xfId="306" xr:uid="{00000000-0005-0000-0000-000038100000}"/>
    <cellStyle name="Normal 2 4 5 2 2 2 10" xfId="26700" xr:uid="{43626A5D-94DF-44BB-BF9D-32E0C8DEB4E6}"/>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2 2 2" xfId="25029" xr:uid="{49B85152-13E9-4141-A985-3C289DCF8F62}"/>
    <cellStyle name="Normal 2 4 5 2 2 2 2 2 2 2 2" xfId="41923" xr:uid="{EBF8E869-ABF2-42DE-9993-575DE56574A0}"/>
    <cellStyle name="Normal 2 4 5 2 2 2 2 2 2 3" xfId="16582" xr:uid="{5BE9B8C7-0B1B-4E1E-8914-AF9FEF260886}"/>
    <cellStyle name="Normal 2 4 5 2 2 2 2 2 2 4" xfId="33476" xr:uid="{8E947ACA-404E-4A13-B45F-4C1D117F498D}"/>
    <cellStyle name="Normal 2 4 5 2 2 2 2 2 3" xfId="20812" xr:uid="{F58F7D2D-223E-4780-84F6-CAF51E9B78D7}"/>
    <cellStyle name="Normal 2 4 5 2 2 2 2 2 3 2" xfId="37706" xr:uid="{A97B3E59-2ED1-4F2D-8F97-684F590234D0}"/>
    <cellStyle name="Normal 2 4 5 2 2 2 2 2 4" xfId="12365" xr:uid="{C1F69D59-44EE-4831-B51D-F9261AC2A266}"/>
    <cellStyle name="Normal 2 4 5 2 2 2 2 2 5" xfId="29259" xr:uid="{78403994-CF3B-40CA-B794-D232B531EC5A}"/>
    <cellStyle name="Normal 2 4 5 2 2 2 2 3" xfId="5111" xr:uid="{00000000-0005-0000-0000-00003C100000}"/>
    <cellStyle name="Normal 2 4 5 2 2 2 2 3 2" xfId="22884" xr:uid="{318B932B-2399-43C4-BFD2-9C530F4E1585}"/>
    <cellStyle name="Normal 2 4 5 2 2 2 2 3 2 2" xfId="39778" xr:uid="{ED49212F-FDDF-41F5-9180-156CC6F081FC}"/>
    <cellStyle name="Normal 2 4 5 2 2 2 2 3 3" xfId="14437" xr:uid="{844E6FEF-E7A1-4203-BA94-72E97D05DFA1}"/>
    <cellStyle name="Normal 2 4 5 2 2 2 2 3 4" xfId="31331" xr:uid="{DFCF60B7-6034-453B-A400-A2B3EE403777}"/>
    <cellStyle name="Normal 2 4 5 2 2 2 2 4" xfId="9550" xr:uid="{8A7671EC-AB7E-4F51-9B1B-FE1F0FDC42A9}"/>
    <cellStyle name="Normal 2 4 5 2 2 2 2 4 2" xfId="18667" xr:uid="{CFADD93C-66EE-4D4D-8226-4B52F1A7AF93}"/>
    <cellStyle name="Normal 2 4 5 2 2 2 2 4 3" xfId="35561" xr:uid="{306EA0E6-F840-4566-9769-96D1FC849401}"/>
    <cellStyle name="Normal 2 4 5 2 2 2 2 5" xfId="10220" xr:uid="{3C5B3875-09A2-4866-8BC6-3EF4AB7D4CFE}"/>
    <cellStyle name="Normal 2 4 5 2 2 2 2 6" xfId="27114" xr:uid="{10C07088-0DF6-4E7A-B08A-7F05032C7570}"/>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2 2 2" xfId="25442" xr:uid="{2CD4A87E-AA9C-4B10-A312-BAAB0A85128A}"/>
    <cellStyle name="Normal 2 4 5 2 2 2 3 2 2 2 2" xfId="42336" xr:uid="{C8E18EAD-2F37-47CC-B29C-D3A2DEE8F8D9}"/>
    <cellStyle name="Normal 2 4 5 2 2 2 3 2 2 3" xfId="16995" xr:uid="{EAD888F9-E226-4A60-B5AB-A6888BDB4B51}"/>
    <cellStyle name="Normal 2 4 5 2 2 2 3 2 2 4" xfId="33889" xr:uid="{2161D563-289C-41F9-9C72-2C16A3A7D221}"/>
    <cellStyle name="Normal 2 4 5 2 2 2 3 2 3" xfId="21225" xr:uid="{C34ADACC-4E7B-454B-BDE7-AB8732FE3846}"/>
    <cellStyle name="Normal 2 4 5 2 2 2 3 2 3 2" xfId="38119" xr:uid="{37F4217C-F11A-4D3F-8CB5-53AE8447E548}"/>
    <cellStyle name="Normal 2 4 5 2 2 2 3 2 4" xfId="12778" xr:uid="{0D26B1A4-5892-45F3-99CA-B8EC1E2974E1}"/>
    <cellStyle name="Normal 2 4 5 2 2 2 3 2 5" xfId="29672" xr:uid="{763C701C-B43D-4933-8462-4F684CD5EA07}"/>
    <cellStyle name="Normal 2 4 5 2 2 2 3 3" xfId="5524" xr:uid="{00000000-0005-0000-0000-000040100000}"/>
    <cellStyle name="Normal 2 4 5 2 2 2 3 3 2" xfId="23297" xr:uid="{F736FFAD-BB55-42A6-9B08-174980E80784}"/>
    <cellStyle name="Normal 2 4 5 2 2 2 3 3 2 2" xfId="40191" xr:uid="{1A021CD3-7BD5-4F96-A073-D44453CF48B0}"/>
    <cellStyle name="Normal 2 4 5 2 2 2 3 3 3" xfId="14850" xr:uid="{3C4099F1-E301-4D9A-8705-D09A8AEFDC5D}"/>
    <cellStyle name="Normal 2 4 5 2 2 2 3 3 4" xfId="31744" xr:uid="{2885A9F9-9E31-45DC-BEE7-C8835028694F}"/>
    <cellStyle name="Normal 2 4 5 2 2 2 3 4" xfId="19080" xr:uid="{E0825B11-8483-4D98-B16B-70D7DB8EC139}"/>
    <cellStyle name="Normal 2 4 5 2 2 2 3 4 2" xfId="35974" xr:uid="{B587AE91-5AC7-46BE-9B53-19D6F843320C}"/>
    <cellStyle name="Normal 2 4 5 2 2 2 3 5" xfId="10633" xr:uid="{C6BA07D0-3885-4489-97CF-725BE0C2CBE5}"/>
    <cellStyle name="Normal 2 4 5 2 2 2 3 6" xfId="27527" xr:uid="{A87A2786-ABCD-4230-B70A-AED85D7855EE}"/>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2 2 2" xfId="25855" xr:uid="{D5852F38-B0A9-4757-9782-06C3B9C16D4F}"/>
    <cellStyle name="Normal 2 4 5 2 2 2 4 2 2 2 2" xfId="42749" xr:uid="{57FF6224-A815-4913-86B7-C15B18D3F34A}"/>
    <cellStyle name="Normal 2 4 5 2 2 2 4 2 2 3" xfId="17408" xr:uid="{97568D18-A77F-4DED-B0B7-AB81D0352A53}"/>
    <cellStyle name="Normal 2 4 5 2 2 2 4 2 2 4" xfId="34302" xr:uid="{456C7610-CC5E-47E5-A73E-BB6D5AE8709A}"/>
    <cellStyle name="Normal 2 4 5 2 2 2 4 2 3" xfId="21638" xr:uid="{9F5E3F54-73D4-454A-91DE-F2FCE5185F94}"/>
    <cellStyle name="Normal 2 4 5 2 2 2 4 2 3 2" xfId="38532" xr:uid="{D07C5E0A-B8C6-48B0-8863-2351C808D30A}"/>
    <cellStyle name="Normal 2 4 5 2 2 2 4 2 4" xfId="13191" xr:uid="{EB0FB3EF-4DB5-4CD8-A02D-82C15DF5B430}"/>
    <cellStyle name="Normal 2 4 5 2 2 2 4 2 5" xfId="30085" xr:uid="{781093EA-949C-460D-9721-5CAC88DCAFD1}"/>
    <cellStyle name="Normal 2 4 5 2 2 2 4 3" xfId="5937" xr:uid="{00000000-0005-0000-0000-000044100000}"/>
    <cellStyle name="Normal 2 4 5 2 2 2 4 3 2" xfId="23710" xr:uid="{582B2F58-8161-4287-B06F-AB6D3FC5BBFE}"/>
    <cellStyle name="Normal 2 4 5 2 2 2 4 3 2 2" xfId="40604" xr:uid="{8180E7E3-0014-488A-8D10-42B551D32826}"/>
    <cellStyle name="Normal 2 4 5 2 2 2 4 3 3" xfId="15263" xr:uid="{0E9C63EC-9C3E-4A5A-9CEA-68FE95AA4EA8}"/>
    <cellStyle name="Normal 2 4 5 2 2 2 4 3 4" xfId="32157" xr:uid="{2B93EF19-8000-4EE9-9B72-F0F65D599D71}"/>
    <cellStyle name="Normal 2 4 5 2 2 2 4 4" xfId="19493" xr:uid="{8E07E585-C68C-4DB1-AF55-F61C2E0C5F0C}"/>
    <cellStyle name="Normal 2 4 5 2 2 2 4 4 2" xfId="36387" xr:uid="{B315FA01-158A-47B7-9D18-E4E9BBBA87A8}"/>
    <cellStyle name="Normal 2 4 5 2 2 2 4 5" xfId="11046" xr:uid="{49174762-07A7-4097-AF3F-81F4A2694C35}"/>
    <cellStyle name="Normal 2 4 5 2 2 2 4 6" xfId="27940" xr:uid="{0B8D62B3-B9E4-4BAB-B905-E23115AB8636}"/>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2 2 2" xfId="26268" xr:uid="{5AF49B2D-428D-49A9-BF4A-76D2FA972CC0}"/>
    <cellStyle name="Normal 2 4 5 2 2 2 5 2 2 2 2" xfId="43162" xr:uid="{E86C895D-2C94-4554-ACC8-5498E993CC56}"/>
    <cellStyle name="Normal 2 4 5 2 2 2 5 2 2 3" xfId="17821" xr:uid="{E2DE278E-AECC-4280-AA11-81781E6FDB28}"/>
    <cellStyle name="Normal 2 4 5 2 2 2 5 2 2 4" xfId="34715" xr:uid="{B0AD6ECD-D280-41FC-8040-21C6206FC4A5}"/>
    <cellStyle name="Normal 2 4 5 2 2 2 5 2 3" xfId="22051" xr:uid="{DCC6B996-0C27-4606-BED2-DC44ED185116}"/>
    <cellStyle name="Normal 2 4 5 2 2 2 5 2 3 2" xfId="38945" xr:uid="{E3AED7B9-9AB2-446D-9772-AC55C6048626}"/>
    <cellStyle name="Normal 2 4 5 2 2 2 5 2 4" xfId="13604" xr:uid="{35CCEE84-32EB-42A4-A849-30B4B7AEB388}"/>
    <cellStyle name="Normal 2 4 5 2 2 2 5 2 5" xfId="30498" xr:uid="{70E522D9-52E3-4805-8950-BA5EAAB0564E}"/>
    <cellStyle name="Normal 2 4 5 2 2 2 5 3" xfId="6350" xr:uid="{00000000-0005-0000-0000-000048100000}"/>
    <cellStyle name="Normal 2 4 5 2 2 2 5 3 2" xfId="24123" xr:uid="{631B0C41-6FD5-450E-8CC8-1E20350E0CA2}"/>
    <cellStyle name="Normal 2 4 5 2 2 2 5 3 2 2" xfId="41017" xr:uid="{216C43B6-677D-4E30-AA90-4B7E1E21E54D}"/>
    <cellStyle name="Normal 2 4 5 2 2 2 5 3 3" xfId="15676" xr:uid="{9653AF4C-51A4-421F-9B5C-361556BF5929}"/>
    <cellStyle name="Normal 2 4 5 2 2 2 5 3 4" xfId="32570" xr:uid="{EF367C4A-C766-4AD0-BA1F-0D6AA96262D3}"/>
    <cellStyle name="Normal 2 4 5 2 2 2 5 4" xfId="19906" xr:uid="{F2E6B53F-03A4-4D12-81EC-6A919BE3CC92}"/>
    <cellStyle name="Normal 2 4 5 2 2 2 5 4 2" xfId="36800" xr:uid="{3F78A5C7-72D6-4E1E-9DDC-57E9D29FFE76}"/>
    <cellStyle name="Normal 2 4 5 2 2 2 5 5" xfId="11459" xr:uid="{4F7A3656-EC37-4547-AB3E-0DEC307B5FD6}"/>
    <cellStyle name="Normal 2 4 5 2 2 2 5 6" xfId="28353" xr:uid="{7EB71A6E-C3F7-4042-94A8-9CD4E29EA7EB}"/>
    <cellStyle name="Normal 2 4 5 2 2 2 6" xfId="2480" xr:uid="{00000000-0005-0000-0000-000049100000}"/>
    <cellStyle name="Normal 2 4 5 2 2 2 6 2" xfId="6763" xr:uid="{00000000-0005-0000-0000-00004A100000}"/>
    <cellStyle name="Normal 2 4 5 2 2 2 6 2 2" xfId="24536" xr:uid="{B8DD87BA-6ACD-4B93-ACE2-35E337421D9F}"/>
    <cellStyle name="Normal 2 4 5 2 2 2 6 2 2 2" xfId="41430" xr:uid="{46A73903-172E-4D4B-A8E9-50CAEFB2C453}"/>
    <cellStyle name="Normal 2 4 5 2 2 2 6 2 3" xfId="16089" xr:uid="{1712C772-5F77-437D-8A86-C20773685531}"/>
    <cellStyle name="Normal 2 4 5 2 2 2 6 2 4" xfId="32983" xr:uid="{1E9160FE-724F-4EC7-8FCB-CEB871B6D8F4}"/>
    <cellStyle name="Normal 2 4 5 2 2 2 6 3" xfId="20319" xr:uid="{26041960-2D5E-488E-859F-2763BB290F99}"/>
    <cellStyle name="Normal 2 4 5 2 2 2 6 3 2" xfId="37213" xr:uid="{A3E8520E-45D4-42F7-A23C-976F231A58A5}"/>
    <cellStyle name="Normal 2 4 5 2 2 2 6 4" xfId="11872" xr:uid="{1164D6B9-92D2-4687-A82C-5C7B9EF8B028}"/>
    <cellStyle name="Normal 2 4 5 2 2 2 6 5" xfId="28766" xr:uid="{18916C65-2693-4E2C-BE2A-5F6171DF27B0}"/>
    <cellStyle name="Normal 2 4 5 2 2 2 7" xfId="4697" xr:uid="{00000000-0005-0000-0000-00004B100000}"/>
    <cellStyle name="Normal 2 4 5 2 2 2 7 2" xfId="22470" xr:uid="{D2EBD11B-7063-4079-A0A7-4DE174E8B0FF}"/>
    <cellStyle name="Normal 2 4 5 2 2 2 7 2 2" xfId="39364" xr:uid="{EF5FE634-C14B-48A9-B111-91254A71C21E}"/>
    <cellStyle name="Normal 2 4 5 2 2 2 7 3" xfId="14023" xr:uid="{FCD8BCF1-CDAC-45AC-8D4E-72328DEBA5EE}"/>
    <cellStyle name="Normal 2 4 5 2 2 2 7 4" xfId="30917" xr:uid="{FC6525B4-0B76-4A92-8201-DB033E0C662D}"/>
    <cellStyle name="Normal 2 4 5 2 2 2 8" xfId="9125" xr:uid="{AE6B93A1-5C0B-49F1-AF15-6FC3FAFFE3B2}"/>
    <cellStyle name="Normal 2 4 5 2 2 2 8 2" xfId="18253" xr:uid="{79F86CFB-A4FC-4A3E-A63F-290E13D759D0}"/>
    <cellStyle name="Normal 2 4 5 2 2 2 8 3" xfId="35147" xr:uid="{7EC8C820-6615-49A9-ABEB-94B9F8409FB7}"/>
    <cellStyle name="Normal 2 4 5 2 2 2 9" xfId="9806" xr:uid="{593A73AF-9F05-44DB-873A-080C9066DEF4}"/>
    <cellStyle name="Normal 2 4 5 2 2 3" xfId="794" xr:uid="{00000000-0005-0000-0000-00004C100000}"/>
    <cellStyle name="Normal 2 4 5 2 2 3 2" xfId="3033" xr:uid="{00000000-0005-0000-0000-00004D100000}"/>
    <cellStyle name="Normal 2 4 5 2 2 3 2 2" xfId="7255" xr:uid="{00000000-0005-0000-0000-00004E100000}"/>
    <cellStyle name="Normal 2 4 5 2 2 3 2 2 2" xfId="25028" xr:uid="{F5834981-6634-49AF-9603-3AE7E38843B8}"/>
    <cellStyle name="Normal 2 4 5 2 2 3 2 2 2 2" xfId="41922" xr:uid="{E2660B46-9E5F-448C-BF07-548BD79217B9}"/>
    <cellStyle name="Normal 2 4 5 2 2 3 2 2 3" xfId="16581" xr:uid="{B17A90D5-A700-452C-A277-4A4D97598141}"/>
    <cellStyle name="Normal 2 4 5 2 2 3 2 2 4" xfId="33475" xr:uid="{44335924-7D50-486C-9ED6-5D0BE7FFFFD3}"/>
    <cellStyle name="Normal 2 4 5 2 2 3 2 3" xfId="20811" xr:uid="{F2650B95-75A6-4248-81F9-D17109878239}"/>
    <cellStyle name="Normal 2 4 5 2 2 3 2 3 2" xfId="37705" xr:uid="{E74B48D4-EA70-489F-A524-BEB6CF894D12}"/>
    <cellStyle name="Normal 2 4 5 2 2 3 2 4" xfId="12364" xr:uid="{0B553749-842E-4B5D-A436-A2AEE9FE427C}"/>
    <cellStyle name="Normal 2 4 5 2 2 3 2 5" xfId="29258" xr:uid="{E8CA2CF1-8821-4C7B-9C76-F9EDDD0065E5}"/>
    <cellStyle name="Normal 2 4 5 2 2 3 3" xfId="5110" xr:uid="{00000000-0005-0000-0000-00004F100000}"/>
    <cellStyle name="Normal 2 4 5 2 2 3 3 2" xfId="22883" xr:uid="{4065D8A3-EAFB-4D89-8867-AB5E249EC5FE}"/>
    <cellStyle name="Normal 2 4 5 2 2 3 3 2 2" xfId="39777" xr:uid="{2D18214D-A158-4F8C-B3D6-D19E4B6C8FCD}"/>
    <cellStyle name="Normal 2 4 5 2 2 3 3 3" xfId="14436" xr:uid="{AB174F5A-0D0F-4CA8-A07A-1E90659150FA}"/>
    <cellStyle name="Normal 2 4 5 2 2 3 3 4" xfId="31330" xr:uid="{C3269822-1748-4FE6-9954-3D09C0D6A908}"/>
    <cellStyle name="Normal 2 4 5 2 2 3 4" xfId="9343" xr:uid="{FC4CD386-4202-45E2-8021-2A85CACF4E8B}"/>
    <cellStyle name="Normal 2 4 5 2 2 3 4 2" xfId="18666" xr:uid="{C6C6C95E-CB63-448C-8604-ED23760ED4A6}"/>
    <cellStyle name="Normal 2 4 5 2 2 3 4 3" xfId="35560" xr:uid="{BF326E30-9296-4FD8-87EC-2C6164A30DB7}"/>
    <cellStyle name="Normal 2 4 5 2 2 3 5" xfId="10219" xr:uid="{B9080E50-2ECE-4BDB-8ABC-5C5FDB8689F7}"/>
    <cellStyle name="Normal 2 4 5 2 2 3 6" xfId="27113" xr:uid="{CD530ED1-0504-4D6B-B783-FE1AC812BEEC}"/>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2 2 2" xfId="25441" xr:uid="{BE0675AC-4663-4761-AFF6-5A105AED8834}"/>
    <cellStyle name="Normal 2 4 5 2 2 4 2 2 2 2" xfId="42335" xr:uid="{3748F9D5-7259-43BF-909D-7E8D0D6B9F00}"/>
    <cellStyle name="Normal 2 4 5 2 2 4 2 2 3" xfId="16994" xr:uid="{E6561F19-0EE3-4D36-ADDA-AD9185BD5A59}"/>
    <cellStyle name="Normal 2 4 5 2 2 4 2 2 4" xfId="33888" xr:uid="{01883D2A-6284-4769-9CFA-04E33BFF6B39}"/>
    <cellStyle name="Normal 2 4 5 2 2 4 2 3" xfId="21224" xr:uid="{31B6D18B-58A7-4AC7-8FCE-C6854EB15921}"/>
    <cellStyle name="Normal 2 4 5 2 2 4 2 3 2" xfId="38118" xr:uid="{E05F6AA9-535F-46A7-A2E6-676FED1790A7}"/>
    <cellStyle name="Normal 2 4 5 2 2 4 2 4" xfId="12777" xr:uid="{AF750929-3F0F-4B55-97F3-88F62E2E5F67}"/>
    <cellStyle name="Normal 2 4 5 2 2 4 2 5" xfId="29671" xr:uid="{11F4ECD7-7B5F-40E0-8398-F00F95CB676A}"/>
    <cellStyle name="Normal 2 4 5 2 2 4 3" xfId="5523" xr:uid="{00000000-0005-0000-0000-000053100000}"/>
    <cellStyle name="Normal 2 4 5 2 2 4 3 2" xfId="23296" xr:uid="{FC00CE96-2FBC-4F9C-A7AA-67A35ADAA486}"/>
    <cellStyle name="Normal 2 4 5 2 2 4 3 2 2" xfId="40190" xr:uid="{34ABF36C-3E45-4CE5-99B3-D9943821B106}"/>
    <cellStyle name="Normal 2 4 5 2 2 4 3 3" xfId="14849" xr:uid="{146F0E17-F851-481E-849A-DBB07F4C7445}"/>
    <cellStyle name="Normal 2 4 5 2 2 4 3 4" xfId="31743" xr:uid="{E3AAF8A9-32CE-436B-99B3-99E4C53A9A7B}"/>
    <cellStyle name="Normal 2 4 5 2 2 4 4" xfId="19079" xr:uid="{4FAEC8E4-9E92-4DC3-84DD-60263E8CBD61}"/>
    <cellStyle name="Normal 2 4 5 2 2 4 4 2" xfId="35973" xr:uid="{09A759BD-ED18-4B6B-8165-2E1259A7E526}"/>
    <cellStyle name="Normal 2 4 5 2 2 4 5" xfId="10632" xr:uid="{828EEE2D-789A-48BB-9552-D79CE7C41659}"/>
    <cellStyle name="Normal 2 4 5 2 2 4 6" xfId="27526" xr:uid="{6E764039-FAA9-40C1-AE8F-4AED0E9A9C99}"/>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2 2 2" xfId="25854" xr:uid="{87E83CD2-656F-410E-99F5-E5C657EE4DCF}"/>
    <cellStyle name="Normal 2 4 5 2 2 5 2 2 2 2" xfId="42748" xr:uid="{F1304B39-ED02-4239-B627-331F58FBF1E6}"/>
    <cellStyle name="Normal 2 4 5 2 2 5 2 2 3" xfId="17407" xr:uid="{9645FE8B-DAEC-43B7-A7A2-07403B091741}"/>
    <cellStyle name="Normal 2 4 5 2 2 5 2 2 4" xfId="34301" xr:uid="{81BDECA6-0940-4077-B1B9-BC6DFB6DB9A6}"/>
    <cellStyle name="Normal 2 4 5 2 2 5 2 3" xfId="21637" xr:uid="{76E2E6A7-41F2-4540-AE74-CFA6963D34E7}"/>
    <cellStyle name="Normal 2 4 5 2 2 5 2 3 2" xfId="38531" xr:uid="{2777FB8C-5CA8-4C31-9C53-FD2EEDD800E1}"/>
    <cellStyle name="Normal 2 4 5 2 2 5 2 4" xfId="13190" xr:uid="{05D55AD3-056F-4D00-A83C-2A946AF8A9C5}"/>
    <cellStyle name="Normal 2 4 5 2 2 5 2 5" xfId="30084" xr:uid="{C4BE3E39-4E71-4CCB-BAC1-2F3720690012}"/>
    <cellStyle name="Normal 2 4 5 2 2 5 3" xfId="5936" xr:uid="{00000000-0005-0000-0000-000057100000}"/>
    <cellStyle name="Normal 2 4 5 2 2 5 3 2" xfId="23709" xr:uid="{D1975EBF-18D2-4DE3-867B-A6398E98C4B2}"/>
    <cellStyle name="Normal 2 4 5 2 2 5 3 2 2" xfId="40603" xr:uid="{4A7DE8A6-81CD-4EA9-AED8-DE889FC2C3F0}"/>
    <cellStyle name="Normal 2 4 5 2 2 5 3 3" xfId="15262" xr:uid="{007C7187-74B6-4628-8989-E68644BE3690}"/>
    <cellStyle name="Normal 2 4 5 2 2 5 3 4" xfId="32156" xr:uid="{C821A4E8-EE67-42A1-809E-6E96E96C5B8B}"/>
    <cellStyle name="Normal 2 4 5 2 2 5 4" xfId="19492" xr:uid="{0F30DFAD-0DAF-4B68-B004-6C5EC6FEBE27}"/>
    <cellStyle name="Normal 2 4 5 2 2 5 4 2" xfId="36386" xr:uid="{B703350B-86A4-4E3A-A45C-E768CF11285E}"/>
    <cellStyle name="Normal 2 4 5 2 2 5 5" xfId="11045" xr:uid="{8BCCBE9D-779A-4E26-A7DC-5723CECB2FF4}"/>
    <cellStyle name="Normal 2 4 5 2 2 5 6" xfId="27939" xr:uid="{CC959243-45DD-4611-A74A-6231AE6F9393}"/>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2 2 2" xfId="26267" xr:uid="{C841BB43-8AA4-4E47-A0D0-94ABC8F90955}"/>
    <cellStyle name="Normal 2 4 5 2 2 6 2 2 2 2" xfId="43161" xr:uid="{51B91D7E-D9FA-4363-811F-0F6B1DB94A80}"/>
    <cellStyle name="Normal 2 4 5 2 2 6 2 2 3" xfId="17820" xr:uid="{50BD8925-0F5F-46AB-B8C1-69AAD8C143D7}"/>
    <cellStyle name="Normal 2 4 5 2 2 6 2 2 4" xfId="34714" xr:uid="{3DEEFCF4-3423-484B-BDD3-CBE175A02B99}"/>
    <cellStyle name="Normal 2 4 5 2 2 6 2 3" xfId="22050" xr:uid="{DBDC6929-1A2F-4EF1-87D9-60BD118EA284}"/>
    <cellStyle name="Normal 2 4 5 2 2 6 2 3 2" xfId="38944" xr:uid="{A1B319A5-6F3F-4A63-9081-305AC65977E1}"/>
    <cellStyle name="Normal 2 4 5 2 2 6 2 4" xfId="13603" xr:uid="{80F94667-2933-40ED-8703-9EFFF7A0004B}"/>
    <cellStyle name="Normal 2 4 5 2 2 6 2 5" xfId="30497" xr:uid="{8EA7C882-E361-4C23-B66F-26C12DCE6798}"/>
    <cellStyle name="Normal 2 4 5 2 2 6 3" xfId="6349" xr:uid="{00000000-0005-0000-0000-00005B100000}"/>
    <cellStyle name="Normal 2 4 5 2 2 6 3 2" xfId="24122" xr:uid="{9CA51AA4-36E0-4728-BBA9-31E70A74555F}"/>
    <cellStyle name="Normal 2 4 5 2 2 6 3 2 2" xfId="41016" xr:uid="{35D9D168-5D92-4C81-9FBF-EB384C8A3659}"/>
    <cellStyle name="Normal 2 4 5 2 2 6 3 3" xfId="15675" xr:uid="{231FCBC9-112A-4DA2-97A5-53A31563B52C}"/>
    <cellStyle name="Normal 2 4 5 2 2 6 3 4" xfId="32569" xr:uid="{A8A4583B-E750-42F2-A68A-772F1E33A3C6}"/>
    <cellStyle name="Normal 2 4 5 2 2 6 4" xfId="19905" xr:uid="{F1894D70-6257-484C-8581-5C68A625822A}"/>
    <cellStyle name="Normal 2 4 5 2 2 6 4 2" xfId="36799" xr:uid="{7DE390FE-5B20-4DA7-B3BA-3335C59A5ED1}"/>
    <cellStyle name="Normal 2 4 5 2 2 6 5" xfId="11458" xr:uid="{B9DB47A6-5E9A-444F-9801-D6EF7014FAA0}"/>
    <cellStyle name="Normal 2 4 5 2 2 6 6" xfId="28352" xr:uid="{870920FD-7532-4F77-80E3-59DAD8FF3865}"/>
    <cellStyle name="Normal 2 4 5 2 2 7" xfId="2479" xr:uid="{00000000-0005-0000-0000-00005C100000}"/>
    <cellStyle name="Normal 2 4 5 2 2 7 2" xfId="6762" xr:uid="{00000000-0005-0000-0000-00005D100000}"/>
    <cellStyle name="Normal 2 4 5 2 2 7 2 2" xfId="24535" xr:uid="{FDE65253-F36B-4977-B112-7C55A97943B0}"/>
    <cellStyle name="Normal 2 4 5 2 2 7 2 2 2" xfId="41429" xr:uid="{5F518EE6-78ED-42C2-A1B0-FF75EC2D81D5}"/>
    <cellStyle name="Normal 2 4 5 2 2 7 2 3" xfId="16088" xr:uid="{67CBC857-430C-4EF3-B7C9-ED30E2FF06C7}"/>
    <cellStyle name="Normal 2 4 5 2 2 7 2 4" xfId="32982" xr:uid="{7C2302DE-1763-4294-885B-DD82DAF594FD}"/>
    <cellStyle name="Normal 2 4 5 2 2 7 3" xfId="20318" xr:uid="{66CB96FF-070A-482D-AC27-312402A58906}"/>
    <cellStyle name="Normal 2 4 5 2 2 7 3 2" xfId="37212" xr:uid="{900449E0-A835-4DC6-A09A-45F1E99ED7E9}"/>
    <cellStyle name="Normal 2 4 5 2 2 7 4" xfId="11871" xr:uid="{90F1AD87-3A09-4291-9B9E-0D35398CE75B}"/>
    <cellStyle name="Normal 2 4 5 2 2 7 5" xfId="28765" xr:uid="{A32CD6BC-58FC-4976-9E00-3A29270158B4}"/>
    <cellStyle name="Normal 2 4 5 2 2 8" xfId="4696" xr:uid="{00000000-0005-0000-0000-00005E100000}"/>
    <cellStyle name="Normal 2 4 5 2 2 8 2" xfId="22469" xr:uid="{B1090AF8-76EF-4975-A3B4-E0860086DB09}"/>
    <cellStyle name="Normal 2 4 5 2 2 8 2 2" xfId="39363" xr:uid="{96F71B2B-8845-45B5-B65B-EA67F85395F3}"/>
    <cellStyle name="Normal 2 4 5 2 2 8 3" xfId="14022" xr:uid="{1F35039D-4E54-40D4-8619-85EA49750D57}"/>
    <cellStyle name="Normal 2 4 5 2 2 8 4" xfId="30916" xr:uid="{B77C9ECC-0952-4C7D-9299-9440CDC1F365}"/>
    <cellStyle name="Normal 2 4 5 2 2 9" xfId="8918" xr:uid="{C191AFB9-5B9B-45BF-8589-0BB68E370D0F}"/>
    <cellStyle name="Normal 2 4 5 2 2 9 2" xfId="18252" xr:uid="{EDB04DF1-D632-4B9E-BF77-9C7F4A1FD346}"/>
    <cellStyle name="Normal 2 4 5 2 2 9 3" xfId="35146" xr:uid="{5539BD9A-3CA2-41B8-9F34-246FD0295374}"/>
    <cellStyle name="Normal 2 4 5 2 3" xfId="307" xr:uid="{00000000-0005-0000-0000-00005F100000}"/>
    <cellStyle name="Normal 2 4 5 2 3 10" xfId="26701" xr:uid="{06381A57-8152-4937-A64A-31279272D201}"/>
    <cellStyle name="Normal 2 4 5 2 3 2" xfId="796" xr:uid="{00000000-0005-0000-0000-000060100000}"/>
    <cellStyle name="Normal 2 4 5 2 3 2 2" xfId="3035" xr:uid="{00000000-0005-0000-0000-000061100000}"/>
    <cellStyle name="Normal 2 4 5 2 3 2 2 2" xfId="7257" xr:uid="{00000000-0005-0000-0000-000062100000}"/>
    <cellStyle name="Normal 2 4 5 2 3 2 2 2 2" xfId="25030" xr:uid="{1AFD5CB6-9649-4E72-A811-1DCE61113091}"/>
    <cellStyle name="Normal 2 4 5 2 3 2 2 2 2 2" xfId="41924" xr:uid="{1625929B-7155-4D49-A28D-E26D1AC9AE4A}"/>
    <cellStyle name="Normal 2 4 5 2 3 2 2 2 3" xfId="16583" xr:uid="{C3F4D004-2EE2-4530-A767-CAD24E8CD4B2}"/>
    <cellStyle name="Normal 2 4 5 2 3 2 2 2 4" xfId="33477" xr:uid="{C5D8B04B-31EB-496E-823F-9D3B597D2BDB}"/>
    <cellStyle name="Normal 2 4 5 2 3 2 2 3" xfId="20813" xr:uid="{7B99DA27-A640-4311-B338-4794F9117534}"/>
    <cellStyle name="Normal 2 4 5 2 3 2 2 3 2" xfId="37707" xr:uid="{44969A43-7602-425A-828C-BB30C3219B68}"/>
    <cellStyle name="Normal 2 4 5 2 3 2 2 4" xfId="12366" xr:uid="{D18A520D-C0DB-4909-8008-E19238BA5FF1}"/>
    <cellStyle name="Normal 2 4 5 2 3 2 2 5" xfId="29260" xr:uid="{6876E442-71D9-488C-8278-DA798125535F}"/>
    <cellStyle name="Normal 2 4 5 2 3 2 3" xfId="5112" xr:uid="{00000000-0005-0000-0000-000063100000}"/>
    <cellStyle name="Normal 2 4 5 2 3 2 3 2" xfId="22885" xr:uid="{4D036C3B-C73A-45E2-967B-11487C96D93F}"/>
    <cellStyle name="Normal 2 4 5 2 3 2 3 2 2" xfId="39779" xr:uid="{8D555960-EBEE-428A-B903-73C063AEDABE}"/>
    <cellStyle name="Normal 2 4 5 2 3 2 3 3" xfId="14438" xr:uid="{417F1AF3-A6C8-4AEA-8D6A-231D05AF0134}"/>
    <cellStyle name="Normal 2 4 5 2 3 2 3 4" xfId="31332" xr:uid="{0688F185-5070-4AA7-A746-DA047CA2103D}"/>
    <cellStyle name="Normal 2 4 5 2 3 2 4" xfId="9447" xr:uid="{5DAE67B2-15F6-4C7F-9310-B9C816D42F72}"/>
    <cellStyle name="Normal 2 4 5 2 3 2 4 2" xfId="18668" xr:uid="{F3496A06-2005-47A1-B67F-AAA87EBE5024}"/>
    <cellStyle name="Normal 2 4 5 2 3 2 4 3" xfId="35562" xr:uid="{7F054109-0197-4C2A-8E66-5F45BC40733C}"/>
    <cellStyle name="Normal 2 4 5 2 3 2 5" xfId="10221" xr:uid="{946CCBC9-BFE4-4FBF-921E-67581423A249}"/>
    <cellStyle name="Normal 2 4 5 2 3 2 6" xfId="27115" xr:uid="{88090E9B-42AA-42F0-B735-B2F4D1C55729}"/>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2 2 2" xfId="25443" xr:uid="{4EB1A590-F71B-452D-BD4A-52390CABD952}"/>
    <cellStyle name="Normal 2 4 5 2 3 3 2 2 2 2" xfId="42337" xr:uid="{E6BAB71F-D570-440D-B8B2-D6A56D7A3DEA}"/>
    <cellStyle name="Normal 2 4 5 2 3 3 2 2 3" xfId="16996" xr:uid="{35B71DB9-11FF-4A7C-ABC1-69A35AD56ECB}"/>
    <cellStyle name="Normal 2 4 5 2 3 3 2 2 4" xfId="33890" xr:uid="{34548A76-CFF9-475C-9E1C-19163399E660}"/>
    <cellStyle name="Normal 2 4 5 2 3 3 2 3" xfId="21226" xr:uid="{511EC4F0-DDB5-45D7-A6ED-E13470C7DF5A}"/>
    <cellStyle name="Normal 2 4 5 2 3 3 2 3 2" xfId="38120" xr:uid="{395B9BF5-725E-4500-A6E5-278A5AE403D7}"/>
    <cellStyle name="Normal 2 4 5 2 3 3 2 4" xfId="12779" xr:uid="{CB6F28BB-7740-4E49-8188-33F00670A005}"/>
    <cellStyle name="Normal 2 4 5 2 3 3 2 5" xfId="29673" xr:uid="{DC6E3EE2-EF68-46FC-B134-A030D5470D0E}"/>
    <cellStyle name="Normal 2 4 5 2 3 3 3" xfId="5525" xr:uid="{00000000-0005-0000-0000-000067100000}"/>
    <cellStyle name="Normal 2 4 5 2 3 3 3 2" xfId="23298" xr:uid="{B7ACB574-E8A8-4ACC-BEB9-1E3F1980477B}"/>
    <cellStyle name="Normal 2 4 5 2 3 3 3 2 2" xfId="40192" xr:uid="{43023AB1-18A1-48FD-8406-366201B119FE}"/>
    <cellStyle name="Normal 2 4 5 2 3 3 3 3" xfId="14851" xr:uid="{B12469FC-BECB-4D26-A8C7-C3E0EABC6891}"/>
    <cellStyle name="Normal 2 4 5 2 3 3 3 4" xfId="31745" xr:uid="{F771C498-9827-486B-8A6F-EF35C038BD06}"/>
    <cellStyle name="Normal 2 4 5 2 3 3 4" xfId="19081" xr:uid="{80FFC2E0-6EDD-4491-B597-8969A3BB07A1}"/>
    <cellStyle name="Normal 2 4 5 2 3 3 4 2" xfId="35975" xr:uid="{205714A6-1F80-4457-877E-9DB075A2E3A0}"/>
    <cellStyle name="Normal 2 4 5 2 3 3 5" xfId="10634" xr:uid="{302B9BCE-C337-4A5B-9194-A7CF88787736}"/>
    <cellStyle name="Normal 2 4 5 2 3 3 6" xfId="27528" xr:uid="{A9A959B1-5849-4A49-92B0-938EFFE0F1C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2 2 2" xfId="25856" xr:uid="{5CF7C168-4940-45B3-A319-2B6D51C8803F}"/>
    <cellStyle name="Normal 2 4 5 2 3 4 2 2 2 2" xfId="42750" xr:uid="{3FF46F9D-A027-43D6-800E-9C16ADC0FF82}"/>
    <cellStyle name="Normal 2 4 5 2 3 4 2 2 3" xfId="17409" xr:uid="{6A92A558-0462-4D89-B31B-054DC46ABD35}"/>
    <cellStyle name="Normal 2 4 5 2 3 4 2 2 4" xfId="34303" xr:uid="{5C5140E2-9BF6-443A-B164-9D349E5F29D7}"/>
    <cellStyle name="Normal 2 4 5 2 3 4 2 3" xfId="21639" xr:uid="{40D3A29F-9D56-4D08-9E96-85B4F53CD972}"/>
    <cellStyle name="Normal 2 4 5 2 3 4 2 3 2" xfId="38533" xr:uid="{EE73206A-68D9-47BB-AF43-41FF5D97E117}"/>
    <cellStyle name="Normal 2 4 5 2 3 4 2 4" xfId="13192" xr:uid="{61EC400A-FFB8-4CD3-BE80-433A66DFE474}"/>
    <cellStyle name="Normal 2 4 5 2 3 4 2 5" xfId="30086" xr:uid="{406B9BD3-BD72-4387-926E-B716A2A5BEB0}"/>
    <cellStyle name="Normal 2 4 5 2 3 4 3" xfId="5938" xr:uid="{00000000-0005-0000-0000-00006B100000}"/>
    <cellStyle name="Normal 2 4 5 2 3 4 3 2" xfId="23711" xr:uid="{F78995A7-B208-4717-8E70-01B449701E5D}"/>
    <cellStyle name="Normal 2 4 5 2 3 4 3 2 2" xfId="40605" xr:uid="{1863E411-F736-473A-84D9-C98F68EF31CC}"/>
    <cellStyle name="Normal 2 4 5 2 3 4 3 3" xfId="15264" xr:uid="{736A4267-426E-414A-BE6F-07527C34F9FD}"/>
    <cellStyle name="Normal 2 4 5 2 3 4 3 4" xfId="32158" xr:uid="{50877366-4162-4A03-BB80-71DF30F84E24}"/>
    <cellStyle name="Normal 2 4 5 2 3 4 4" xfId="19494" xr:uid="{0D63A70E-3A39-4567-9A2E-A66D884C0697}"/>
    <cellStyle name="Normal 2 4 5 2 3 4 4 2" xfId="36388" xr:uid="{A9557EDC-85BD-44B2-87F7-61C0044788C8}"/>
    <cellStyle name="Normal 2 4 5 2 3 4 5" xfId="11047" xr:uid="{125FC57B-8E39-4C06-9D88-E5F26891A48C}"/>
    <cellStyle name="Normal 2 4 5 2 3 4 6" xfId="27941" xr:uid="{6350CF32-0220-4ED6-A1DE-E2CDB017E32B}"/>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2 2 2" xfId="26269" xr:uid="{66BAAEE8-D305-4F87-9FFF-B9B2E6429C9E}"/>
    <cellStyle name="Normal 2 4 5 2 3 5 2 2 2 2" xfId="43163" xr:uid="{F7979D2D-D260-471D-9AAE-A43B57AF5422}"/>
    <cellStyle name="Normal 2 4 5 2 3 5 2 2 3" xfId="17822" xr:uid="{25251BD6-335C-4BFA-ACF6-53D63EDF52B5}"/>
    <cellStyle name="Normal 2 4 5 2 3 5 2 2 4" xfId="34716" xr:uid="{CB677898-13C1-45A5-AC57-C13643753B8C}"/>
    <cellStyle name="Normal 2 4 5 2 3 5 2 3" xfId="22052" xr:uid="{E548E3C2-A08F-451E-8D89-1E673ED3CF18}"/>
    <cellStyle name="Normal 2 4 5 2 3 5 2 3 2" xfId="38946" xr:uid="{B70C0F32-0DE9-40E1-BC18-D7C102F0EE6B}"/>
    <cellStyle name="Normal 2 4 5 2 3 5 2 4" xfId="13605" xr:uid="{E134D158-B864-4DC7-AD5E-6963BE843549}"/>
    <cellStyle name="Normal 2 4 5 2 3 5 2 5" xfId="30499" xr:uid="{3E7A3AD3-33CC-43CF-A7BE-B61E51B331F5}"/>
    <cellStyle name="Normal 2 4 5 2 3 5 3" xfId="6351" xr:uid="{00000000-0005-0000-0000-00006F100000}"/>
    <cellStyle name="Normal 2 4 5 2 3 5 3 2" xfId="24124" xr:uid="{987E765C-AA4B-4431-9ABB-CE298B904607}"/>
    <cellStyle name="Normal 2 4 5 2 3 5 3 2 2" xfId="41018" xr:uid="{8452BB04-777E-483F-A331-13D60260FF48}"/>
    <cellStyle name="Normal 2 4 5 2 3 5 3 3" xfId="15677" xr:uid="{C92893AA-3723-429B-A854-131D8E70544E}"/>
    <cellStyle name="Normal 2 4 5 2 3 5 3 4" xfId="32571" xr:uid="{06DA7E2D-9F3A-4890-8585-FEB72EB6A08F}"/>
    <cellStyle name="Normal 2 4 5 2 3 5 4" xfId="19907" xr:uid="{461A97C4-3513-4544-A0EF-FF726B2DA071}"/>
    <cellStyle name="Normal 2 4 5 2 3 5 4 2" xfId="36801" xr:uid="{6EE6ECB0-7F1B-43C3-8331-5347C9C796A3}"/>
    <cellStyle name="Normal 2 4 5 2 3 5 5" xfId="11460" xr:uid="{451CACBC-50C3-4224-8B40-CF5EE5E6A439}"/>
    <cellStyle name="Normal 2 4 5 2 3 5 6" xfId="28354" xr:uid="{4B10ED16-F8DC-4C4F-8D8B-73ADF58AE6F8}"/>
    <cellStyle name="Normal 2 4 5 2 3 6" xfId="2481" xr:uid="{00000000-0005-0000-0000-000070100000}"/>
    <cellStyle name="Normal 2 4 5 2 3 6 2" xfId="6764" xr:uid="{00000000-0005-0000-0000-000071100000}"/>
    <cellStyle name="Normal 2 4 5 2 3 6 2 2" xfId="24537" xr:uid="{AA7A3AB5-3CB7-4AE2-9A1B-A52DA5D22C0F}"/>
    <cellStyle name="Normal 2 4 5 2 3 6 2 2 2" xfId="41431" xr:uid="{5F06219F-4C60-411B-84EA-3B169055F935}"/>
    <cellStyle name="Normal 2 4 5 2 3 6 2 3" xfId="16090" xr:uid="{75F49EA0-2F02-4405-AD61-54E449D540B2}"/>
    <cellStyle name="Normal 2 4 5 2 3 6 2 4" xfId="32984" xr:uid="{7DBE714F-4FBA-4D4E-8FF9-1A48A8BA9521}"/>
    <cellStyle name="Normal 2 4 5 2 3 6 3" xfId="20320" xr:uid="{CD6781FE-0D88-49F9-8582-325F3D8F0B58}"/>
    <cellStyle name="Normal 2 4 5 2 3 6 3 2" xfId="37214" xr:uid="{6EE9F669-6C16-47CF-A71D-23F36F92446A}"/>
    <cellStyle name="Normal 2 4 5 2 3 6 4" xfId="11873" xr:uid="{14EA909F-17D3-4200-B6A1-3244C27B1F0E}"/>
    <cellStyle name="Normal 2 4 5 2 3 6 5" xfId="28767" xr:uid="{4D97190E-7AF5-4092-B0FD-9D922D1EC0C9}"/>
    <cellStyle name="Normal 2 4 5 2 3 7" xfId="4698" xr:uid="{00000000-0005-0000-0000-000072100000}"/>
    <cellStyle name="Normal 2 4 5 2 3 7 2" xfId="22471" xr:uid="{3D43EAF9-D680-43DB-9042-097E269B2F08}"/>
    <cellStyle name="Normal 2 4 5 2 3 7 2 2" xfId="39365" xr:uid="{89A3C3E3-6D0D-4BCC-A9C0-3C35018B43FA}"/>
    <cellStyle name="Normal 2 4 5 2 3 7 3" xfId="14024" xr:uid="{5FFEB416-B4CB-4040-8AFC-7F0AEA1B4DEF}"/>
    <cellStyle name="Normal 2 4 5 2 3 7 4" xfId="30918" xr:uid="{B2F37FF3-1B6F-41F4-AF8B-DDFA934B98F9}"/>
    <cellStyle name="Normal 2 4 5 2 3 8" xfId="9022" xr:uid="{B979F5DF-A88B-437D-B1B4-B92D08856DC7}"/>
    <cellStyle name="Normal 2 4 5 2 3 8 2" xfId="18254" xr:uid="{C5D68455-7931-41E6-8E69-E45C35C25A5C}"/>
    <cellStyle name="Normal 2 4 5 2 3 8 3" xfId="35148" xr:uid="{893BFA54-DB01-475F-9849-4DAB1890BC53}"/>
    <cellStyle name="Normal 2 4 5 2 3 9" xfId="9807" xr:uid="{318C011F-C09A-49C1-A001-FD6BF07164EC}"/>
    <cellStyle name="Normal 2 4 5 2 4" xfId="793" xr:uid="{00000000-0005-0000-0000-000073100000}"/>
    <cellStyle name="Normal 2 4 5 2 4 2" xfId="3032" xr:uid="{00000000-0005-0000-0000-000074100000}"/>
    <cellStyle name="Normal 2 4 5 2 4 2 2" xfId="7254" xr:uid="{00000000-0005-0000-0000-000075100000}"/>
    <cellStyle name="Normal 2 4 5 2 4 2 2 2" xfId="25027" xr:uid="{0F2BDE7A-C6AE-4C5B-9B41-948193AB83EC}"/>
    <cellStyle name="Normal 2 4 5 2 4 2 2 2 2" xfId="41921" xr:uid="{5EEA872A-37AB-4E3B-821B-5169C58A45DC}"/>
    <cellStyle name="Normal 2 4 5 2 4 2 2 3" xfId="16580" xr:uid="{2CBC539D-CA42-4CF2-9297-BC2550F6E26E}"/>
    <cellStyle name="Normal 2 4 5 2 4 2 2 4" xfId="33474" xr:uid="{739DF01E-0291-4C89-B2CE-626D1F243310}"/>
    <cellStyle name="Normal 2 4 5 2 4 2 3" xfId="20810" xr:uid="{FB99BBD3-E766-43D3-8231-2AC93A7284A5}"/>
    <cellStyle name="Normal 2 4 5 2 4 2 3 2" xfId="37704" xr:uid="{55A5078A-6151-4264-A30B-C3294E03BFCD}"/>
    <cellStyle name="Normal 2 4 5 2 4 2 4" xfId="12363" xr:uid="{5A7C89DC-90F1-4E34-8612-F0758FFB7D6A}"/>
    <cellStyle name="Normal 2 4 5 2 4 2 5" xfId="29257" xr:uid="{F6D2917C-6351-4E15-AAF2-FBDD3EABA1E2}"/>
    <cellStyle name="Normal 2 4 5 2 4 3" xfId="5109" xr:uid="{00000000-0005-0000-0000-000076100000}"/>
    <cellStyle name="Normal 2 4 5 2 4 3 2" xfId="22882" xr:uid="{9878223B-A892-45F6-A091-7BA6557F3EB6}"/>
    <cellStyle name="Normal 2 4 5 2 4 3 2 2" xfId="39776" xr:uid="{2E344F49-9A79-4FFB-923C-7DC4CF54DE91}"/>
    <cellStyle name="Normal 2 4 5 2 4 3 3" xfId="14435" xr:uid="{AE52EFBC-853D-409C-AB16-4EA7ABD1A175}"/>
    <cellStyle name="Normal 2 4 5 2 4 3 4" xfId="31329" xr:uid="{2FBC4FC7-2461-43BF-9D38-4DCDB407E53B}"/>
    <cellStyle name="Normal 2 4 5 2 4 4" xfId="9240" xr:uid="{16FBE981-4867-4157-8C0D-9C1339DB5B3F}"/>
    <cellStyle name="Normal 2 4 5 2 4 4 2" xfId="18665" xr:uid="{1501F082-CC80-459A-A90D-CB9F09191B9D}"/>
    <cellStyle name="Normal 2 4 5 2 4 4 3" xfId="35559" xr:uid="{56845532-CF15-4F37-B502-BF2E768AA04F}"/>
    <cellStyle name="Normal 2 4 5 2 4 5" xfId="10218" xr:uid="{FC766F91-D54D-42A4-92AF-969C35067703}"/>
    <cellStyle name="Normal 2 4 5 2 4 6" xfId="27112" xr:uid="{69A6FC09-BCAD-422E-A7AF-4BF00802D9CC}"/>
    <cellStyle name="Normal 2 4 5 2 5" xfId="1215" xr:uid="{00000000-0005-0000-0000-000077100000}"/>
    <cellStyle name="Normal 2 4 5 2 5 2" xfId="3445" xr:uid="{00000000-0005-0000-0000-000078100000}"/>
    <cellStyle name="Normal 2 4 5 2 5 2 2" xfId="7667" xr:uid="{00000000-0005-0000-0000-000079100000}"/>
    <cellStyle name="Normal 2 4 5 2 5 2 2 2" xfId="25440" xr:uid="{84031D38-FD4F-45FC-891D-C1BE7F8530CE}"/>
    <cellStyle name="Normal 2 4 5 2 5 2 2 2 2" xfId="42334" xr:uid="{0167C67B-54AE-4424-81AD-D35A3F0ED7BA}"/>
    <cellStyle name="Normal 2 4 5 2 5 2 2 3" xfId="16993" xr:uid="{B3B172A9-FDD7-47D0-86A1-98E7EAF1F645}"/>
    <cellStyle name="Normal 2 4 5 2 5 2 2 4" xfId="33887" xr:uid="{9DF0BE12-F9A8-42D1-ADC9-4D34DE92B7B1}"/>
    <cellStyle name="Normal 2 4 5 2 5 2 3" xfId="21223" xr:uid="{7BBAB4D5-E04C-4EE2-BD57-01FD5234B791}"/>
    <cellStyle name="Normal 2 4 5 2 5 2 3 2" xfId="38117" xr:uid="{DCB78089-296A-47E1-9C12-613E0B197F10}"/>
    <cellStyle name="Normal 2 4 5 2 5 2 4" xfId="12776" xr:uid="{E004AEB9-2A81-4B20-9AB3-7DBC152C0800}"/>
    <cellStyle name="Normal 2 4 5 2 5 2 5" xfId="29670" xr:uid="{CD3F9124-8D14-4B67-9329-F7D158DF06D1}"/>
    <cellStyle name="Normal 2 4 5 2 5 3" xfId="5522" xr:uid="{00000000-0005-0000-0000-00007A100000}"/>
    <cellStyle name="Normal 2 4 5 2 5 3 2" xfId="23295" xr:uid="{5151108F-1926-4E25-8BA9-14B729F8E491}"/>
    <cellStyle name="Normal 2 4 5 2 5 3 2 2" xfId="40189" xr:uid="{A25DBFDE-5CE2-46D5-AACE-1218B4433076}"/>
    <cellStyle name="Normal 2 4 5 2 5 3 3" xfId="14848" xr:uid="{74A9009E-AC99-4678-A4DD-2E3132FB604F}"/>
    <cellStyle name="Normal 2 4 5 2 5 3 4" xfId="31742" xr:uid="{27C5E32A-1822-4E7B-BEE9-3E9DBEC6C147}"/>
    <cellStyle name="Normal 2 4 5 2 5 4" xfId="19078" xr:uid="{4EDA4FFE-5604-4C12-BB36-A28487E85CF2}"/>
    <cellStyle name="Normal 2 4 5 2 5 4 2" xfId="35972" xr:uid="{8A2ABD52-5798-4200-A73F-5DCF8A64C6AD}"/>
    <cellStyle name="Normal 2 4 5 2 5 5" xfId="10631" xr:uid="{7091B66E-E542-4DB0-ADB5-473788131B21}"/>
    <cellStyle name="Normal 2 4 5 2 5 6" xfId="27525" xr:uid="{E7C2E5AB-483C-49D7-90A8-77794619BD01}"/>
    <cellStyle name="Normal 2 4 5 2 6" xfId="1628" xr:uid="{00000000-0005-0000-0000-00007B100000}"/>
    <cellStyle name="Normal 2 4 5 2 6 2" xfId="3858" xr:uid="{00000000-0005-0000-0000-00007C100000}"/>
    <cellStyle name="Normal 2 4 5 2 6 2 2" xfId="8080" xr:uid="{00000000-0005-0000-0000-00007D100000}"/>
    <cellStyle name="Normal 2 4 5 2 6 2 2 2" xfId="25853" xr:uid="{89B6F6E5-502B-4E33-A0EA-5D10F5511007}"/>
    <cellStyle name="Normal 2 4 5 2 6 2 2 2 2" xfId="42747" xr:uid="{DADDFA22-155F-4D63-BA9A-747CFA382DC2}"/>
    <cellStyle name="Normal 2 4 5 2 6 2 2 3" xfId="17406" xr:uid="{9FD14FA3-0A81-48B3-9321-BF134EBA5D8D}"/>
    <cellStyle name="Normal 2 4 5 2 6 2 2 4" xfId="34300" xr:uid="{FB4FF85E-18B9-4EC7-84CF-5D49BB990B9D}"/>
    <cellStyle name="Normal 2 4 5 2 6 2 3" xfId="21636" xr:uid="{5B42D01E-F171-42C4-A3A4-0C70F62DFF80}"/>
    <cellStyle name="Normal 2 4 5 2 6 2 3 2" xfId="38530" xr:uid="{070D141B-124C-4B7E-94EB-5DB0DDE7E71F}"/>
    <cellStyle name="Normal 2 4 5 2 6 2 4" xfId="13189" xr:uid="{C9A4103E-A840-420F-BDB9-F297630DB239}"/>
    <cellStyle name="Normal 2 4 5 2 6 2 5" xfId="30083" xr:uid="{B0A2F376-42D5-483A-9B24-7CFEAAC07AC5}"/>
    <cellStyle name="Normal 2 4 5 2 6 3" xfId="5935" xr:uid="{00000000-0005-0000-0000-00007E100000}"/>
    <cellStyle name="Normal 2 4 5 2 6 3 2" xfId="23708" xr:uid="{2B348BB8-FEDB-4DDC-8B23-91938EB3A878}"/>
    <cellStyle name="Normal 2 4 5 2 6 3 2 2" xfId="40602" xr:uid="{2C9C9508-E704-458D-85AE-D5F6B0A235A0}"/>
    <cellStyle name="Normal 2 4 5 2 6 3 3" xfId="15261" xr:uid="{D12C3B77-599D-46CF-8621-7DA16C9275AB}"/>
    <cellStyle name="Normal 2 4 5 2 6 3 4" xfId="32155" xr:uid="{3D251694-5709-455B-9B23-74E5CC6EE2EB}"/>
    <cellStyle name="Normal 2 4 5 2 6 4" xfId="19491" xr:uid="{A0D1DEB2-609D-4CE1-AFDF-0270E07222ED}"/>
    <cellStyle name="Normal 2 4 5 2 6 4 2" xfId="36385" xr:uid="{C119E379-C452-46F5-9CEE-FF7A9F2CB7B0}"/>
    <cellStyle name="Normal 2 4 5 2 6 5" xfId="11044" xr:uid="{ADF869B3-1AC4-4B82-A1D9-59D8F2964499}"/>
    <cellStyle name="Normal 2 4 5 2 6 6" xfId="27938" xr:uid="{42BB581E-A03F-48CB-9735-E6035EEAB4AF}"/>
    <cellStyle name="Normal 2 4 5 2 7" xfId="2042" xr:uid="{00000000-0005-0000-0000-00007F100000}"/>
    <cellStyle name="Normal 2 4 5 2 7 2" xfId="4271" xr:uid="{00000000-0005-0000-0000-000080100000}"/>
    <cellStyle name="Normal 2 4 5 2 7 2 2" xfId="8493" xr:uid="{00000000-0005-0000-0000-000081100000}"/>
    <cellStyle name="Normal 2 4 5 2 7 2 2 2" xfId="26266" xr:uid="{E2FA2F8D-63BF-44D7-88A3-C4786B552F05}"/>
    <cellStyle name="Normal 2 4 5 2 7 2 2 2 2" xfId="43160" xr:uid="{DE1BFBD2-4860-4A5B-B861-59FDB07642F7}"/>
    <cellStyle name="Normal 2 4 5 2 7 2 2 3" xfId="17819" xr:uid="{F2F95649-BECE-4B05-9A19-A53237334CAC}"/>
    <cellStyle name="Normal 2 4 5 2 7 2 2 4" xfId="34713" xr:uid="{A21FC818-FA70-46A0-9883-74CE0BACCF57}"/>
    <cellStyle name="Normal 2 4 5 2 7 2 3" xfId="22049" xr:uid="{B45AA54F-FD7C-4442-9E59-389FC6C078D6}"/>
    <cellStyle name="Normal 2 4 5 2 7 2 3 2" xfId="38943" xr:uid="{902060E2-4529-48F2-97D4-39EBA6326286}"/>
    <cellStyle name="Normal 2 4 5 2 7 2 4" xfId="13602" xr:uid="{64AD14F2-7BBA-449A-BE43-B96B642D5B68}"/>
    <cellStyle name="Normal 2 4 5 2 7 2 5" xfId="30496" xr:uid="{3A7B5645-F650-4991-AAE2-46BBA4B8EF16}"/>
    <cellStyle name="Normal 2 4 5 2 7 3" xfId="6348" xr:uid="{00000000-0005-0000-0000-000082100000}"/>
    <cellStyle name="Normal 2 4 5 2 7 3 2" xfId="24121" xr:uid="{88585CEF-5CAA-4093-BC76-C0A50E1D8E02}"/>
    <cellStyle name="Normal 2 4 5 2 7 3 2 2" xfId="41015" xr:uid="{F4CBF268-5C8B-4F55-ACAF-525EA47810CC}"/>
    <cellStyle name="Normal 2 4 5 2 7 3 3" xfId="15674" xr:uid="{32535A61-25F1-4C43-9D12-2527D0912DEC}"/>
    <cellStyle name="Normal 2 4 5 2 7 3 4" xfId="32568" xr:uid="{63ED8297-19C8-48D0-91ED-FB003F7CFB5F}"/>
    <cellStyle name="Normal 2 4 5 2 7 4" xfId="19904" xr:uid="{D4D2B09B-9EED-4497-8B49-3345E3A7FBA9}"/>
    <cellStyle name="Normal 2 4 5 2 7 4 2" xfId="36798" xr:uid="{42A482CA-BC74-48A0-81B8-F3ECA1229E7C}"/>
    <cellStyle name="Normal 2 4 5 2 7 5" xfId="11457" xr:uid="{97E90FD4-96B4-405E-83BB-1DA0AD4D8074}"/>
    <cellStyle name="Normal 2 4 5 2 7 6" xfId="28351" xr:uid="{6B63C60A-2B3F-415E-A988-92659E99D3DC}"/>
    <cellStyle name="Normal 2 4 5 2 8" xfId="2478" xr:uid="{00000000-0005-0000-0000-000083100000}"/>
    <cellStyle name="Normal 2 4 5 2 8 2" xfId="6761" xr:uid="{00000000-0005-0000-0000-000084100000}"/>
    <cellStyle name="Normal 2 4 5 2 8 2 2" xfId="24534" xr:uid="{B0F15F3D-AB34-435E-8DB0-D3B225AA858C}"/>
    <cellStyle name="Normal 2 4 5 2 8 2 2 2" xfId="41428" xr:uid="{C454AB13-0A97-41D8-B165-DF89B5752923}"/>
    <cellStyle name="Normal 2 4 5 2 8 2 3" xfId="16087" xr:uid="{37F8EB3B-97AA-4D8D-AB64-EAE97F7B552B}"/>
    <cellStyle name="Normal 2 4 5 2 8 2 4" xfId="32981" xr:uid="{00A1A3C2-666C-4CEB-BD3A-CB01F848411B}"/>
    <cellStyle name="Normal 2 4 5 2 8 3" xfId="20317" xr:uid="{6699A70E-30C8-457B-AAEA-19C835F8896A}"/>
    <cellStyle name="Normal 2 4 5 2 8 3 2" xfId="37211" xr:uid="{7181500F-ECE0-49A6-A35D-94EF4C694C6F}"/>
    <cellStyle name="Normal 2 4 5 2 8 4" xfId="11870" xr:uid="{73C9CE4C-6D90-453E-B18A-8E43E6D59360}"/>
    <cellStyle name="Normal 2 4 5 2 8 5" xfId="28764" xr:uid="{91EDD082-6DFE-4833-8E21-94B8421346B9}"/>
    <cellStyle name="Normal 2 4 5 2 9" xfId="4695" xr:uid="{00000000-0005-0000-0000-000085100000}"/>
    <cellStyle name="Normal 2 4 5 2 9 2" xfId="22468" xr:uid="{81EBAF29-49E7-4A27-A486-580C802D7709}"/>
    <cellStyle name="Normal 2 4 5 2 9 2 2" xfId="39362" xr:uid="{B0A1FEFE-B212-40D9-8127-27D3DC2356F5}"/>
    <cellStyle name="Normal 2 4 5 2 9 3" xfId="14021" xr:uid="{349716DB-859B-4868-A8BF-30116578E3C6}"/>
    <cellStyle name="Normal 2 4 5 2 9 4" xfId="30915" xr:uid="{37C7EBF5-B863-46B0-B57B-8FE08A2A2028}"/>
    <cellStyle name="Normal 2 4 5 3" xfId="308" xr:uid="{00000000-0005-0000-0000-000086100000}"/>
    <cellStyle name="Normal 2 4 5 3 10" xfId="9808" xr:uid="{025D5316-A7B7-4CA9-91B3-B055F3C9E1A9}"/>
    <cellStyle name="Normal 2 4 5 3 11" xfId="26702" xr:uid="{1830BBFC-E71B-43DF-91B3-270C9AAE1B8B}"/>
    <cellStyle name="Normal 2 4 5 3 2" xfId="309" xr:uid="{00000000-0005-0000-0000-000087100000}"/>
    <cellStyle name="Normal 2 4 5 3 2 10" xfId="26703" xr:uid="{184CD671-F8B3-480D-8C2D-8BBC77356357}"/>
    <cellStyle name="Normal 2 4 5 3 2 2" xfId="798" xr:uid="{00000000-0005-0000-0000-000088100000}"/>
    <cellStyle name="Normal 2 4 5 3 2 2 2" xfId="3037" xr:uid="{00000000-0005-0000-0000-000089100000}"/>
    <cellStyle name="Normal 2 4 5 3 2 2 2 2" xfId="7259" xr:uid="{00000000-0005-0000-0000-00008A100000}"/>
    <cellStyle name="Normal 2 4 5 3 2 2 2 2 2" xfId="25032" xr:uid="{30557223-7AEC-4241-9A23-68D9DA4A1E56}"/>
    <cellStyle name="Normal 2 4 5 3 2 2 2 2 2 2" xfId="41926" xr:uid="{A6F87883-4D0F-482F-AA3C-B9AE0F8EB350}"/>
    <cellStyle name="Normal 2 4 5 3 2 2 2 2 3" xfId="16585" xr:uid="{6E662BD7-0252-47AA-8378-F763FC48131F}"/>
    <cellStyle name="Normal 2 4 5 3 2 2 2 2 4" xfId="33479" xr:uid="{CF464E86-38D8-43F4-9A8A-3D9F6A0806C6}"/>
    <cellStyle name="Normal 2 4 5 3 2 2 2 3" xfId="20815" xr:uid="{0A99B4F1-AA19-425B-8A63-09F730C660E7}"/>
    <cellStyle name="Normal 2 4 5 3 2 2 2 3 2" xfId="37709" xr:uid="{518CE9A8-FF0B-4D48-B21E-33CA193F947C}"/>
    <cellStyle name="Normal 2 4 5 3 2 2 2 4" xfId="12368" xr:uid="{60790D31-036E-4EAA-B035-0861EA8814A4}"/>
    <cellStyle name="Normal 2 4 5 3 2 2 2 5" xfId="29262" xr:uid="{29205B15-BD46-4CEE-B9AD-5B4753CD7936}"/>
    <cellStyle name="Normal 2 4 5 3 2 2 3" xfId="5114" xr:uid="{00000000-0005-0000-0000-00008B100000}"/>
    <cellStyle name="Normal 2 4 5 3 2 2 3 2" xfId="22887" xr:uid="{D7A27749-71B6-403B-84BB-D9C84CFE36B0}"/>
    <cellStyle name="Normal 2 4 5 3 2 2 3 2 2" xfId="39781" xr:uid="{AD5DDFF9-9D9F-460B-B5F1-481862D7F58D}"/>
    <cellStyle name="Normal 2 4 5 3 2 2 3 3" xfId="14440" xr:uid="{D85A176B-8BAB-464F-9F65-04619A7C1488}"/>
    <cellStyle name="Normal 2 4 5 3 2 2 3 4" xfId="31334" xr:uid="{F3533D3D-44D7-4741-A8DF-D87BA5F1B2FB}"/>
    <cellStyle name="Normal 2 4 5 3 2 2 4" xfId="9515" xr:uid="{A1D6949C-773D-44DB-B26F-4DD01D24FF00}"/>
    <cellStyle name="Normal 2 4 5 3 2 2 4 2" xfId="18670" xr:uid="{FA83E4B2-AC6F-48AC-9DE0-D0B0EE6B54DA}"/>
    <cellStyle name="Normal 2 4 5 3 2 2 4 3" xfId="35564" xr:uid="{FA6DFE1F-63EF-4BAA-89D1-F4C58E319C17}"/>
    <cellStyle name="Normal 2 4 5 3 2 2 5" xfId="10223" xr:uid="{FD2388F4-E064-4FB8-B817-3CD70456FBDF}"/>
    <cellStyle name="Normal 2 4 5 3 2 2 6" xfId="27117" xr:uid="{C4C9D140-A5BD-490F-9DBC-A4DB8BDF606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2 2 2" xfId="25445" xr:uid="{924AD035-BF52-4EF7-A913-EE0CC27D2D15}"/>
    <cellStyle name="Normal 2 4 5 3 2 3 2 2 2 2" xfId="42339" xr:uid="{8CD43BD1-DA71-46D2-99DC-33E4C8018B91}"/>
    <cellStyle name="Normal 2 4 5 3 2 3 2 2 3" xfId="16998" xr:uid="{A15AF6E9-C161-464F-9F16-36E89C8F3031}"/>
    <cellStyle name="Normal 2 4 5 3 2 3 2 2 4" xfId="33892" xr:uid="{2ACC3B99-6EAA-4F9C-897D-5B093C50E01B}"/>
    <cellStyle name="Normal 2 4 5 3 2 3 2 3" xfId="21228" xr:uid="{FCD57DA1-409D-48A9-9760-A61FEE6B0104}"/>
    <cellStyle name="Normal 2 4 5 3 2 3 2 3 2" xfId="38122" xr:uid="{F05E2959-591B-4391-9DD6-F8451C12C900}"/>
    <cellStyle name="Normal 2 4 5 3 2 3 2 4" xfId="12781" xr:uid="{2E4E2D3B-3D53-44D4-8243-98D182DBC3DD}"/>
    <cellStyle name="Normal 2 4 5 3 2 3 2 5" xfId="29675" xr:uid="{6C2B431F-35B2-49B0-8A91-F000BCF49F17}"/>
    <cellStyle name="Normal 2 4 5 3 2 3 3" xfId="5527" xr:uid="{00000000-0005-0000-0000-00008F100000}"/>
    <cellStyle name="Normal 2 4 5 3 2 3 3 2" xfId="23300" xr:uid="{29CF602F-7168-4E7F-89B1-A8BF28CC7E2E}"/>
    <cellStyle name="Normal 2 4 5 3 2 3 3 2 2" xfId="40194" xr:uid="{08298D8E-BDDB-4877-8ADC-29D0A06476C7}"/>
    <cellStyle name="Normal 2 4 5 3 2 3 3 3" xfId="14853" xr:uid="{F37B0591-B2A3-4A0E-9564-E003B24E783F}"/>
    <cellStyle name="Normal 2 4 5 3 2 3 3 4" xfId="31747" xr:uid="{299EFE16-3F31-4A49-895B-87BC63A3B1C8}"/>
    <cellStyle name="Normal 2 4 5 3 2 3 4" xfId="19083" xr:uid="{327122FA-1B96-48B3-97A5-F1ABC084452D}"/>
    <cellStyle name="Normal 2 4 5 3 2 3 4 2" xfId="35977" xr:uid="{17C72840-3C1B-4146-B881-2B4C6698063F}"/>
    <cellStyle name="Normal 2 4 5 3 2 3 5" xfId="10636" xr:uid="{14C15F75-9348-4BBA-9078-DAC1B798EC3F}"/>
    <cellStyle name="Normal 2 4 5 3 2 3 6" xfId="27530" xr:uid="{FE1AC87B-9C48-4FA0-86D5-8CA3996C87DB}"/>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2 2 2" xfId="25858" xr:uid="{8B5A6B2B-21E8-45B4-B874-1EB79F255B4F}"/>
    <cellStyle name="Normal 2 4 5 3 2 4 2 2 2 2" xfId="42752" xr:uid="{443565DD-DD56-42F4-A487-5492FE9ABF7C}"/>
    <cellStyle name="Normal 2 4 5 3 2 4 2 2 3" xfId="17411" xr:uid="{124F7637-5CCD-4CDA-8628-502B12033FEA}"/>
    <cellStyle name="Normal 2 4 5 3 2 4 2 2 4" xfId="34305" xr:uid="{A9AA5A24-1581-42F3-AD7E-6BC3FE0B6B47}"/>
    <cellStyle name="Normal 2 4 5 3 2 4 2 3" xfId="21641" xr:uid="{A03DA0A5-F04C-48D7-8710-106844FF2610}"/>
    <cellStyle name="Normal 2 4 5 3 2 4 2 3 2" xfId="38535" xr:uid="{4DBCD930-5DC3-469B-A5EB-959920AFB175}"/>
    <cellStyle name="Normal 2 4 5 3 2 4 2 4" xfId="13194" xr:uid="{5BC113D6-205A-45DB-8C7D-4332B4A56049}"/>
    <cellStyle name="Normal 2 4 5 3 2 4 2 5" xfId="30088" xr:uid="{5317E1F7-5DA8-4D37-BE15-ADDD8F26AEB3}"/>
    <cellStyle name="Normal 2 4 5 3 2 4 3" xfId="5940" xr:uid="{00000000-0005-0000-0000-000093100000}"/>
    <cellStyle name="Normal 2 4 5 3 2 4 3 2" xfId="23713" xr:uid="{75D9C119-9DFA-4E9E-8947-42FC552DEE12}"/>
    <cellStyle name="Normal 2 4 5 3 2 4 3 2 2" xfId="40607" xr:uid="{C31591FE-3118-453A-A497-71332BF04CAF}"/>
    <cellStyle name="Normal 2 4 5 3 2 4 3 3" xfId="15266" xr:uid="{845E83EE-1185-47EA-AD89-6667B9F9867A}"/>
    <cellStyle name="Normal 2 4 5 3 2 4 3 4" xfId="32160" xr:uid="{108E695F-F259-49F3-BD55-40F29BE6E271}"/>
    <cellStyle name="Normal 2 4 5 3 2 4 4" xfId="19496" xr:uid="{37A3B041-E14E-4E6F-AD97-9581167BBE2E}"/>
    <cellStyle name="Normal 2 4 5 3 2 4 4 2" xfId="36390" xr:uid="{35777777-01FA-490A-A663-90F24AC83F6F}"/>
    <cellStyle name="Normal 2 4 5 3 2 4 5" xfId="11049" xr:uid="{D35958FE-206D-494A-89F9-BA0605C62756}"/>
    <cellStyle name="Normal 2 4 5 3 2 4 6" xfId="27943" xr:uid="{1188133A-10DD-4AFD-BA0A-3CEFC0772AF1}"/>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2 2 2" xfId="26271" xr:uid="{D45047DB-13DB-4F80-98C0-36864FA47F05}"/>
    <cellStyle name="Normal 2 4 5 3 2 5 2 2 2 2" xfId="43165" xr:uid="{2F06543F-1E94-4658-9DA8-38D89D1ACC67}"/>
    <cellStyle name="Normal 2 4 5 3 2 5 2 2 3" xfId="17824" xr:uid="{92939254-D9FF-40CD-883B-A3D730E6037E}"/>
    <cellStyle name="Normal 2 4 5 3 2 5 2 2 4" xfId="34718" xr:uid="{569B836F-F18C-4C13-B06F-09FD0C7FE59E}"/>
    <cellStyle name="Normal 2 4 5 3 2 5 2 3" xfId="22054" xr:uid="{20B3A2FB-E9CE-4266-9584-30EB9FC28AFA}"/>
    <cellStyle name="Normal 2 4 5 3 2 5 2 3 2" xfId="38948" xr:uid="{F9CC9482-7A96-45D6-928C-15F12DDB78BA}"/>
    <cellStyle name="Normal 2 4 5 3 2 5 2 4" xfId="13607" xr:uid="{CE937B90-98B2-41AE-B899-24FA8A1C2999}"/>
    <cellStyle name="Normal 2 4 5 3 2 5 2 5" xfId="30501" xr:uid="{99F279CF-1863-4193-B7D1-2CC7A737966B}"/>
    <cellStyle name="Normal 2 4 5 3 2 5 3" xfId="6353" xr:uid="{00000000-0005-0000-0000-000097100000}"/>
    <cellStyle name="Normal 2 4 5 3 2 5 3 2" xfId="24126" xr:uid="{AA932D45-E98F-4872-817A-EA3ED93CE8B0}"/>
    <cellStyle name="Normal 2 4 5 3 2 5 3 2 2" xfId="41020" xr:uid="{1ABDD525-ADED-4044-B095-C4735FF6917B}"/>
    <cellStyle name="Normal 2 4 5 3 2 5 3 3" xfId="15679" xr:uid="{1F13B975-8FF5-497C-B9B3-826333444ECB}"/>
    <cellStyle name="Normal 2 4 5 3 2 5 3 4" xfId="32573" xr:uid="{B7425E1E-345E-4D7D-9524-9997DD1174BC}"/>
    <cellStyle name="Normal 2 4 5 3 2 5 4" xfId="19909" xr:uid="{6B002CDB-80B0-48F9-80F8-BA56BA79EEB0}"/>
    <cellStyle name="Normal 2 4 5 3 2 5 4 2" xfId="36803" xr:uid="{7568D5C1-74FF-4CA9-B771-4D5C3A631401}"/>
    <cellStyle name="Normal 2 4 5 3 2 5 5" xfId="11462" xr:uid="{B8527643-874D-4156-B068-D720AD3B484D}"/>
    <cellStyle name="Normal 2 4 5 3 2 5 6" xfId="28356" xr:uid="{1526ED6A-66AD-4267-9FAC-7EF1618A2D6C}"/>
    <cellStyle name="Normal 2 4 5 3 2 6" xfId="2483" xr:uid="{00000000-0005-0000-0000-000098100000}"/>
    <cellStyle name="Normal 2 4 5 3 2 6 2" xfId="6766" xr:uid="{00000000-0005-0000-0000-000099100000}"/>
    <cellStyle name="Normal 2 4 5 3 2 6 2 2" xfId="24539" xr:uid="{0056BE06-6D99-46D7-A351-A9760EE3FE82}"/>
    <cellStyle name="Normal 2 4 5 3 2 6 2 2 2" xfId="41433" xr:uid="{5B9A6B21-CD01-4C19-A33B-1B69B8071256}"/>
    <cellStyle name="Normal 2 4 5 3 2 6 2 3" xfId="16092" xr:uid="{2202A6F4-9D17-4A9C-9AE8-A602638B0B99}"/>
    <cellStyle name="Normal 2 4 5 3 2 6 2 4" xfId="32986" xr:uid="{E0E5E746-D00F-41FA-92E8-28EAD0E5F98A}"/>
    <cellStyle name="Normal 2 4 5 3 2 6 3" xfId="20322" xr:uid="{15C338C2-4024-4257-9A05-3AAD5B3E8DB1}"/>
    <cellStyle name="Normal 2 4 5 3 2 6 3 2" xfId="37216" xr:uid="{739027A4-0BD1-4D0D-AA3A-E44F31DC15A7}"/>
    <cellStyle name="Normal 2 4 5 3 2 6 4" xfId="11875" xr:uid="{ABED0519-BBF5-4350-A8C8-C4C2651CBC49}"/>
    <cellStyle name="Normal 2 4 5 3 2 6 5" xfId="28769" xr:uid="{1EF4CB95-2AA3-4F95-85B2-EFD329AA2298}"/>
    <cellStyle name="Normal 2 4 5 3 2 7" xfId="4700" xr:uid="{00000000-0005-0000-0000-00009A100000}"/>
    <cellStyle name="Normal 2 4 5 3 2 7 2" xfId="22473" xr:uid="{BE15D19C-1809-415F-8740-9E51B5BD3C52}"/>
    <cellStyle name="Normal 2 4 5 3 2 7 2 2" xfId="39367" xr:uid="{566FA9FF-2361-4A0B-8B0A-BDF313FBF1CB}"/>
    <cellStyle name="Normal 2 4 5 3 2 7 3" xfId="14026" xr:uid="{1B7F62C2-2E42-41B3-8D43-F06C68232D48}"/>
    <cellStyle name="Normal 2 4 5 3 2 7 4" xfId="30920" xr:uid="{8DB88392-3B7F-4D7D-850F-210C060A421A}"/>
    <cellStyle name="Normal 2 4 5 3 2 8" xfId="9090" xr:uid="{4B64C5F8-5AC3-43D3-B94A-46850BBF79A5}"/>
    <cellStyle name="Normal 2 4 5 3 2 8 2" xfId="18256" xr:uid="{CF45CEC0-AF9E-4FEF-B9C9-7BFCF9E51A85}"/>
    <cellStyle name="Normal 2 4 5 3 2 8 3" xfId="35150" xr:uid="{76B5F18A-82C2-405C-ABD2-C5B5ACE6327B}"/>
    <cellStyle name="Normal 2 4 5 3 2 9" xfId="9809" xr:uid="{66486E45-525D-46E4-9C79-D3A17814CCED}"/>
    <cellStyle name="Normal 2 4 5 3 3" xfId="797" xr:uid="{00000000-0005-0000-0000-00009B100000}"/>
    <cellStyle name="Normal 2 4 5 3 3 2" xfId="3036" xr:uid="{00000000-0005-0000-0000-00009C100000}"/>
    <cellStyle name="Normal 2 4 5 3 3 2 2" xfId="7258" xr:uid="{00000000-0005-0000-0000-00009D100000}"/>
    <cellStyle name="Normal 2 4 5 3 3 2 2 2" xfId="25031" xr:uid="{C4225036-C528-4D05-B7B0-5F9DA4FC18F3}"/>
    <cellStyle name="Normal 2 4 5 3 3 2 2 2 2" xfId="41925" xr:uid="{BE8BBD07-1437-464A-9B5E-23E06710A3C8}"/>
    <cellStyle name="Normal 2 4 5 3 3 2 2 3" xfId="16584" xr:uid="{6E347FBF-3544-4E65-BA4E-4E3B4536DB92}"/>
    <cellStyle name="Normal 2 4 5 3 3 2 2 4" xfId="33478" xr:uid="{3A9417C2-BB26-4725-9035-5F4A5A3E188D}"/>
    <cellStyle name="Normal 2 4 5 3 3 2 3" xfId="20814" xr:uid="{FEBB7FFF-CF20-4032-99F3-25FC3EE57A54}"/>
    <cellStyle name="Normal 2 4 5 3 3 2 3 2" xfId="37708" xr:uid="{B3189EE8-1B6A-4711-A19B-400C52F078E3}"/>
    <cellStyle name="Normal 2 4 5 3 3 2 4" xfId="12367" xr:uid="{B0ECEC24-10E1-4D45-A4B1-1BA02E82126A}"/>
    <cellStyle name="Normal 2 4 5 3 3 2 5" xfId="29261" xr:uid="{7A7CFD42-9879-457D-B9E5-4AA718D0D580}"/>
    <cellStyle name="Normal 2 4 5 3 3 3" xfId="5113" xr:uid="{00000000-0005-0000-0000-00009E100000}"/>
    <cellStyle name="Normal 2 4 5 3 3 3 2" xfId="22886" xr:uid="{ED89A3BF-2EF0-40C8-8F8D-D1849021D07D}"/>
    <cellStyle name="Normal 2 4 5 3 3 3 2 2" xfId="39780" xr:uid="{C6757462-7361-4070-BCAF-4D02E7DC3AA4}"/>
    <cellStyle name="Normal 2 4 5 3 3 3 3" xfId="14439" xr:uid="{9C541012-8C3B-4DE0-AAB7-806971659356}"/>
    <cellStyle name="Normal 2 4 5 3 3 3 4" xfId="31333" xr:uid="{0AE45848-15A3-410D-9860-B9BBFD5E2DC5}"/>
    <cellStyle name="Normal 2 4 5 3 3 4" xfId="9308" xr:uid="{40198FFA-4C90-42BE-90C8-42459F1A2A1C}"/>
    <cellStyle name="Normal 2 4 5 3 3 4 2" xfId="18669" xr:uid="{7FB8B5E0-9D0C-4DA1-9A15-8C3555DBDB8F}"/>
    <cellStyle name="Normal 2 4 5 3 3 4 3" xfId="35563" xr:uid="{D2E7321E-2904-48C2-A88A-33C2EA5C1408}"/>
    <cellStyle name="Normal 2 4 5 3 3 5" xfId="10222" xr:uid="{1329BBA2-8C9F-41E4-91EB-00EB13479B40}"/>
    <cellStyle name="Normal 2 4 5 3 3 6" xfId="27116" xr:uid="{0BAD26F6-E6CB-4962-9E36-A1728BC3767A}"/>
    <cellStyle name="Normal 2 4 5 3 4" xfId="1219" xr:uid="{00000000-0005-0000-0000-00009F100000}"/>
    <cellStyle name="Normal 2 4 5 3 4 2" xfId="3449" xr:uid="{00000000-0005-0000-0000-0000A0100000}"/>
    <cellStyle name="Normal 2 4 5 3 4 2 2" xfId="7671" xr:uid="{00000000-0005-0000-0000-0000A1100000}"/>
    <cellStyle name="Normal 2 4 5 3 4 2 2 2" xfId="25444" xr:uid="{E81EE33D-57E2-426D-A417-FCD4F98FD5A7}"/>
    <cellStyle name="Normal 2 4 5 3 4 2 2 2 2" xfId="42338" xr:uid="{FDA9C4B4-ECF1-4B56-98BE-C86CE4F7D407}"/>
    <cellStyle name="Normal 2 4 5 3 4 2 2 3" xfId="16997" xr:uid="{A6BCE8DE-B29E-48C1-A28C-904BFB011203}"/>
    <cellStyle name="Normal 2 4 5 3 4 2 2 4" xfId="33891" xr:uid="{61C93543-0496-4B88-AFDB-D09C76DB84A2}"/>
    <cellStyle name="Normal 2 4 5 3 4 2 3" xfId="21227" xr:uid="{36AFF03E-2E7E-4B48-A621-0DFC31BEB96D}"/>
    <cellStyle name="Normal 2 4 5 3 4 2 3 2" xfId="38121" xr:uid="{FC2B95D7-0D72-48CD-93AD-22433E9D1843}"/>
    <cellStyle name="Normal 2 4 5 3 4 2 4" xfId="12780" xr:uid="{A4E24EEA-DC33-47F8-90F1-E5046E40B2D7}"/>
    <cellStyle name="Normal 2 4 5 3 4 2 5" xfId="29674" xr:uid="{510F04FD-39E3-4FB5-A141-75DD9C3835CD}"/>
    <cellStyle name="Normal 2 4 5 3 4 3" xfId="5526" xr:uid="{00000000-0005-0000-0000-0000A2100000}"/>
    <cellStyle name="Normal 2 4 5 3 4 3 2" xfId="23299" xr:uid="{EF231BCC-2C6B-492F-B886-9F6EACB8688C}"/>
    <cellStyle name="Normal 2 4 5 3 4 3 2 2" xfId="40193" xr:uid="{06E02A7C-70D4-4B8F-856B-155FE32D5A58}"/>
    <cellStyle name="Normal 2 4 5 3 4 3 3" xfId="14852" xr:uid="{53CB7540-8A9D-4635-8E6F-F52C33EA3AE2}"/>
    <cellStyle name="Normal 2 4 5 3 4 3 4" xfId="31746" xr:uid="{729613D1-C886-41C2-BB7D-A24ED1AAAAD7}"/>
    <cellStyle name="Normal 2 4 5 3 4 4" xfId="19082" xr:uid="{36E30D11-920E-42C4-9590-E06576B12FF8}"/>
    <cellStyle name="Normal 2 4 5 3 4 4 2" xfId="35976" xr:uid="{259D7242-4507-4DC2-92E6-9D0B16C4D39E}"/>
    <cellStyle name="Normal 2 4 5 3 4 5" xfId="10635" xr:uid="{73AA8107-7373-45D0-B2E4-4BD3788ED962}"/>
    <cellStyle name="Normal 2 4 5 3 4 6" xfId="27529" xr:uid="{E14CF47A-4500-4674-8CF8-4FB69C50C860}"/>
    <cellStyle name="Normal 2 4 5 3 5" xfId="1632" xr:uid="{00000000-0005-0000-0000-0000A3100000}"/>
    <cellStyle name="Normal 2 4 5 3 5 2" xfId="3862" xr:uid="{00000000-0005-0000-0000-0000A4100000}"/>
    <cellStyle name="Normal 2 4 5 3 5 2 2" xfId="8084" xr:uid="{00000000-0005-0000-0000-0000A5100000}"/>
    <cellStyle name="Normal 2 4 5 3 5 2 2 2" xfId="25857" xr:uid="{01A276F6-250B-4064-8D87-40C9115EB7A8}"/>
    <cellStyle name="Normal 2 4 5 3 5 2 2 2 2" xfId="42751" xr:uid="{AA482C11-E0CB-4500-9C9A-3855777E339D}"/>
    <cellStyle name="Normal 2 4 5 3 5 2 2 3" xfId="17410" xr:uid="{24E05BDB-858F-4D93-84E9-7BADE0BB2261}"/>
    <cellStyle name="Normal 2 4 5 3 5 2 2 4" xfId="34304" xr:uid="{C9DE2D96-DCE7-46FD-A370-6C37D9D5F875}"/>
    <cellStyle name="Normal 2 4 5 3 5 2 3" xfId="21640" xr:uid="{E43B085D-8F37-457A-AC77-D517CFE70580}"/>
    <cellStyle name="Normal 2 4 5 3 5 2 3 2" xfId="38534" xr:uid="{3F87FBA9-2E5B-4849-ADD1-99869F9778F6}"/>
    <cellStyle name="Normal 2 4 5 3 5 2 4" xfId="13193" xr:uid="{6F3FA1A8-BC74-4F7D-BA6B-1D558C138580}"/>
    <cellStyle name="Normal 2 4 5 3 5 2 5" xfId="30087" xr:uid="{5B97B2C7-ADC3-4C2C-B448-669938A386FF}"/>
    <cellStyle name="Normal 2 4 5 3 5 3" xfId="5939" xr:uid="{00000000-0005-0000-0000-0000A6100000}"/>
    <cellStyle name="Normal 2 4 5 3 5 3 2" xfId="23712" xr:uid="{4763673E-15E2-429D-A852-7981712C3606}"/>
    <cellStyle name="Normal 2 4 5 3 5 3 2 2" xfId="40606" xr:uid="{4B0F5AA3-5424-42CB-9148-78E60BF0B348}"/>
    <cellStyle name="Normal 2 4 5 3 5 3 3" xfId="15265" xr:uid="{C7E73CD6-291C-4F28-A2A7-B38FA984D72D}"/>
    <cellStyle name="Normal 2 4 5 3 5 3 4" xfId="32159" xr:uid="{627ABF16-DCE1-4889-BD23-C258CF9C3039}"/>
    <cellStyle name="Normal 2 4 5 3 5 4" xfId="19495" xr:uid="{249E4905-55E7-45C5-94E1-FDDD9BEC606F}"/>
    <cellStyle name="Normal 2 4 5 3 5 4 2" xfId="36389" xr:uid="{6299B945-68A2-432D-B075-29F6C8DB5DFE}"/>
    <cellStyle name="Normal 2 4 5 3 5 5" xfId="11048" xr:uid="{CB5DC435-01DD-4A17-B673-66B14E668C3E}"/>
    <cellStyle name="Normal 2 4 5 3 5 6" xfId="27942" xr:uid="{1ABCA166-A967-45B3-A556-3D97440E1080}"/>
    <cellStyle name="Normal 2 4 5 3 6" xfId="2046" xr:uid="{00000000-0005-0000-0000-0000A7100000}"/>
    <cellStyle name="Normal 2 4 5 3 6 2" xfId="4275" xr:uid="{00000000-0005-0000-0000-0000A8100000}"/>
    <cellStyle name="Normal 2 4 5 3 6 2 2" xfId="8497" xr:uid="{00000000-0005-0000-0000-0000A9100000}"/>
    <cellStyle name="Normal 2 4 5 3 6 2 2 2" xfId="26270" xr:uid="{209E40DE-7D84-46F7-929C-3B24B9CBDE07}"/>
    <cellStyle name="Normal 2 4 5 3 6 2 2 2 2" xfId="43164" xr:uid="{FA426411-EE6D-4742-B8E6-E5F309A2CA33}"/>
    <cellStyle name="Normal 2 4 5 3 6 2 2 3" xfId="17823" xr:uid="{B1E650C5-5C6A-4528-8C6B-30EA315569A7}"/>
    <cellStyle name="Normal 2 4 5 3 6 2 2 4" xfId="34717" xr:uid="{1D2BF997-A1C7-4745-8A5A-967464CD5733}"/>
    <cellStyle name="Normal 2 4 5 3 6 2 3" xfId="22053" xr:uid="{DD22DF9A-5A28-4777-B9B0-6370C2A07381}"/>
    <cellStyle name="Normal 2 4 5 3 6 2 3 2" xfId="38947" xr:uid="{5B1CC6D1-5424-41E4-8D7D-ABD2637AB221}"/>
    <cellStyle name="Normal 2 4 5 3 6 2 4" xfId="13606" xr:uid="{E7E85546-BFCE-4BD2-BE66-DD4BD5A88D41}"/>
    <cellStyle name="Normal 2 4 5 3 6 2 5" xfId="30500" xr:uid="{EAB698FC-6931-417A-B96A-99608343423B}"/>
    <cellStyle name="Normal 2 4 5 3 6 3" xfId="6352" xr:uid="{00000000-0005-0000-0000-0000AA100000}"/>
    <cellStyle name="Normal 2 4 5 3 6 3 2" xfId="24125" xr:uid="{374AEB7B-CD52-44E8-8651-6FB703E5791E}"/>
    <cellStyle name="Normal 2 4 5 3 6 3 2 2" xfId="41019" xr:uid="{7E0E9A7C-E7D5-4571-89D8-EAA466C986F8}"/>
    <cellStyle name="Normal 2 4 5 3 6 3 3" xfId="15678" xr:uid="{C9B827DE-376C-4F41-8DDF-A5367BA5E2B9}"/>
    <cellStyle name="Normal 2 4 5 3 6 3 4" xfId="32572" xr:uid="{7DFDD3F3-ED52-41D7-A39C-A865E098BCFD}"/>
    <cellStyle name="Normal 2 4 5 3 6 4" xfId="19908" xr:uid="{20969040-C3D2-49B9-B9B6-D85B1813553F}"/>
    <cellStyle name="Normal 2 4 5 3 6 4 2" xfId="36802" xr:uid="{74BB4865-1016-4238-8C53-9A9D9663C922}"/>
    <cellStyle name="Normal 2 4 5 3 6 5" xfId="11461" xr:uid="{C4AAA455-B98E-410D-A83A-06CF6AD7C139}"/>
    <cellStyle name="Normal 2 4 5 3 6 6" xfId="28355" xr:uid="{AFC7FFCD-DCBC-43F1-9276-285F6918CE2C}"/>
    <cellStyle name="Normal 2 4 5 3 7" xfId="2482" xr:uid="{00000000-0005-0000-0000-0000AB100000}"/>
    <cellStyle name="Normal 2 4 5 3 7 2" xfId="6765" xr:uid="{00000000-0005-0000-0000-0000AC100000}"/>
    <cellStyle name="Normal 2 4 5 3 7 2 2" xfId="24538" xr:uid="{6F1DAF55-2DCF-49A0-8B6C-3462FA3A51A0}"/>
    <cellStyle name="Normal 2 4 5 3 7 2 2 2" xfId="41432" xr:uid="{F3B25DCA-9E65-49B0-857E-8729F0797EBD}"/>
    <cellStyle name="Normal 2 4 5 3 7 2 3" xfId="16091" xr:uid="{A91181B2-8D98-4B77-BC0C-09C65A36D75B}"/>
    <cellStyle name="Normal 2 4 5 3 7 2 4" xfId="32985" xr:uid="{A19C9884-549B-4F1E-B600-C7331A00A615}"/>
    <cellStyle name="Normal 2 4 5 3 7 3" xfId="20321" xr:uid="{73DA1D01-DA9C-42EA-A4EC-71889CE70F64}"/>
    <cellStyle name="Normal 2 4 5 3 7 3 2" xfId="37215" xr:uid="{2428056A-4443-4E6B-89E9-98A437DAD31B}"/>
    <cellStyle name="Normal 2 4 5 3 7 4" xfId="11874" xr:uid="{940B1ACB-E86E-4F1F-B2AA-5F162B011638}"/>
    <cellStyle name="Normal 2 4 5 3 7 5" xfId="28768" xr:uid="{12B9AD18-132F-4B82-AD85-9E2F01686825}"/>
    <cellStyle name="Normal 2 4 5 3 8" xfId="4699" xr:uid="{00000000-0005-0000-0000-0000AD100000}"/>
    <cellStyle name="Normal 2 4 5 3 8 2" xfId="22472" xr:uid="{E2653A88-C6CA-4234-801A-DC0F6BAADD58}"/>
    <cellStyle name="Normal 2 4 5 3 8 2 2" xfId="39366" xr:uid="{3BD5F4DB-A1E0-488A-82E5-0EDC2BD6C1FA}"/>
    <cellStyle name="Normal 2 4 5 3 8 3" xfId="14025" xr:uid="{E9C13DA9-B1EA-4A90-A654-C6B0A744DE90}"/>
    <cellStyle name="Normal 2 4 5 3 8 4" xfId="30919" xr:uid="{40BE0606-8A6C-4AEB-9650-606644D7AAA4}"/>
    <cellStyle name="Normal 2 4 5 3 9" xfId="8883" xr:uid="{0A470B75-873E-4D74-A257-113E3E343E18}"/>
    <cellStyle name="Normal 2 4 5 3 9 2" xfId="18255" xr:uid="{A379FA29-E794-4708-9FAC-DB2016952AD2}"/>
    <cellStyle name="Normal 2 4 5 3 9 3" xfId="35149" xr:uid="{69987E27-9401-4081-9D47-00F1BDBDCCEC}"/>
    <cellStyle name="Normal 2 4 5 4" xfId="310" xr:uid="{00000000-0005-0000-0000-0000AE100000}"/>
    <cellStyle name="Normal 2 4 5 4 10" xfId="26704" xr:uid="{AEBB5A1A-DE90-4A02-ABE4-7522E10D24E0}"/>
    <cellStyle name="Normal 2 4 5 4 2" xfId="799" xr:uid="{00000000-0005-0000-0000-0000AF100000}"/>
    <cellStyle name="Normal 2 4 5 4 2 2" xfId="3038" xr:uid="{00000000-0005-0000-0000-0000B0100000}"/>
    <cellStyle name="Normal 2 4 5 4 2 2 2" xfId="7260" xr:uid="{00000000-0005-0000-0000-0000B1100000}"/>
    <cellStyle name="Normal 2 4 5 4 2 2 2 2" xfId="25033" xr:uid="{306B75E2-31A3-4AC7-BC66-76AB8440DE6A}"/>
    <cellStyle name="Normal 2 4 5 4 2 2 2 2 2" xfId="41927" xr:uid="{E18C32F3-E476-4C8F-A389-C51B24B71A41}"/>
    <cellStyle name="Normal 2 4 5 4 2 2 2 3" xfId="16586" xr:uid="{BCE56C7C-6E4D-4802-8501-EF728DC22F34}"/>
    <cellStyle name="Normal 2 4 5 4 2 2 2 4" xfId="33480" xr:uid="{5E9A43B8-047C-4C22-9C7C-5E19738C133D}"/>
    <cellStyle name="Normal 2 4 5 4 2 2 3" xfId="20816" xr:uid="{BDF8C039-7BC1-45B0-A6D7-426B932336BE}"/>
    <cellStyle name="Normal 2 4 5 4 2 2 3 2" xfId="37710" xr:uid="{FA4E4250-97B0-4917-BA44-B7FDCDBDD701}"/>
    <cellStyle name="Normal 2 4 5 4 2 2 4" xfId="12369" xr:uid="{06E4F0F3-A97C-43A2-893C-DC00E7C8CD7A}"/>
    <cellStyle name="Normal 2 4 5 4 2 2 5" xfId="29263" xr:uid="{8E1E1994-54EC-46A1-B3BD-7D53A55EBC39}"/>
    <cellStyle name="Normal 2 4 5 4 2 3" xfId="5115" xr:uid="{00000000-0005-0000-0000-0000B2100000}"/>
    <cellStyle name="Normal 2 4 5 4 2 3 2" xfId="22888" xr:uid="{A1403F46-23A2-4302-95DA-02EC41D04A42}"/>
    <cellStyle name="Normal 2 4 5 4 2 3 2 2" xfId="39782" xr:uid="{5B16DF6D-E693-4E3E-A2DC-BB9C75765C7C}"/>
    <cellStyle name="Normal 2 4 5 4 2 3 3" xfId="14441" xr:uid="{BBB1AF91-5256-46C1-91AB-103CD4E92A22}"/>
    <cellStyle name="Normal 2 4 5 4 2 3 4" xfId="31335" xr:uid="{A500F8AE-A483-49A2-A285-8AC1F93880BA}"/>
    <cellStyle name="Normal 2 4 5 4 2 4" xfId="9412" xr:uid="{0ECAC303-3EA0-4623-AA0F-854157CA32E5}"/>
    <cellStyle name="Normal 2 4 5 4 2 4 2" xfId="18671" xr:uid="{73EA1322-C885-441B-B662-55A8D24843C6}"/>
    <cellStyle name="Normal 2 4 5 4 2 4 3" xfId="35565" xr:uid="{C7B69463-6FBC-4D13-AFBF-D239F6521D52}"/>
    <cellStyle name="Normal 2 4 5 4 2 5" xfId="10224" xr:uid="{DB2B219F-A6EC-4B13-A0F5-6DF2E488119A}"/>
    <cellStyle name="Normal 2 4 5 4 2 6" xfId="27118" xr:uid="{D0F6A506-666E-4043-B6C1-792F005C8EB8}"/>
    <cellStyle name="Normal 2 4 5 4 3" xfId="1221" xr:uid="{00000000-0005-0000-0000-0000B3100000}"/>
    <cellStyle name="Normal 2 4 5 4 3 2" xfId="3451" xr:uid="{00000000-0005-0000-0000-0000B4100000}"/>
    <cellStyle name="Normal 2 4 5 4 3 2 2" xfId="7673" xr:uid="{00000000-0005-0000-0000-0000B5100000}"/>
    <cellStyle name="Normal 2 4 5 4 3 2 2 2" xfId="25446" xr:uid="{444D6605-CDC9-40B0-801A-DBA468DA7722}"/>
    <cellStyle name="Normal 2 4 5 4 3 2 2 2 2" xfId="42340" xr:uid="{635BEB9C-E281-4E59-99AB-735CE400B45C}"/>
    <cellStyle name="Normal 2 4 5 4 3 2 2 3" xfId="16999" xr:uid="{6456A956-6262-4EF7-B54C-72C7CD226202}"/>
    <cellStyle name="Normal 2 4 5 4 3 2 2 4" xfId="33893" xr:uid="{0BE454E6-816D-42C1-B2ED-267A8A6823A5}"/>
    <cellStyle name="Normal 2 4 5 4 3 2 3" xfId="21229" xr:uid="{461424DB-FF83-492A-8FD8-F8915CC9B694}"/>
    <cellStyle name="Normal 2 4 5 4 3 2 3 2" xfId="38123" xr:uid="{E39A1963-82D1-431D-9456-B063A1C84D4B}"/>
    <cellStyle name="Normal 2 4 5 4 3 2 4" xfId="12782" xr:uid="{0ED8805B-5D9D-4229-B8E7-3558E8F729EB}"/>
    <cellStyle name="Normal 2 4 5 4 3 2 5" xfId="29676" xr:uid="{D27E5BA8-8D9F-4FB2-AF5A-ABB4840DDCDD}"/>
    <cellStyle name="Normal 2 4 5 4 3 3" xfId="5528" xr:uid="{00000000-0005-0000-0000-0000B6100000}"/>
    <cellStyle name="Normal 2 4 5 4 3 3 2" xfId="23301" xr:uid="{B0BD0456-15E2-4048-916A-1CE8F84FD322}"/>
    <cellStyle name="Normal 2 4 5 4 3 3 2 2" xfId="40195" xr:uid="{C4F8CFFF-2065-44CF-8E24-F376A8ED8849}"/>
    <cellStyle name="Normal 2 4 5 4 3 3 3" xfId="14854" xr:uid="{86014AB2-3B87-4ECD-A101-1B9C5381E777}"/>
    <cellStyle name="Normal 2 4 5 4 3 3 4" xfId="31748" xr:uid="{5A09432B-AB0C-4A60-92D4-086805947DD2}"/>
    <cellStyle name="Normal 2 4 5 4 3 4" xfId="19084" xr:uid="{38A0B188-250C-4470-A649-80AE14A9E490}"/>
    <cellStyle name="Normal 2 4 5 4 3 4 2" xfId="35978" xr:uid="{E7143547-5169-4962-8C27-E3AFFE8292A5}"/>
    <cellStyle name="Normal 2 4 5 4 3 5" xfId="10637" xr:uid="{8F82FFD6-88F1-4B72-9984-C7BC5D839C7E}"/>
    <cellStyle name="Normal 2 4 5 4 3 6" xfId="27531" xr:uid="{0878EA1F-EC54-410B-A39B-0B566BE78477}"/>
    <cellStyle name="Normal 2 4 5 4 4" xfId="1634" xr:uid="{00000000-0005-0000-0000-0000B7100000}"/>
    <cellStyle name="Normal 2 4 5 4 4 2" xfId="3864" xr:uid="{00000000-0005-0000-0000-0000B8100000}"/>
    <cellStyle name="Normal 2 4 5 4 4 2 2" xfId="8086" xr:uid="{00000000-0005-0000-0000-0000B9100000}"/>
    <cellStyle name="Normal 2 4 5 4 4 2 2 2" xfId="25859" xr:uid="{2E7D60A0-BF03-4221-A5B8-F47C6AD46E4E}"/>
    <cellStyle name="Normal 2 4 5 4 4 2 2 2 2" xfId="42753" xr:uid="{B5D8532B-B26C-4922-AAA8-A42F3095DA50}"/>
    <cellStyle name="Normal 2 4 5 4 4 2 2 3" xfId="17412" xr:uid="{1A71AADF-8A22-45F1-8CEF-9B1659DB85A1}"/>
    <cellStyle name="Normal 2 4 5 4 4 2 2 4" xfId="34306" xr:uid="{1CBED95A-BBA4-4C98-B852-F71232714C67}"/>
    <cellStyle name="Normal 2 4 5 4 4 2 3" xfId="21642" xr:uid="{839A5605-3975-4B24-9347-38BEA1F6BACE}"/>
    <cellStyle name="Normal 2 4 5 4 4 2 3 2" xfId="38536" xr:uid="{278B2712-E6E8-4409-BE3B-86C239152217}"/>
    <cellStyle name="Normal 2 4 5 4 4 2 4" xfId="13195" xr:uid="{C4DD53EF-7A81-4437-9CAF-AE5CB59A4269}"/>
    <cellStyle name="Normal 2 4 5 4 4 2 5" xfId="30089" xr:uid="{5866B19C-5CE2-4A5C-88BE-74E04D8578B7}"/>
    <cellStyle name="Normal 2 4 5 4 4 3" xfId="5941" xr:uid="{00000000-0005-0000-0000-0000BA100000}"/>
    <cellStyle name="Normal 2 4 5 4 4 3 2" xfId="23714" xr:uid="{0136B4A2-47EF-4BBC-BCC4-72974B5AAED4}"/>
    <cellStyle name="Normal 2 4 5 4 4 3 2 2" xfId="40608" xr:uid="{9D4CDE18-D579-470F-8FAD-7B6455746B53}"/>
    <cellStyle name="Normal 2 4 5 4 4 3 3" xfId="15267" xr:uid="{621D2F0C-2433-4860-A6D3-6C5F561FE311}"/>
    <cellStyle name="Normal 2 4 5 4 4 3 4" xfId="32161" xr:uid="{CE1079E1-FDA3-46F4-8A4B-317F99593E7B}"/>
    <cellStyle name="Normal 2 4 5 4 4 4" xfId="19497" xr:uid="{28A75D46-FB8F-49EF-84DE-7EF149100084}"/>
    <cellStyle name="Normal 2 4 5 4 4 4 2" xfId="36391" xr:uid="{8CE35614-A8E8-4666-A81B-A045A5FEE295}"/>
    <cellStyle name="Normal 2 4 5 4 4 5" xfId="11050" xr:uid="{008C8C46-4B2B-463B-8E1E-60205F578D49}"/>
    <cellStyle name="Normal 2 4 5 4 4 6" xfId="27944" xr:uid="{65AD9AAF-C043-41E1-858C-032F5DF68688}"/>
    <cellStyle name="Normal 2 4 5 4 5" xfId="2048" xr:uid="{00000000-0005-0000-0000-0000BB100000}"/>
    <cellStyle name="Normal 2 4 5 4 5 2" xfId="4277" xr:uid="{00000000-0005-0000-0000-0000BC100000}"/>
    <cellStyle name="Normal 2 4 5 4 5 2 2" xfId="8499" xr:uid="{00000000-0005-0000-0000-0000BD100000}"/>
    <cellStyle name="Normal 2 4 5 4 5 2 2 2" xfId="26272" xr:uid="{59B70CAC-C6D3-42C5-BD58-433A6FE02DE9}"/>
    <cellStyle name="Normal 2 4 5 4 5 2 2 2 2" xfId="43166" xr:uid="{4210E910-B871-4AEE-A495-3BA545D7F8CB}"/>
    <cellStyle name="Normal 2 4 5 4 5 2 2 3" xfId="17825" xr:uid="{AE69C825-EEAE-44A1-B579-D20119F399FA}"/>
    <cellStyle name="Normal 2 4 5 4 5 2 2 4" xfId="34719" xr:uid="{79147313-FA15-41EA-B15B-7C67FB231E44}"/>
    <cellStyle name="Normal 2 4 5 4 5 2 3" xfId="22055" xr:uid="{A9405FB8-A575-4564-8C2A-6FA2D44D45A8}"/>
    <cellStyle name="Normal 2 4 5 4 5 2 3 2" xfId="38949" xr:uid="{5B0B2603-8B25-4BA9-AFDB-7EFEEA1DA2A2}"/>
    <cellStyle name="Normal 2 4 5 4 5 2 4" xfId="13608" xr:uid="{C968D5B2-F9A1-4685-971D-39252AAAAA0E}"/>
    <cellStyle name="Normal 2 4 5 4 5 2 5" xfId="30502" xr:uid="{F0DCB80C-6871-4919-B2A1-FEAEB7DADE4E}"/>
    <cellStyle name="Normal 2 4 5 4 5 3" xfId="6354" xr:uid="{00000000-0005-0000-0000-0000BE100000}"/>
    <cellStyle name="Normal 2 4 5 4 5 3 2" xfId="24127" xr:uid="{BD0A6370-4790-4592-9C77-2914092D4C21}"/>
    <cellStyle name="Normal 2 4 5 4 5 3 2 2" xfId="41021" xr:uid="{3AEEDFFB-4C5E-4806-A7EF-6E7B04A673B6}"/>
    <cellStyle name="Normal 2 4 5 4 5 3 3" xfId="15680" xr:uid="{0FA6FD9E-C04C-4CEC-AA3E-E04C85052A37}"/>
    <cellStyle name="Normal 2 4 5 4 5 3 4" xfId="32574" xr:uid="{95CDC69B-8ED5-4218-A6D3-AE11EF5EBC07}"/>
    <cellStyle name="Normal 2 4 5 4 5 4" xfId="19910" xr:uid="{FD27F79A-5BBB-403D-ADCE-8B1F997557AD}"/>
    <cellStyle name="Normal 2 4 5 4 5 4 2" xfId="36804" xr:uid="{DE91EE18-312D-4083-8BEC-C6701910AFB5}"/>
    <cellStyle name="Normal 2 4 5 4 5 5" xfId="11463" xr:uid="{49F545C4-1EEB-4F3F-B070-A5DC64C783F1}"/>
    <cellStyle name="Normal 2 4 5 4 5 6" xfId="28357" xr:uid="{5D5692DB-327A-4B6A-82A7-56B41FDF378C}"/>
    <cellStyle name="Normal 2 4 5 4 6" xfId="2484" xr:uid="{00000000-0005-0000-0000-0000BF100000}"/>
    <cellStyle name="Normal 2 4 5 4 6 2" xfId="6767" xr:uid="{00000000-0005-0000-0000-0000C0100000}"/>
    <cellStyle name="Normal 2 4 5 4 6 2 2" xfId="24540" xr:uid="{B48E6102-D266-42EC-8422-DB9C53004714}"/>
    <cellStyle name="Normal 2 4 5 4 6 2 2 2" xfId="41434" xr:uid="{5E2D9664-F99C-4007-AEC9-CC39DE9F7595}"/>
    <cellStyle name="Normal 2 4 5 4 6 2 3" xfId="16093" xr:uid="{1926EC68-287D-44D6-84DD-A0FCD972D9FB}"/>
    <cellStyle name="Normal 2 4 5 4 6 2 4" xfId="32987" xr:uid="{48B6855A-65E0-475A-8ED2-68E7F03D2F49}"/>
    <cellStyle name="Normal 2 4 5 4 6 3" xfId="20323" xr:uid="{058343D7-FC6F-4206-A3AF-EDEC2758C7A6}"/>
    <cellStyle name="Normal 2 4 5 4 6 3 2" xfId="37217" xr:uid="{90FB9807-4D56-469B-ABCB-BDFACDB3449B}"/>
    <cellStyle name="Normal 2 4 5 4 6 4" xfId="11876" xr:uid="{16A9595E-BBF7-4883-9B76-9E4432267CDA}"/>
    <cellStyle name="Normal 2 4 5 4 6 5" xfId="28770" xr:uid="{5F0B3F65-6804-4C50-895C-4682F9D2C88D}"/>
    <cellStyle name="Normal 2 4 5 4 7" xfId="4701" xr:uid="{00000000-0005-0000-0000-0000C1100000}"/>
    <cellStyle name="Normal 2 4 5 4 7 2" xfId="22474" xr:uid="{A89793BB-FE38-48F3-B18B-545A7BFC77DE}"/>
    <cellStyle name="Normal 2 4 5 4 7 2 2" xfId="39368" xr:uid="{96220CD5-695D-4887-A850-1A8167C8B467}"/>
    <cellStyle name="Normal 2 4 5 4 7 3" xfId="14027" xr:uid="{A3D0ED56-CBD1-47D5-8739-693BAC43261C}"/>
    <cellStyle name="Normal 2 4 5 4 7 4" xfId="30921" xr:uid="{324B73ED-AC03-4B44-9A6D-C6D3A0B4DC58}"/>
    <cellStyle name="Normal 2 4 5 4 8" xfId="8987" xr:uid="{8DC2C01A-3078-41AD-BCFB-AA1CA8EE9C0A}"/>
    <cellStyle name="Normal 2 4 5 4 8 2" xfId="18257" xr:uid="{63E12F5B-C4DD-4403-9947-24B8EF6DCDD7}"/>
    <cellStyle name="Normal 2 4 5 4 8 3" xfId="35151" xr:uid="{42A3BE8E-16EA-4678-92C3-BCC8F8B2003F}"/>
    <cellStyle name="Normal 2 4 5 4 9" xfId="9810" xr:uid="{942AAB5F-7ECB-4029-A259-91D96FA5D53F}"/>
    <cellStyle name="Normal 2 4 5 5" xfId="792" xr:uid="{00000000-0005-0000-0000-0000C2100000}"/>
    <cellStyle name="Normal 2 4 5 5 2" xfId="3031" xr:uid="{00000000-0005-0000-0000-0000C3100000}"/>
    <cellStyle name="Normal 2 4 5 5 2 2" xfId="7253" xr:uid="{00000000-0005-0000-0000-0000C4100000}"/>
    <cellStyle name="Normal 2 4 5 5 2 2 2" xfId="25026" xr:uid="{C246CFAE-3098-401B-86D9-36A57541DA68}"/>
    <cellStyle name="Normal 2 4 5 5 2 2 2 2" xfId="41920" xr:uid="{0F31C704-07A5-4145-86AC-7E457C8D19BD}"/>
    <cellStyle name="Normal 2 4 5 5 2 2 3" xfId="16579" xr:uid="{633E1AD7-C63B-4962-BD66-98F854B9E036}"/>
    <cellStyle name="Normal 2 4 5 5 2 2 4" xfId="33473" xr:uid="{FFF5FFE0-A2F6-4D2E-B99A-04032A51016D}"/>
    <cellStyle name="Normal 2 4 5 5 2 3" xfId="20809" xr:uid="{DEE10C87-33E9-4A24-82E4-9BED47572B0C}"/>
    <cellStyle name="Normal 2 4 5 5 2 3 2" xfId="37703" xr:uid="{767FAA07-0EC5-49FE-B8C9-9B3FBC8ABEAD}"/>
    <cellStyle name="Normal 2 4 5 5 2 4" xfId="12362" xr:uid="{B8BB300B-595C-46B8-904C-6AEC07D48149}"/>
    <cellStyle name="Normal 2 4 5 5 2 5" xfId="29256" xr:uid="{4D753A78-3687-468C-A9A1-829126676A7C}"/>
    <cellStyle name="Normal 2 4 5 5 3" xfId="5108" xr:uid="{00000000-0005-0000-0000-0000C5100000}"/>
    <cellStyle name="Normal 2 4 5 5 3 2" xfId="22881" xr:uid="{2A4A1B08-344B-46E0-80ED-393DBB4B6AC8}"/>
    <cellStyle name="Normal 2 4 5 5 3 2 2" xfId="39775" xr:uid="{F7CF3D73-6FCD-4090-8CB4-30D55E56CB67}"/>
    <cellStyle name="Normal 2 4 5 5 3 3" xfId="14434" xr:uid="{D8F934A6-91EC-4909-97E4-61CDDBF70FA0}"/>
    <cellStyle name="Normal 2 4 5 5 3 4" xfId="31328" xr:uid="{CB8B1393-307C-4A6C-BFC2-D566D1729DF9}"/>
    <cellStyle name="Normal 2 4 5 5 4" xfId="9204" xr:uid="{BE34B337-03EE-47D8-9E35-2EE6FAB30236}"/>
    <cellStyle name="Normal 2 4 5 5 4 2" xfId="18664" xr:uid="{174A4AC8-DEA4-4C54-B42F-7AB3825ABD2D}"/>
    <cellStyle name="Normal 2 4 5 5 4 3" xfId="35558" xr:uid="{C95456CE-4B2C-4466-B769-2D9E779846FA}"/>
    <cellStyle name="Normal 2 4 5 5 5" xfId="10217" xr:uid="{5DF940C5-51DF-4EB1-A39A-D121010680C9}"/>
    <cellStyle name="Normal 2 4 5 5 6" xfId="27111" xr:uid="{9A18F3AC-B8FD-4305-A2DE-63D0FF2A89B2}"/>
    <cellStyle name="Normal 2 4 5 6" xfId="1214" xr:uid="{00000000-0005-0000-0000-0000C6100000}"/>
    <cellStyle name="Normal 2 4 5 6 2" xfId="3444" xr:uid="{00000000-0005-0000-0000-0000C7100000}"/>
    <cellStyle name="Normal 2 4 5 6 2 2" xfId="7666" xr:uid="{00000000-0005-0000-0000-0000C8100000}"/>
    <cellStyle name="Normal 2 4 5 6 2 2 2" xfId="25439" xr:uid="{C924CE6A-0DB6-4FB3-A71C-1873A388D8E6}"/>
    <cellStyle name="Normal 2 4 5 6 2 2 2 2" xfId="42333" xr:uid="{6A7619FF-4163-4E16-B0BC-2D661693DF5F}"/>
    <cellStyle name="Normal 2 4 5 6 2 2 3" xfId="16992" xr:uid="{7DA58396-3777-4F1D-BCE8-8346CA870261}"/>
    <cellStyle name="Normal 2 4 5 6 2 2 4" xfId="33886" xr:uid="{3A887AC6-86E3-4C62-B1C1-916AC96452C0}"/>
    <cellStyle name="Normal 2 4 5 6 2 3" xfId="21222" xr:uid="{55F85312-6384-4FA1-9E67-71885E2B669E}"/>
    <cellStyle name="Normal 2 4 5 6 2 3 2" xfId="38116" xr:uid="{F3C084F5-3ED8-45DE-BBD9-D2DAE6EF22DF}"/>
    <cellStyle name="Normal 2 4 5 6 2 4" xfId="12775" xr:uid="{EF3C01B5-499F-44BE-AA02-D86F213256EE}"/>
    <cellStyle name="Normal 2 4 5 6 2 5" xfId="29669" xr:uid="{1B254827-FAB6-4BE7-B854-60039036E555}"/>
    <cellStyle name="Normal 2 4 5 6 3" xfId="5521" xr:uid="{00000000-0005-0000-0000-0000C9100000}"/>
    <cellStyle name="Normal 2 4 5 6 3 2" xfId="23294" xr:uid="{4301CB90-F7D8-4AC3-B8CF-0BF475087A12}"/>
    <cellStyle name="Normal 2 4 5 6 3 2 2" xfId="40188" xr:uid="{AB312F0A-6924-4D3B-8917-F6459EF0AD77}"/>
    <cellStyle name="Normal 2 4 5 6 3 3" xfId="14847" xr:uid="{C02774D6-B70E-484F-A7B3-EC2E75B42380}"/>
    <cellStyle name="Normal 2 4 5 6 3 4" xfId="31741" xr:uid="{17F8D66D-93EB-47B5-8C64-DA6B1D75B2A9}"/>
    <cellStyle name="Normal 2 4 5 6 4" xfId="19077" xr:uid="{A3AD9F97-F8EF-4C27-A5A3-5D0D4415C35D}"/>
    <cellStyle name="Normal 2 4 5 6 4 2" xfId="35971" xr:uid="{5AADD7FD-806D-41FE-956D-5E41E21889AD}"/>
    <cellStyle name="Normal 2 4 5 6 5" xfId="10630" xr:uid="{EEF20C7B-B2BB-4BFE-A7A8-36CE87E8F236}"/>
    <cellStyle name="Normal 2 4 5 6 6" xfId="27524" xr:uid="{35F2F9E8-A749-46EB-8F60-DFFF47213A7E}"/>
    <cellStyle name="Normal 2 4 5 7" xfId="1627" xr:uid="{00000000-0005-0000-0000-0000CA100000}"/>
    <cellStyle name="Normal 2 4 5 7 2" xfId="3857" xr:uid="{00000000-0005-0000-0000-0000CB100000}"/>
    <cellStyle name="Normal 2 4 5 7 2 2" xfId="8079" xr:uid="{00000000-0005-0000-0000-0000CC100000}"/>
    <cellStyle name="Normal 2 4 5 7 2 2 2" xfId="25852" xr:uid="{660DCEFB-758A-4F14-B406-CCB91617FA30}"/>
    <cellStyle name="Normal 2 4 5 7 2 2 2 2" xfId="42746" xr:uid="{F5F63BAC-099F-4D3C-8A83-A91B2CC01068}"/>
    <cellStyle name="Normal 2 4 5 7 2 2 3" xfId="17405" xr:uid="{4F98512A-D3D8-4096-B898-86A4BDA19B2C}"/>
    <cellStyle name="Normal 2 4 5 7 2 2 4" xfId="34299" xr:uid="{6B2383D7-C44A-4C86-8965-EE301EE8DD8A}"/>
    <cellStyle name="Normal 2 4 5 7 2 3" xfId="21635" xr:uid="{55DC02F9-F521-4D54-BA75-1E5CAC1E0D48}"/>
    <cellStyle name="Normal 2 4 5 7 2 3 2" xfId="38529" xr:uid="{E440BFA5-C8C4-4547-B0D7-83FF8EA3A2A5}"/>
    <cellStyle name="Normal 2 4 5 7 2 4" xfId="13188" xr:uid="{C19DCE20-D286-4122-9519-9B312E5C311B}"/>
    <cellStyle name="Normal 2 4 5 7 2 5" xfId="30082" xr:uid="{6CCA082C-F024-430A-9F6D-68300018C3F7}"/>
    <cellStyle name="Normal 2 4 5 7 3" xfId="5934" xr:uid="{00000000-0005-0000-0000-0000CD100000}"/>
    <cellStyle name="Normal 2 4 5 7 3 2" xfId="23707" xr:uid="{476A7240-5D3D-4790-A8DC-5E0024D4B99C}"/>
    <cellStyle name="Normal 2 4 5 7 3 2 2" xfId="40601" xr:uid="{94A432A0-6AA1-45E0-A06C-B3D455076393}"/>
    <cellStyle name="Normal 2 4 5 7 3 3" xfId="15260" xr:uid="{63CC1FBC-B969-4A41-9B93-6A9A5848B34A}"/>
    <cellStyle name="Normal 2 4 5 7 3 4" xfId="32154" xr:uid="{22E35954-4CF4-4DEF-8BD3-7A91C2A183C2}"/>
    <cellStyle name="Normal 2 4 5 7 4" xfId="19490" xr:uid="{6833166D-613B-47C7-9EEA-36401DA291D5}"/>
    <cellStyle name="Normal 2 4 5 7 4 2" xfId="36384" xr:uid="{F887CA2F-DC43-4E89-A312-9AE6B1846F14}"/>
    <cellStyle name="Normal 2 4 5 7 5" xfId="11043" xr:uid="{AE85A164-CD6B-44BF-9185-D91BC97E0FB2}"/>
    <cellStyle name="Normal 2 4 5 7 6" xfId="27937" xr:uid="{FC5527BD-A2EF-40C1-93FD-31592D6F75EB}"/>
    <cellStyle name="Normal 2 4 5 8" xfId="2041" xr:uid="{00000000-0005-0000-0000-0000CE100000}"/>
    <cellStyle name="Normal 2 4 5 8 2" xfId="4270" xr:uid="{00000000-0005-0000-0000-0000CF100000}"/>
    <cellStyle name="Normal 2 4 5 8 2 2" xfId="8492" xr:uid="{00000000-0005-0000-0000-0000D0100000}"/>
    <cellStyle name="Normal 2 4 5 8 2 2 2" xfId="26265" xr:uid="{6D1E1DF6-B9CF-43A1-92D1-114818EF8CF4}"/>
    <cellStyle name="Normal 2 4 5 8 2 2 2 2" xfId="43159" xr:uid="{F0C25EE7-78C0-4A4A-A6A0-D100702D09BF}"/>
    <cellStyle name="Normal 2 4 5 8 2 2 3" xfId="17818" xr:uid="{F48862C1-FE87-4768-9C8A-72C97F23D3E0}"/>
    <cellStyle name="Normal 2 4 5 8 2 2 4" xfId="34712" xr:uid="{560F3358-06FD-4519-8C9F-1141417480C5}"/>
    <cellStyle name="Normal 2 4 5 8 2 3" xfId="22048" xr:uid="{DE87A03E-A926-4451-A7BC-ED2397D647AF}"/>
    <cellStyle name="Normal 2 4 5 8 2 3 2" xfId="38942" xr:uid="{BE92A4D5-0866-478C-9D29-A8D18D450C4A}"/>
    <cellStyle name="Normal 2 4 5 8 2 4" xfId="13601" xr:uid="{30C41718-1DBA-43F2-B464-F06C99826650}"/>
    <cellStyle name="Normal 2 4 5 8 2 5" xfId="30495" xr:uid="{CFD1D880-ED09-4B98-8733-DD962DDCC03A}"/>
    <cellStyle name="Normal 2 4 5 8 3" xfId="6347" xr:uid="{00000000-0005-0000-0000-0000D1100000}"/>
    <cellStyle name="Normal 2 4 5 8 3 2" xfId="24120" xr:uid="{1FC0315C-F75D-472C-93D8-666B20BF9551}"/>
    <cellStyle name="Normal 2 4 5 8 3 2 2" xfId="41014" xr:uid="{5CB5C4F8-20BA-4D40-A3D1-06A21DEDC026}"/>
    <cellStyle name="Normal 2 4 5 8 3 3" xfId="15673" xr:uid="{27FBE97C-5862-4ACC-90AB-D4EA1CF6A66D}"/>
    <cellStyle name="Normal 2 4 5 8 3 4" xfId="32567" xr:uid="{8E75C92E-36EC-40A9-AF0F-4CFA74F004D5}"/>
    <cellStyle name="Normal 2 4 5 8 4" xfId="19903" xr:uid="{50E8CC4B-B3F4-44D8-9D56-F93D435A7357}"/>
    <cellStyle name="Normal 2 4 5 8 4 2" xfId="36797" xr:uid="{9A954894-5A12-4C75-BB1A-235E7605A374}"/>
    <cellStyle name="Normal 2 4 5 8 5" xfId="11456" xr:uid="{2E6FCEFD-3B25-4268-9DF6-B325BB8BA73C}"/>
    <cellStyle name="Normal 2 4 5 8 6" xfId="28350" xr:uid="{BD2D4463-467D-447D-B9DD-1126E36650AE}"/>
    <cellStyle name="Normal 2 4 5 9" xfId="2477" xr:uid="{00000000-0005-0000-0000-0000D2100000}"/>
    <cellStyle name="Normal 2 4 5 9 2" xfId="6760" xr:uid="{00000000-0005-0000-0000-0000D3100000}"/>
    <cellStyle name="Normal 2 4 5 9 2 2" xfId="24533" xr:uid="{776E4BFB-B032-4C87-9F7D-80BFBA7AE5AD}"/>
    <cellStyle name="Normal 2 4 5 9 2 2 2" xfId="41427" xr:uid="{4504F248-4992-4D2E-BD38-16DD577F7799}"/>
    <cellStyle name="Normal 2 4 5 9 2 3" xfId="16086" xr:uid="{638CDB7E-F3DD-4AF8-8F8C-661E879B60B3}"/>
    <cellStyle name="Normal 2 4 5 9 2 4" xfId="32980" xr:uid="{0585E2EA-7305-4681-9A1E-066A80B990F2}"/>
    <cellStyle name="Normal 2 4 5 9 3" xfId="20316" xr:uid="{8074AD3F-FFCE-4BF1-9919-43E4341DA008}"/>
    <cellStyle name="Normal 2 4 5 9 3 2" xfId="37210" xr:uid="{2ACCAB56-C7F3-41C5-AB59-3C2811B9CB6A}"/>
    <cellStyle name="Normal 2 4 5 9 4" xfId="11869" xr:uid="{0E223A15-5F55-4E87-A866-7E4580EA33BF}"/>
    <cellStyle name="Normal 2 4 5 9 5" xfId="28763" xr:uid="{C18C4A39-CB5F-453C-B9F5-CDB5073DC044}"/>
    <cellStyle name="Normal 2 4 6" xfId="311" xr:uid="{00000000-0005-0000-0000-0000D4100000}"/>
    <cellStyle name="Normal 2 4 7" xfId="312" xr:uid="{00000000-0005-0000-0000-0000D5100000}"/>
    <cellStyle name="Normal 2 4 7 10" xfId="9811" xr:uid="{6A496DF2-8696-4BCE-BF1E-4FD225B81E08}"/>
    <cellStyle name="Normal 2 4 7 11" xfId="26705" xr:uid="{DA756390-79D2-4044-B4A3-5B03CB33A4DE}"/>
    <cellStyle name="Normal 2 4 7 2" xfId="313" xr:uid="{00000000-0005-0000-0000-0000D6100000}"/>
    <cellStyle name="Normal 2 4 7 2 10" xfId="26706" xr:uid="{EBC17D40-4925-4AC2-9C7B-034ADA6D9622}"/>
    <cellStyle name="Normal 2 4 7 2 2" xfId="801" xr:uid="{00000000-0005-0000-0000-0000D7100000}"/>
    <cellStyle name="Normal 2 4 7 2 2 2" xfId="3040" xr:uid="{00000000-0005-0000-0000-0000D8100000}"/>
    <cellStyle name="Normal 2 4 7 2 2 2 2" xfId="7262" xr:uid="{00000000-0005-0000-0000-0000D9100000}"/>
    <cellStyle name="Normal 2 4 7 2 2 2 2 2" xfId="25035" xr:uid="{0A3ADE67-CD74-4159-BD04-1D2D624A86D6}"/>
    <cellStyle name="Normal 2 4 7 2 2 2 2 2 2" xfId="41929" xr:uid="{F0B70B4C-4BC8-4F7D-9902-F4EB84A29F2D}"/>
    <cellStyle name="Normal 2 4 7 2 2 2 2 3" xfId="16588" xr:uid="{69EBD19D-AE65-4F0C-A9C5-E5C9507952DC}"/>
    <cellStyle name="Normal 2 4 7 2 2 2 2 4" xfId="33482" xr:uid="{22F7A869-38DF-4FA1-9262-C4A53E97B0D9}"/>
    <cellStyle name="Normal 2 4 7 2 2 2 3" xfId="20818" xr:uid="{B4203450-1F20-495B-94E2-B1A12848262D}"/>
    <cellStyle name="Normal 2 4 7 2 2 2 3 2" xfId="37712" xr:uid="{730C4367-181E-4635-9D46-FDED4CF5A7C5}"/>
    <cellStyle name="Normal 2 4 7 2 2 2 4" xfId="12371" xr:uid="{D2029C98-BD88-49AA-AFB0-F8E31D3D5B5B}"/>
    <cellStyle name="Normal 2 4 7 2 2 2 5" xfId="29265" xr:uid="{255B48F0-5347-4338-99F5-37E111CB5B03}"/>
    <cellStyle name="Normal 2 4 7 2 2 3" xfId="5117" xr:uid="{00000000-0005-0000-0000-0000DA100000}"/>
    <cellStyle name="Normal 2 4 7 2 2 3 2" xfId="22890" xr:uid="{B6AB2CC7-5EBA-4DF7-8846-6788B72A8CFD}"/>
    <cellStyle name="Normal 2 4 7 2 2 3 2 2" xfId="39784" xr:uid="{E62204EB-1050-4365-B837-BE52B5464E81}"/>
    <cellStyle name="Normal 2 4 7 2 2 3 3" xfId="14443" xr:uid="{37D28889-E030-4D7D-B4EC-7D2FE80825AD}"/>
    <cellStyle name="Normal 2 4 7 2 2 3 4" xfId="31337" xr:uid="{09497715-90CF-4FD0-B6DE-8876CC3193AA}"/>
    <cellStyle name="Normal 2 4 7 2 2 4" xfId="9483" xr:uid="{3D7EFF6F-050D-4214-91CB-DF2673F23584}"/>
    <cellStyle name="Normal 2 4 7 2 2 4 2" xfId="18673" xr:uid="{6213659A-9B43-4CA2-B309-67FC3CC37752}"/>
    <cellStyle name="Normal 2 4 7 2 2 4 3" xfId="35567" xr:uid="{F77419DB-1E75-4348-8799-7AE4A987FEA3}"/>
    <cellStyle name="Normal 2 4 7 2 2 5" xfId="10226" xr:uid="{58FC96EB-F2D6-4F82-9266-BDF59C254D5C}"/>
    <cellStyle name="Normal 2 4 7 2 2 6" xfId="27120" xr:uid="{9D6B1BC7-AEDF-4A1E-A031-E56A09D5F9B1}"/>
    <cellStyle name="Normal 2 4 7 2 3" xfId="1223" xr:uid="{00000000-0005-0000-0000-0000DB100000}"/>
    <cellStyle name="Normal 2 4 7 2 3 2" xfId="3453" xr:uid="{00000000-0005-0000-0000-0000DC100000}"/>
    <cellStyle name="Normal 2 4 7 2 3 2 2" xfId="7675" xr:uid="{00000000-0005-0000-0000-0000DD100000}"/>
    <cellStyle name="Normal 2 4 7 2 3 2 2 2" xfId="25448" xr:uid="{8488A59E-DD44-4DDB-A015-7731E548357A}"/>
    <cellStyle name="Normal 2 4 7 2 3 2 2 2 2" xfId="42342" xr:uid="{4CDC381E-EF29-4992-83B1-AF064AA7DE80}"/>
    <cellStyle name="Normal 2 4 7 2 3 2 2 3" xfId="17001" xr:uid="{8E8DAE7A-0901-4DE6-8588-3008F8C8432D}"/>
    <cellStyle name="Normal 2 4 7 2 3 2 2 4" xfId="33895" xr:uid="{5788F5A0-F607-4191-A076-08635B44F639}"/>
    <cellStyle name="Normal 2 4 7 2 3 2 3" xfId="21231" xr:uid="{56D596E1-34C1-415C-983C-6374EAD34CDB}"/>
    <cellStyle name="Normal 2 4 7 2 3 2 3 2" xfId="38125" xr:uid="{07F9D38A-574D-46E0-BEB7-6FF65421BB12}"/>
    <cellStyle name="Normal 2 4 7 2 3 2 4" xfId="12784" xr:uid="{7DA90CFB-AFC3-4B26-B9A3-240DEBB5AB20}"/>
    <cellStyle name="Normal 2 4 7 2 3 2 5" xfId="29678" xr:uid="{179E924C-BF7C-471F-8CAC-8DF9ED7BA91F}"/>
    <cellStyle name="Normal 2 4 7 2 3 3" xfId="5530" xr:uid="{00000000-0005-0000-0000-0000DE100000}"/>
    <cellStyle name="Normal 2 4 7 2 3 3 2" xfId="23303" xr:uid="{AE9E1B0E-20BC-4BF1-9C25-47AF83B03C4F}"/>
    <cellStyle name="Normal 2 4 7 2 3 3 2 2" xfId="40197" xr:uid="{6D4AAA04-CE7D-444C-9C92-0559A9F6CFEE}"/>
    <cellStyle name="Normal 2 4 7 2 3 3 3" xfId="14856" xr:uid="{C95480C1-7ED0-4ABE-9671-FEB08F7BCFD5}"/>
    <cellStyle name="Normal 2 4 7 2 3 3 4" xfId="31750" xr:uid="{20DC5157-13BC-4308-82FD-3DD44132D7C2}"/>
    <cellStyle name="Normal 2 4 7 2 3 4" xfId="19086" xr:uid="{6839A01B-EF0F-4EEC-9001-A492996C5703}"/>
    <cellStyle name="Normal 2 4 7 2 3 4 2" xfId="35980" xr:uid="{48FD2265-560E-4AF8-B534-564B0C2246F3}"/>
    <cellStyle name="Normal 2 4 7 2 3 5" xfId="10639" xr:uid="{D3231692-1F5F-4FAD-87DF-E991A8FDECD0}"/>
    <cellStyle name="Normal 2 4 7 2 3 6" xfId="27533" xr:uid="{E3B5FCAC-163E-46BC-AD63-DF866F765B54}"/>
    <cellStyle name="Normal 2 4 7 2 4" xfId="1636" xr:uid="{00000000-0005-0000-0000-0000DF100000}"/>
    <cellStyle name="Normal 2 4 7 2 4 2" xfId="3866" xr:uid="{00000000-0005-0000-0000-0000E0100000}"/>
    <cellStyle name="Normal 2 4 7 2 4 2 2" xfId="8088" xr:uid="{00000000-0005-0000-0000-0000E1100000}"/>
    <cellStyle name="Normal 2 4 7 2 4 2 2 2" xfId="25861" xr:uid="{B5031112-794A-40B2-B973-F390C43C65AC}"/>
    <cellStyle name="Normal 2 4 7 2 4 2 2 2 2" xfId="42755" xr:uid="{5FDE9F0C-B287-44E0-94A1-ADA239766285}"/>
    <cellStyle name="Normal 2 4 7 2 4 2 2 3" xfId="17414" xr:uid="{4C4554A8-2FDC-43DB-BD87-73F9254CD992}"/>
    <cellStyle name="Normal 2 4 7 2 4 2 2 4" xfId="34308" xr:uid="{A96F929A-B805-46FD-B746-D6D1AE512A39}"/>
    <cellStyle name="Normal 2 4 7 2 4 2 3" xfId="21644" xr:uid="{42A7E02B-F7E8-4715-97E1-24BB95337951}"/>
    <cellStyle name="Normal 2 4 7 2 4 2 3 2" xfId="38538" xr:uid="{5C7DAD80-79A9-4DBB-B7E5-0536B4A66BB8}"/>
    <cellStyle name="Normal 2 4 7 2 4 2 4" xfId="13197" xr:uid="{0DB642D3-DF50-4631-95C3-602CB3BD4CFA}"/>
    <cellStyle name="Normal 2 4 7 2 4 2 5" xfId="30091" xr:uid="{F1BBA7A4-333B-45BC-B3F8-5EB7CDA8E06B}"/>
    <cellStyle name="Normal 2 4 7 2 4 3" xfId="5943" xr:uid="{00000000-0005-0000-0000-0000E2100000}"/>
    <cellStyle name="Normal 2 4 7 2 4 3 2" xfId="23716" xr:uid="{179ADE26-5F95-48DB-A1A7-0A93879F07D5}"/>
    <cellStyle name="Normal 2 4 7 2 4 3 2 2" xfId="40610" xr:uid="{68AB4596-7CF2-425C-A8EB-35D7D18B3D83}"/>
    <cellStyle name="Normal 2 4 7 2 4 3 3" xfId="15269" xr:uid="{2108F42E-3F7B-4BEA-8140-62C8D0C6BF21}"/>
    <cellStyle name="Normal 2 4 7 2 4 3 4" xfId="32163" xr:uid="{1D9F871F-DCE5-4760-9B00-45E1BCB6ED7A}"/>
    <cellStyle name="Normal 2 4 7 2 4 4" xfId="19499" xr:uid="{64E4605E-2FDD-4902-9763-A36514C30D46}"/>
    <cellStyle name="Normal 2 4 7 2 4 4 2" xfId="36393" xr:uid="{0320903C-3B2B-4599-8284-F93D133BFAE7}"/>
    <cellStyle name="Normal 2 4 7 2 4 5" xfId="11052" xr:uid="{1B89504B-DF2E-4316-81FC-4A5450AF5268}"/>
    <cellStyle name="Normal 2 4 7 2 4 6" xfId="27946" xr:uid="{02591D85-FA69-4E3C-BF0E-E19154547A27}"/>
    <cellStyle name="Normal 2 4 7 2 5" xfId="2050" xr:uid="{00000000-0005-0000-0000-0000E3100000}"/>
    <cellStyle name="Normal 2 4 7 2 5 2" xfId="4279" xr:uid="{00000000-0005-0000-0000-0000E4100000}"/>
    <cellStyle name="Normal 2 4 7 2 5 2 2" xfId="8501" xr:uid="{00000000-0005-0000-0000-0000E5100000}"/>
    <cellStyle name="Normal 2 4 7 2 5 2 2 2" xfId="26274" xr:uid="{92F5318A-CCDE-4B80-9736-EC22E46A9CCD}"/>
    <cellStyle name="Normal 2 4 7 2 5 2 2 2 2" xfId="43168" xr:uid="{1EB31B96-FC7A-40E7-9B6F-C96F8C175404}"/>
    <cellStyle name="Normal 2 4 7 2 5 2 2 3" xfId="17827" xr:uid="{2B9A17E4-2609-488B-939D-B00DF17155EB}"/>
    <cellStyle name="Normal 2 4 7 2 5 2 2 4" xfId="34721" xr:uid="{2E37DE28-F4E1-4333-A402-5EB4796BE828}"/>
    <cellStyle name="Normal 2 4 7 2 5 2 3" xfId="22057" xr:uid="{0BC4BCE3-ED34-4CAD-A789-426486CE84B3}"/>
    <cellStyle name="Normal 2 4 7 2 5 2 3 2" xfId="38951" xr:uid="{F7BB2413-148F-4240-8B85-B2682C3CB960}"/>
    <cellStyle name="Normal 2 4 7 2 5 2 4" xfId="13610" xr:uid="{63B80D64-3EC6-42A3-8E4F-23FEBD65FDDA}"/>
    <cellStyle name="Normal 2 4 7 2 5 2 5" xfId="30504" xr:uid="{152CD31B-7789-4E2A-99C6-6C0B811CC640}"/>
    <cellStyle name="Normal 2 4 7 2 5 3" xfId="6356" xr:uid="{00000000-0005-0000-0000-0000E6100000}"/>
    <cellStyle name="Normal 2 4 7 2 5 3 2" xfId="24129" xr:uid="{6FDE27D2-F9B7-4D77-A230-C5ACC0E53A6B}"/>
    <cellStyle name="Normal 2 4 7 2 5 3 2 2" xfId="41023" xr:uid="{384EA98A-3F7F-4B76-A968-46C10AAA5B81}"/>
    <cellStyle name="Normal 2 4 7 2 5 3 3" xfId="15682" xr:uid="{DA231F1A-13F8-4CB5-90B6-9F3C0B72B266}"/>
    <cellStyle name="Normal 2 4 7 2 5 3 4" xfId="32576" xr:uid="{2EDE369D-1817-4292-A924-ECD1338A5B25}"/>
    <cellStyle name="Normal 2 4 7 2 5 4" xfId="19912" xr:uid="{29B2C4E3-FA34-483F-A794-8A5A4D6F48DA}"/>
    <cellStyle name="Normal 2 4 7 2 5 4 2" xfId="36806" xr:uid="{453FFBEC-0410-49C6-ADC0-8BC3A7D5EF4C}"/>
    <cellStyle name="Normal 2 4 7 2 5 5" xfId="11465" xr:uid="{C7CA58C1-A8A6-4DFD-AFE3-70E6A9CA43D6}"/>
    <cellStyle name="Normal 2 4 7 2 5 6" xfId="28359" xr:uid="{FC302891-752C-48C1-87A8-6885006354FC}"/>
    <cellStyle name="Normal 2 4 7 2 6" xfId="2486" xr:uid="{00000000-0005-0000-0000-0000E7100000}"/>
    <cellStyle name="Normal 2 4 7 2 6 2" xfId="6769" xr:uid="{00000000-0005-0000-0000-0000E8100000}"/>
    <cellStyle name="Normal 2 4 7 2 6 2 2" xfId="24542" xr:uid="{B4EDE7B9-3B38-40A2-974A-F9ECEA34479F}"/>
    <cellStyle name="Normal 2 4 7 2 6 2 2 2" xfId="41436" xr:uid="{BD06ABC0-8187-4AAF-8452-F68A3041D51A}"/>
    <cellStyle name="Normal 2 4 7 2 6 2 3" xfId="16095" xr:uid="{94C39619-EE1D-4BFC-B12D-203879146670}"/>
    <cellStyle name="Normal 2 4 7 2 6 2 4" xfId="32989" xr:uid="{1A0DF573-82C1-4B24-8E60-84AD24034991}"/>
    <cellStyle name="Normal 2 4 7 2 6 3" xfId="20325" xr:uid="{0E15814D-FD70-4292-A1B2-3AA28074A879}"/>
    <cellStyle name="Normal 2 4 7 2 6 3 2" xfId="37219" xr:uid="{879AE058-EB8D-48DE-AE2F-E700E17E3518}"/>
    <cellStyle name="Normal 2 4 7 2 6 4" xfId="11878" xr:uid="{E990CEC0-74C6-4177-99CD-4D55F6912DF7}"/>
    <cellStyle name="Normal 2 4 7 2 6 5" xfId="28772" xr:uid="{BF3835C9-DC6C-49CE-A854-FCCA5B47B786}"/>
    <cellStyle name="Normal 2 4 7 2 7" xfId="4703" xr:uid="{00000000-0005-0000-0000-0000E9100000}"/>
    <cellStyle name="Normal 2 4 7 2 7 2" xfId="22476" xr:uid="{A555CF31-B9FC-4FD5-8106-69B47631DB6E}"/>
    <cellStyle name="Normal 2 4 7 2 7 2 2" xfId="39370" xr:uid="{0519AAB1-6585-4C92-B8DD-DFF38675F846}"/>
    <cellStyle name="Normal 2 4 7 2 7 3" xfId="14029" xr:uid="{589BE616-1BDF-44E0-B1AC-3F32B7499E1E}"/>
    <cellStyle name="Normal 2 4 7 2 7 4" xfId="30923" xr:uid="{D1BA0ABB-1123-400E-A6B3-735FDAC7117C}"/>
    <cellStyle name="Normal 2 4 7 2 8" xfId="9058" xr:uid="{FCEC438E-EF6A-4A00-BFE3-0DA309169A82}"/>
    <cellStyle name="Normal 2 4 7 2 8 2" xfId="18259" xr:uid="{9AE72103-7DB0-4D94-AF85-4C9F15B232D1}"/>
    <cellStyle name="Normal 2 4 7 2 8 3" xfId="35153" xr:uid="{A9885487-CAC4-4BF2-AFBE-BFC76F7BD9C7}"/>
    <cellStyle name="Normal 2 4 7 2 9" xfId="9812" xr:uid="{84B7AA85-64AC-499B-ABE7-71B1E0F31EF0}"/>
    <cellStyle name="Normal 2 4 7 3" xfId="800" xr:uid="{00000000-0005-0000-0000-0000EA100000}"/>
    <cellStyle name="Normal 2 4 7 3 2" xfId="3039" xr:uid="{00000000-0005-0000-0000-0000EB100000}"/>
    <cellStyle name="Normal 2 4 7 3 2 2" xfId="7261" xr:uid="{00000000-0005-0000-0000-0000EC100000}"/>
    <cellStyle name="Normal 2 4 7 3 2 2 2" xfId="25034" xr:uid="{CE420389-7E2C-46E2-A71B-869FF2212D56}"/>
    <cellStyle name="Normal 2 4 7 3 2 2 2 2" xfId="41928" xr:uid="{E2D7DA87-558B-4247-85C8-32C9A089C018}"/>
    <cellStyle name="Normal 2 4 7 3 2 2 3" xfId="16587" xr:uid="{ABB621D8-B9F8-41E9-A4F1-7ED1A53A93CA}"/>
    <cellStyle name="Normal 2 4 7 3 2 2 4" xfId="33481" xr:uid="{91DA6C84-0577-43F3-924D-97C60B6F2D7A}"/>
    <cellStyle name="Normal 2 4 7 3 2 3" xfId="20817" xr:uid="{E851F948-3A2E-4740-81BC-EF26D4F1DC57}"/>
    <cellStyle name="Normal 2 4 7 3 2 3 2" xfId="37711" xr:uid="{8EFEF819-AED5-42C9-AEF4-FD662966D7D2}"/>
    <cellStyle name="Normal 2 4 7 3 2 4" xfId="12370" xr:uid="{7BAF1328-0ADB-45D3-8198-3E233F081892}"/>
    <cellStyle name="Normal 2 4 7 3 2 5" xfId="29264" xr:uid="{2BE330F6-CCCC-4195-9D1A-AA09AFDC87A3}"/>
    <cellStyle name="Normal 2 4 7 3 3" xfId="5116" xr:uid="{00000000-0005-0000-0000-0000ED100000}"/>
    <cellStyle name="Normal 2 4 7 3 3 2" xfId="22889" xr:uid="{F94A3875-A1B1-4933-89B5-8E124F213A7C}"/>
    <cellStyle name="Normal 2 4 7 3 3 2 2" xfId="39783" xr:uid="{576980A9-D1B8-41D2-9DCE-5FFA7D8EABE3}"/>
    <cellStyle name="Normal 2 4 7 3 3 3" xfId="14442" xr:uid="{F5CAFB63-C40F-448F-9639-AD5A9D951FAF}"/>
    <cellStyle name="Normal 2 4 7 3 3 4" xfId="31336" xr:uid="{FB82A9DF-6FC0-483D-907D-B9A9748DB41C}"/>
    <cellStyle name="Normal 2 4 7 3 4" xfId="9276" xr:uid="{90A81E61-1719-41E4-8673-7681E805C2E0}"/>
    <cellStyle name="Normal 2 4 7 3 4 2" xfId="18672" xr:uid="{B0393439-66FE-4B30-872B-7E06248FDF34}"/>
    <cellStyle name="Normal 2 4 7 3 4 3" xfId="35566" xr:uid="{63715DC9-0B16-439B-AF66-C752C56B1DB3}"/>
    <cellStyle name="Normal 2 4 7 3 5" xfId="10225" xr:uid="{19DDB677-D89C-464A-BE85-37E455B7607C}"/>
    <cellStyle name="Normal 2 4 7 3 6" xfId="27119" xr:uid="{E0ED9C67-4816-480E-9403-DA2A8BA1DD08}"/>
    <cellStyle name="Normal 2 4 7 4" xfId="1222" xr:uid="{00000000-0005-0000-0000-0000EE100000}"/>
    <cellStyle name="Normal 2 4 7 4 2" xfId="3452" xr:uid="{00000000-0005-0000-0000-0000EF100000}"/>
    <cellStyle name="Normal 2 4 7 4 2 2" xfId="7674" xr:uid="{00000000-0005-0000-0000-0000F0100000}"/>
    <cellStyle name="Normal 2 4 7 4 2 2 2" xfId="25447" xr:uid="{73EE6007-C1B2-49CB-940F-7F244B5679A2}"/>
    <cellStyle name="Normal 2 4 7 4 2 2 2 2" xfId="42341" xr:uid="{C013DB26-E1CA-4DE7-994F-D6099192240B}"/>
    <cellStyle name="Normal 2 4 7 4 2 2 3" xfId="17000" xr:uid="{652C9E1A-5945-4EA6-8332-FED7D541EC1B}"/>
    <cellStyle name="Normal 2 4 7 4 2 2 4" xfId="33894" xr:uid="{0F63E9E5-89DB-469D-80D2-BFBA64AB3FBD}"/>
    <cellStyle name="Normal 2 4 7 4 2 3" xfId="21230" xr:uid="{8262FBB8-4141-4745-83E2-E9B34EF46C94}"/>
    <cellStyle name="Normal 2 4 7 4 2 3 2" xfId="38124" xr:uid="{7E35BE92-E442-43E3-B21F-9498710C7A3C}"/>
    <cellStyle name="Normal 2 4 7 4 2 4" xfId="12783" xr:uid="{99097E12-EDF1-4770-88B7-DF36B424BC98}"/>
    <cellStyle name="Normal 2 4 7 4 2 5" xfId="29677" xr:uid="{744E5416-F61D-46CD-AF36-5F3A5629F04A}"/>
    <cellStyle name="Normal 2 4 7 4 3" xfId="5529" xr:uid="{00000000-0005-0000-0000-0000F1100000}"/>
    <cellStyle name="Normal 2 4 7 4 3 2" xfId="23302" xr:uid="{4DC585CB-2B6F-4667-BFAE-0FDE79C4F6B9}"/>
    <cellStyle name="Normal 2 4 7 4 3 2 2" xfId="40196" xr:uid="{69ECB878-DBB2-4E5A-8C10-C384BFF44DD5}"/>
    <cellStyle name="Normal 2 4 7 4 3 3" xfId="14855" xr:uid="{1A9A4757-207C-4B60-B6AC-4D9969AB9F9A}"/>
    <cellStyle name="Normal 2 4 7 4 3 4" xfId="31749" xr:uid="{69A1A54B-FFB7-432A-BFBF-F683C6811FA7}"/>
    <cellStyle name="Normal 2 4 7 4 4" xfId="19085" xr:uid="{573F1932-78B2-4208-A414-A537C45FB68D}"/>
    <cellStyle name="Normal 2 4 7 4 4 2" xfId="35979" xr:uid="{9773F5C2-88E0-490D-87A4-19F4AE2978AC}"/>
    <cellStyle name="Normal 2 4 7 4 5" xfId="10638" xr:uid="{DBDA3BEF-B8E8-48FF-8BA9-62BE8B9D2E01}"/>
    <cellStyle name="Normal 2 4 7 4 6" xfId="27532" xr:uid="{2472FF04-AB68-49EB-A89A-D79886B4391B}"/>
    <cellStyle name="Normal 2 4 7 5" xfId="1635" xr:uid="{00000000-0005-0000-0000-0000F2100000}"/>
    <cellStyle name="Normal 2 4 7 5 2" xfId="3865" xr:uid="{00000000-0005-0000-0000-0000F3100000}"/>
    <cellStyle name="Normal 2 4 7 5 2 2" xfId="8087" xr:uid="{00000000-0005-0000-0000-0000F4100000}"/>
    <cellStyle name="Normal 2 4 7 5 2 2 2" xfId="25860" xr:uid="{E24052C0-5F55-4892-B8C2-EBE3E9956D06}"/>
    <cellStyle name="Normal 2 4 7 5 2 2 2 2" xfId="42754" xr:uid="{65B694CB-86E9-4DE3-82D1-F6941CD146FC}"/>
    <cellStyle name="Normal 2 4 7 5 2 2 3" xfId="17413" xr:uid="{1A2410EC-3AE4-4C29-8186-D687AB24DCF0}"/>
    <cellStyle name="Normal 2 4 7 5 2 2 4" xfId="34307" xr:uid="{50EE55E6-FB5D-4E57-A938-061B1E072723}"/>
    <cellStyle name="Normal 2 4 7 5 2 3" xfId="21643" xr:uid="{6ED903F3-75A6-44E3-9772-A54F0BB6843B}"/>
    <cellStyle name="Normal 2 4 7 5 2 3 2" xfId="38537" xr:uid="{980B4D02-9568-4D08-A788-54CDC7B62408}"/>
    <cellStyle name="Normal 2 4 7 5 2 4" xfId="13196" xr:uid="{D66E0563-8999-4B66-9FCE-62206C46978D}"/>
    <cellStyle name="Normal 2 4 7 5 2 5" xfId="30090" xr:uid="{1F7F87EA-85A7-447F-ACD4-5D6DC7775C07}"/>
    <cellStyle name="Normal 2 4 7 5 3" xfId="5942" xr:uid="{00000000-0005-0000-0000-0000F5100000}"/>
    <cellStyle name="Normal 2 4 7 5 3 2" xfId="23715" xr:uid="{634C0677-FA09-455A-B9B6-33AD7E18ABDE}"/>
    <cellStyle name="Normal 2 4 7 5 3 2 2" xfId="40609" xr:uid="{E0820A31-1FA4-44FD-80E1-1B7833162802}"/>
    <cellStyle name="Normal 2 4 7 5 3 3" xfId="15268" xr:uid="{00B521CD-EA2F-4875-912A-C084314BB96B}"/>
    <cellStyle name="Normal 2 4 7 5 3 4" xfId="32162" xr:uid="{1A1744E5-B0C3-4A6F-AB4A-4C605B95FE44}"/>
    <cellStyle name="Normal 2 4 7 5 4" xfId="19498" xr:uid="{F9F82831-F3A5-445E-80BB-3106EF23C72C}"/>
    <cellStyle name="Normal 2 4 7 5 4 2" xfId="36392" xr:uid="{18A3C8AC-0FB3-4867-A7D9-3D67DD26C381}"/>
    <cellStyle name="Normal 2 4 7 5 5" xfId="11051" xr:uid="{9F25A634-FB35-42FB-88D5-1230F25A4A9B}"/>
    <cellStyle name="Normal 2 4 7 5 6" xfId="27945" xr:uid="{F81FE7CE-918F-4FFD-9BBB-853E49D01569}"/>
    <cellStyle name="Normal 2 4 7 6" xfId="2049" xr:uid="{00000000-0005-0000-0000-0000F6100000}"/>
    <cellStyle name="Normal 2 4 7 6 2" xfId="4278" xr:uid="{00000000-0005-0000-0000-0000F7100000}"/>
    <cellStyle name="Normal 2 4 7 6 2 2" xfId="8500" xr:uid="{00000000-0005-0000-0000-0000F8100000}"/>
    <cellStyle name="Normal 2 4 7 6 2 2 2" xfId="26273" xr:uid="{AA1640AE-3A60-42E6-A3F9-056BDA067C0E}"/>
    <cellStyle name="Normal 2 4 7 6 2 2 2 2" xfId="43167" xr:uid="{AED1CB25-57F9-4C80-8AA4-C27A8FC06001}"/>
    <cellStyle name="Normal 2 4 7 6 2 2 3" xfId="17826" xr:uid="{5DF6513D-B140-4B4F-B179-1A98E9C95A97}"/>
    <cellStyle name="Normal 2 4 7 6 2 2 4" xfId="34720" xr:uid="{A9AF61E5-A757-4218-A3E2-B6D80797F1BB}"/>
    <cellStyle name="Normal 2 4 7 6 2 3" xfId="22056" xr:uid="{02C10B72-EC81-4603-BA69-F9F4F3DDB1D0}"/>
    <cellStyle name="Normal 2 4 7 6 2 3 2" xfId="38950" xr:uid="{82E3C235-9319-42D4-9C67-CC8CB963D2D5}"/>
    <cellStyle name="Normal 2 4 7 6 2 4" xfId="13609" xr:uid="{F4778387-9BCB-4318-8981-30EC7DDCC67E}"/>
    <cellStyle name="Normal 2 4 7 6 2 5" xfId="30503" xr:uid="{937D8701-0BF4-4689-9F62-0803122C7270}"/>
    <cellStyle name="Normal 2 4 7 6 3" xfId="6355" xr:uid="{00000000-0005-0000-0000-0000F9100000}"/>
    <cellStyle name="Normal 2 4 7 6 3 2" xfId="24128" xr:uid="{EB21BCDD-B181-4AAA-B7AF-1370D650E2EE}"/>
    <cellStyle name="Normal 2 4 7 6 3 2 2" xfId="41022" xr:uid="{5D0673A6-44FC-49AE-889A-2E4CA3B2A5E0}"/>
    <cellStyle name="Normal 2 4 7 6 3 3" xfId="15681" xr:uid="{1D242D1D-F8F3-4ECF-8D87-FFCCABF3C5BD}"/>
    <cellStyle name="Normal 2 4 7 6 3 4" xfId="32575" xr:uid="{875C1BFA-08E6-4BCF-BBD5-726F3370FDCA}"/>
    <cellStyle name="Normal 2 4 7 6 4" xfId="19911" xr:uid="{25A258BF-F4C0-47D4-A571-62F39EB8C687}"/>
    <cellStyle name="Normal 2 4 7 6 4 2" xfId="36805" xr:uid="{7131579B-0A7A-48D0-BF02-D13D89A4FE6E}"/>
    <cellStyle name="Normal 2 4 7 6 5" xfId="11464" xr:uid="{70038D60-F028-473D-8633-C2B852993454}"/>
    <cellStyle name="Normal 2 4 7 6 6" xfId="28358" xr:uid="{234BE5D3-CB0B-40CB-AFC3-FEC7B2D5C294}"/>
    <cellStyle name="Normal 2 4 7 7" xfId="2485" xr:uid="{00000000-0005-0000-0000-0000FA100000}"/>
    <cellStyle name="Normal 2 4 7 7 2" xfId="6768" xr:uid="{00000000-0005-0000-0000-0000FB100000}"/>
    <cellStyle name="Normal 2 4 7 7 2 2" xfId="24541" xr:uid="{3CE3DB81-9755-4300-885A-6B18B85F605F}"/>
    <cellStyle name="Normal 2 4 7 7 2 2 2" xfId="41435" xr:uid="{4CC6A7F1-17EC-4216-9A43-04578424B065}"/>
    <cellStyle name="Normal 2 4 7 7 2 3" xfId="16094" xr:uid="{AB1F0338-A2A2-4134-BBC3-EC70137019C5}"/>
    <cellStyle name="Normal 2 4 7 7 2 4" xfId="32988" xr:uid="{D52118DA-18FD-4AE0-A02B-3AD908C4F227}"/>
    <cellStyle name="Normal 2 4 7 7 3" xfId="20324" xr:uid="{4A53CFFA-27C9-4C5C-ACE7-6FFA0C3B10E3}"/>
    <cellStyle name="Normal 2 4 7 7 3 2" xfId="37218" xr:uid="{0E6D5139-B805-45FD-91C9-CB10E1637331}"/>
    <cellStyle name="Normal 2 4 7 7 4" xfId="11877" xr:uid="{B8FFE3F0-AEA9-410D-8043-9AAC566FA9E0}"/>
    <cellStyle name="Normal 2 4 7 7 5" xfId="28771" xr:uid="{B7EADDD7-5C8F-403A-B0E1-C082C3AD372A}"/>
    <cellStyle name="Normal 2 4 7 8" xfId="4702" xr:uid="{00000000-0005-0000-0000-0000FC100000}"/>
    <cellStyle name="Normal 2 4 7 8 2" xfId="22475" xr:uid="{554875DD-E9C5-48B1-B75E-3744ACAB62B5}"/>
    <cellStyle name="Normal 2 4 7 8 2 2" xfId="39369" xr:uid="{68048305-5748-4D37-A620-4F35BF89C918}"/>
    <cellStyle name="Normal 2 4 7 8 3" xfId="14028" xr:uid="{C0E13A77-3B43-448D-99A2-3B9A7BB8B6F6}"/>
    <cellStyle name="Normal 2 4 7 8 4" xfId="30922" xr:uid="{2993B9E7-BA00-41C3-AC3A-5F63C4983F24}"/>
    <cellStyle name="Normal 2 4 7 9" xfId="8851" xr:uid="{6946A6C1-9296-4D8F-B36F-8F7964FD7AC6}"/>
    <cellStyle name="Normal 2 4 7 9 2" xfId="18258" xr:uid="{F88DD347-A563-41FE-9014-BF4C08B249CF}"/>
    <cellStyle name="Normal 2 4 7 9 3" xfId="35152" xr:uid="{E1F92B57-0562-4329-A44D-B19235EA9C9C}"/>
    <cellStyle name="Normal 2 4 8" xfId="314" xr:uid="{00000000-0005-0000-0000-0000FD100000}"/>
    <cellStyle name="Normal 2 4 8 10" xfId="26707" xr:uid="{D02913DC-0973-486F-BF26-B58F9E6992F8}"/>
    <cellStyle name="Normal 2 4 8 2" xfId="802" xr:uid="{00000000-0005-0000-0000-0000FE100000}"/>
    <cellStyle name="Normal 2 4 8 2 2" xfId="3041" xr:uid="{00000000-0005-0000-0000-0000FF100000}"/>
    <cellStyle name="Normal 2 4 8 2 2 2" xfId="7263" xr:uid="{00000000-0005-0000-0000-000000110000}"/>
    <cellStyle name="Normal 2 4 8 2 2 2 2" xfId="25036" xr:uid="{44B3D637-3535-4670-A52B-5CA86E00C0D8}"/>
    <cellStyle name="Normal 2 4 8 2 2 2 2 2" xfId="41930" xr:uid="{BCC53ABC-018B-42E9-B632-E1A4E2E7D9A9}"/>
    <cellStyle name="Normal 2 4 8 2 2 2 3" xfId="16589" xr:uid="{83A90677-BE83-4F44-A460-8463966E9DFD}"/>
    <cellStyle name="Normal 2 4 8 2 2 2 4" xfId="33483" xr:uid="{07476A00-583A-41E2-8DC8-A12E638047E2}"/>
    <cellStyle name="Normal 2 4 8 2 2 3" xfId="20819" xr:uid="{C6A6DA6D-0034-4EAF-9C7C-F30BCD1FA363}"/>
    <cellStyle name="Normal 2 4 8 2 2 3 2" xfId="37713" xr:uid="{09D78C23-D266-45D9-9380-A0498649314F}"/>
    <cellStyle name="Normal 2 4 8 2 2 4" xfId="12372" xr:uid="{E10BB519-03A2-4A24-B854-06A6253F4F75}"/>
    <cellStyle name="Normal 2 4 8 2 2 5" xfId="29266" xr:uid="{F59970A5-05D4-4E34-A111-0A8D7937D1AD}"/>
    <cellStyle name="Normal 2 4 8 2 3" xfId="5118" xr:uid="{00000000-0005-0000-0000-000001110000}"/>
    <cellStyle name="Normal 2 4 8 2 3 2" xfId="22891" xr:uid="{5CB1670B-767E-43A1-BA0B-BE124F2E3B05}"/>
    <cellStyle name="Normal 2 4 8 2 3 2 2" xfId="39785" xr:uid="{16211C5F-27EC-4F6E-AC11-29E11D6827D0}"/>
    <cellStyle name="Normal 2 4 8 2 3 3" xfId="14444" xr:uid="{8CE54386-57BB-4A7E-9FE1-15ECA9F333A9}"/>
    <cellStyle name="Normal 2 4 8 2 3 4" xfId="31338" xr:uid="{E77C5A18-738F-48DE-8B66-EABA2AC7F768}"/>
    <cellStyle name="Normal 2 4 8 2 4" xfId="9392" xr:uid="{812B973E-E5C9-43CD-85B0-C8CA30BD9BF3}"/>
    <cellStyle name="Normal 2 4 8 2 4 2" xfId="18674" xr:uid="{FD7BD191-7595-48D0-A57C-AE031976412B}"/>
    <cellStyle name="Normal 2 4 8 2 4 3" xfId="35568" xr:uid="{AB6B86D8-FA82-4C5E-BFA7-9DE4732F73FE}"/>
    <cellStyle name="Normal 2 4 8 2 5" xfId="10227" xr:uid="{7FFE6BE2-895E-456A-968A-2529FEF0BD25}"/>
    <cellStyle name="Normal 2 4 8 2 6" xfId="27121" xr:uid="{C3818AFD-F00C-41E5-BEE2-58E13CF653F2}"/>
    <cellStyle name="Normal 2 4 8 3" xfId="1224" xr:uid="{00000000-0005-0000-0000-000002110000}"/>
    <cellStyle name="Normal 2 4 8 3 2" xfId="3454" xr:uid="{00000000-0005-0000-0000-000003110000}"/>
    <cellStyle name="Normal 2 4 8 3 2 2" xfId="7676" xr:uid="{00000000-0005-0000-0000-000004110000}"/>
    <cellStyle name="Normal 2 4 8 3 2 2 2" xfId="25449" xr:uid="{737AFE28-0045-49DC-8A20-4A6294D0688B}"/>
    <cellStyle name="Normal 2 4 8 3 2 2 2 2" xfId="42343" xr:uid="{4677AF12-667A-4D6A-8787-65F4D3D006B6}"/>
    <cellStyle name="Normal 2 4 8 3 2 2 3" xfId="17002" xr:uid="{BC1A08DC-6DC8-4517-B85E-14008B817B98}"/>
    <cellStyle name="Normal 2 4 8 3 2 2 4" xfId="33896" xr:uid="{1343DD8B-F5DD-4237-9023-EEE25CCB6CFD}"/>
    <cellStyle name="Normal 2 4 8 3 2 3" xfId="21232" xr:uid="{D1F3AD38-7B02-4D49-B9D6-DF18E0CBC8BA}"/>
    <cellStyle name="Normal 2 4 8 3 2 3 2" xfId="38126" xr:uid="{6A15D83A-592D-4B99-81AB-05B24F432015}"/>
    <cellStyle name="Normal 2 4 8 3 2 4" xfId="12785" xr:uid="{58E12500-CECF-4E2F-AA19-86B09E17CF99}"/>
    <cellStyle name="Normal 2 4 8 3 2 5" xfId="29679" xr:uid="{0F5426B1-1EEF-4D3A-AF09-3CF4EDF42D4B}"/>
    <cellStyle name="Normal 2 4 8 3 3" xfId="5531" xr:uid="{00000000-0005-0000-0000-000005110000}"/>
    <cellStyle name="Normal 2 4 8 3 3 2" xfId="23304" xr:uid="{C5DAAC33-CDF4-4D11-BD0F-C6C71424A1E7}"/>
    <cellStyle name="Normal 2 4 8 3 3 2 2" xfId="40198" xr:uid="{28A0106A-8E92-4500-90CB-9C5A4860DFFE}"/>
    <cellStyle name="Normal 2 4 8 3 3 3" xfId="14857" xr:uid="{44CBD0A3-248B-472F-89CD-795BD433C76D}"/>
    <cellStyle name="Normal 2 4 8 3 3 4" xfId="31751" xr:uid="{4717C0C0-A194-4459-ADA1-5EE1CF54DFB4}"/>
    <cellStyle name="Normal 2 4 8 3 4" xfId="19087" xr:uid="{1B9D4892-CE1D-47B0-B69D-A6CBE69AE4EE}"/>
    <cellStyle name="Normal 2 4 8 3 4 2" xfId="35981" xr:uid="{660382CC-865B-4B2D-91C9-DBDB9579E0E5}"/>
    <cellStyle name="Normal 2 4 8 3 5" xfId="10640" xr:uid="{8669E08D-9FA4-43CD-A846-985A00AF7A75}"/>
    <cellStyle name="Normal 2 4 8 3 6" xfId="27534" xr:uid="{E97CF546-FCB0-487D-8718-C8E60BF24DC5}"/>
    <cellStyle name="Normal 2 4 8 4" xfId="1637" xr:uid="{00000000-0005-0000-0000-000006110000}"/>
    <cellStyle name="Normal 2 4 8 4 2" xfId="3867" xr:uid="{00000000-0005-0000-0000-000007110000}"/>
    <cellStyle name="Normal 2 4 8 4 2 2" xfId="8089" xr:uid="{00000000-0005-0000-0000-000008110000}"/>
    <cellStyle name="Normal 2 4 8 4 2 2 2" xfId="25862" xr:uid="{D5362BC1-ED51-4BC0-81A9-F6F7B89FDD4F}"/>
    <cellStyle name="Normal 2 4 8 4 2 2 2 2" xfId="42756" xr:uid="{867DDC44-AB4E-4097-BE74-953F4EAFEB22}"/>
    <cellStyle name="Normal 2 4 8 4 2 2 3" xfId="17415" xr:uid="{65CD2B9F-2B2C-4546-9473-DDFBA6273477}"/>
    <cellStyle name="Normal 2 4 8 4 2 2 4" xfId="34309" xr:uid="{04A02470-3EF7-40D8-97B6-1E45C564B524}"/>
    <cellStyle name="Normal 2 4 8 4 2 3" xfId="21645" xr:uid="{BBA8A340-1D65-4B44-BDF9-DDB99C30D0CB}"/>
    <cellStyle name="Normal 2 4 8 4 2 3 2" xfId="38539" xr:uid="{C3B83280-674A-4681-A466-D2F626A536A8}"/>
    <cellStyle name="Normal 2 4 8 4 2 4" xfId="13198" xr:uid="{5E9C912B-E7CA-4F59-B4D6-11F0DBAB0014}"/>
    <cellStyle name="Normal 2 4 8 4 2 5" xfId="30092" xr:uid="{240BD91F-49B2-4BC6-A375-B2731E4B6593}"/>
    <cellStyle name="Normal 2 4 8 4 3" xfId="5944" xr:uid="{00000000-0005-0000-0000-000009110000}"/>
    <cellStyle name="Normal 2 4 8 4 3 2" xfId="23717" xr:uid="{2AE50472-1AD0-4BF2-8553-F4F630378481}"/>
    <cellStyle name="Normal 2 4 8 4 3 2 2" xfId="40611" xr:uid="{B151BCB4-6877-42EF-828F-BD1C7C710DC9}"/>
    <cellStyle name="Normal 2 4 8 4 3 3" xfId="15270" xr:uid="{C1953EED-F32D-4067-8930-E7FFBB80B8DA}"/>
    <cellStyle name="Normal 2 4 8 4 3 4" xfId="32164" xr:uid="{23FF0979-7359-4921-B02E-0AE0FF9B7EF7}"/>
    <cellStyle name="Normal 2 4 8 4 4" xfId="19500" xr:uid="{DEC39EB9-ECC5-407B-9BAD-91BD947BC57B}"/>
    <cellStyle name="Normal 2 4 8 4 4 2" xfId="36394" xr:uid="{D35AE772-04E2-4928-9CA9-86DF6DD0D5A3}"/>
    <cellStyle name="Normal 2 4 8 4 5" xfId="11053" xr:uid="{22EA0401-FC73-4715-A75B-0E8D9EA5AB93}"/>
    <cellStyle name="Normal 2 4 8 4 6" xfId="27947" xr:uid="{5B2B6522-7D9C-436F-B619-A9AC46957E41}"/>
    <cellStyle name="Normal 2 4 8 5" xfId="2051" xr:uid="{00000000-0005-0000-0000-00000A110000}"/>
    <cellStyle name="Normal 2 4 8 5 2" xfId="4280" xr:uid="{00000000-0005-0000-0000-00000B110000}"/>
    <cellStyle name="Normal 2 4 8 5 2 2" xfId="8502" xr:uid="{00000000-0005-0000-0000-00000C110000}"/>
    <cellStyle name="Normal 2 4 8 5 2 2 2" xfId="26275" xr:uid="{4B242B36-206E-497A-B7AD-BEB5CCE29681}"/>
    <cellStyle name="Normal 2 4 8 5 2 2 2 2" xfId="43169" xr:uid="{BAD9B3EC-2358-4377-9B10-909E1AA1CA0E}"/>
    <cellStyle name="Normal 2 4 8 5 2 2 3" xfId="17828" xr:uid="{FF7C002F-246C-43AC-9537-C9D26298A819}"/>
    <cellStyle name="Normal 2 4 8 5 2 2 4" xfId="34722" xr:uid="{7BED033F-4BC3-464C-A679-117593E48532}"/>
    <cellStyle name="Normal 2 4 8 5 2 3" xfId="22058" xr:uid="{B2162480-C527-4389-AA3C-553573A08AC0}"/>
    <cellStyle name="Normal 2 4 8 5 2 3 2" xfId="38952" xr:uid="{694F7EE1-DA17-46C1-AE29-96BB95C879D3}"/>
    <cellStyle name="Normal 2 4 8 5 2 4" xfId="13611" xr:uid="{369FB1BC-5A26-4B19-8FF9-F14150C0936D}"/>
    <cellStyle name="Normal 2 4 8 5 2 5" xfId="30505" xr:uid="{F7CD162E-9A61-4C52-A89B-FB24BB6707D6}"/>
    <cellStyle name="Normal 2 4 8 5 3" xfId="6357" xr:uid="{00000000-0005-0000-0000-00000D110000}"/>
    <cellStyle name="Normal 2 4 8 5 3 2" xfId="24130" xr:uid="{2F2DA5BA-9C7D-4FBC-8F71-351FBCB4FBFE}"/>
    <cellStyle name="Normal 2 4 8 5 3 2 2" xfId="41024" xr:uid="{9497C865-E627-48F6-897C-5C1823FA1B36}"/>
    <cellStyle name="Normal 2 4 8 5 3 3" xfId="15683" xr:uid="{C46B3233-B9DE-494C-A450-7CFA80A35F2A}"/>
    <cellStyle name="Normal 2 4 8 5 3 4" xfId="32577" xr:uid="{0F3456ED-4BDC-4778-97F9-3291D2713A72}"/>
    <cellStyle name="Normal 2 4 8 5 4" xfId="19913" xr:uid="{45FA4E33-C579-4B7A-8009-3926E580080A}"/>
    <cellStyle name="Normal 2 4 8 5 4 2" xfId="36807" xr:uid="{323DF913-9741-41D1-9F68-558B2A7F8351}"/>
    <cellStyle name="Normal 2 4 8 5 5" xfId="11466" xr:uid="{612A29EF-AE63-4177-A9B4-9F4D4F047666}"/>
    <cellStyle name="Normal 2 4 8 5 6" xfId="28360" xr:uid="{8BDDC027-DB52-471D-9ED2-9964C68274AD}"/>
    <cellStyle name="Normal 2 4 8 6" xfId="2487" xr:uid="{00000000-0005-0000-0000-00000E110000}"/>
    <cellStyle name="Normal 2 4 8 6 2" xfId="6770" xr:uid="{00000000-0005-0000-0000-00000F110000}"/>
    <cellStyle name="Normal 2 4 8 6 2 2" xfId="24543" xr:uid="{A8DA689F-328A-4CDD-96A2-53CCC8F9348F}"/>
    <cellStyle name="Normal 2 4 8 6 2 2 2" xfId="41437" xr:uid="{C8C5AEE7-C205-4423-A291-047E2524A5A3}"/>
    <cellStyle name="Normal 2 4 8 6 2 3" xfId="16096" xr:uid="{25598183-E8BC-4D00-8514-582CCD5E7028}"/>
    <cellStyle name="Normal 2 4 8 6 2 4" xfId="32990" xr:uid="{CA8694A0-354E-471D-8B40-D166E88176F3}"/>
    <cellStyle name="Normal 2 4 8 6 3" xfId="20326" xr:uid="{B746139F-B262-4EE6-AAFC-11CB56B8429E}"/>
    <cellStyle name="Normal 2 4 8 6 3 2" xfId="37220" xr:uid="{A56B5575-A50E-4392-A73D-40FFD930C397}"/>
    <cellStyle name="Normal 2 4 8 6 4" xfId="11879" xr:uid="{B7D3533C-B866-4BB8-9552-0B9872A4EB8C}"/>
    <cellStyle name="Normal 2 4 8 6 5" xfId="28773" xr:uid="{7036415B-AF41-48FF-9AF4-C96EA906B94D}"/>
    <cellStyle name="Normal 2 4 8 7" xfId="4704" xr:uid="{00000000-0005-0000-0000-000010110000}"/>
    <cellStyle name="Normal 2 4 8 7 2" xfId="22477" xr:uid="{D36235AA-9991-453E-9A90-095656721A11}"/>
    <cellStyle name="Normal 2 4 8 7 2 2" xfId="39371" xr:uid="{EF170206-ACFD-4A90-B24F-07A953A7E583}"/>
    <cellStyle name="Normal 2 4 8 7 3" xfId="14030" xr:uid="{735B309F-7221-46D4-8080-BB7217FB8B61}"/>
    <cellStyle name="Normal 2 4 8 7 4" xfId="30924" xr:uid="{2B5A93A2-67AF-45DA-B49D-9828B3794959}"/>
    <cellStyle name="Normal 2 4 8 8" xfId="8967" xr:uid="{32AC97CD-D3FD-4AE1-A8B2-07BEA9D5DE52}"/>
    <cellStyle name="Normal 2 4 8 8 2" xfId="18260" xr:uid="{0DFE7B57-35E9-49E7-9601-FB83189831DD}"/>
    <cellStyle name="Normal 2 4 8 8 3" xfId="35154" xr:uid="{B24DD803-7DA9-4D6C-87F0-BF3F9208C31D}"/>
    <cellStyle name="Normal 2 4 8 9" xfId="9813" xr:uid="{E81A0214-F068-46AA-884F-82CD7E15E1AD}"/>
    <cellStyle name="Normal 2 4 9" xfId="9170" xr:uid="{5569C060-E090-4551-A44D-517EC3FD1834}"/>
    <cellStyle name="Normal 2 5" xfId="315" xr:uid="{00000000-0005-0000-0000-000011110000}"/>
    <cellStyle name="Normal 2 5 10" xfId="4705" xr:uid="{00000000-0005-0000-0000-000012110000}"/>
    <cellStyle name="Normal 2 5 10 2" xfId="22478" xr:uid="{F3C129EF-D929-41D0-A9D7-04389C8CE5A3}"/>
    <cellStyle name="Normal 2 5 10 2 2" xfId="39372" xr:uid="{77F5DAAA-921C-49BC-88A5-7F3D5A91F70C}"/>
    <cellStyle name="Normal 2 5 10 3" xfId="14031" xr:uid="{459DBD44-B387-4A0C-B14E-780EE645918C}"/>
    <cellStyle name="Normal 2 5 10 4" xfId="30925" xr:uid="{5E45FFEE-E2D2-416A-BD33-DE12F5C5C0C3}"/>
    <cellStyle name="Normal 2 5 11" xfId="18261" xr:uid="{14D3CF71-4409-47D8-8799-EC692406DE39}"/>
    <cellStyle name="Normal 2 5 11 2" xfId="35155" xr:uid="{394B42D5-42A6-4A4F-A781-2D7B524BECE8}"/>
    <cellStyle name="Normal 2 5 12" xfId="9814" xr:uid="{820419DF-9C8F-419E-BCFD-FBAFCFB6B771}"/>
    <cellStyle name="Normal 2 5 13" xfId="26708" xr:uid="{B389447E-7528-4BFB-BF38-DCEFCBE9E644}"/>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10 2" xfId="18262" xr:uid="{11252484-6BF1-435E-911A-CCCBEB482131}"/>
    <cellStyle name="Normal 2 5 4 10 3" xfId="35156" xr:uid="{93918F11-FC0D-4F44-BEC5-8F9247D3D384}"/>
    <cellStyle name="Normal 2 5 4 11" xfId="9815" xr:uid="{02F051E7-4031-49CD-BF76-C48B0E4AB84E}"/>
    <cellStyle name="Normal 2 5 4 12" xfId="26709" xr:uid="{62C030EB-C3D7-43DC-8830-761B0196C32E}"/>
    <cellStyle name="Normal 2 5 4 2" xfId="319" xr:uid="{00000000-0005-0000-0000-000016110000}"/>
    <cellStyle name="Normal 2 5 4 2 10" xfId="9816" xr:uid="{CA146F3D-9E93-49BD-BA6F-A42DEAD8B738}"/>
    <cellStyle name="Normal 2 5 4 2 11" xfId="26710" xr:uid="{01D792C2-8DAB-495D-97E0-5E1B56A9CF74}"/>
    <cellStyle name="Normal 2 5 4 2 2" xfId="320" xr:uid="{00000000-0005-0000-0000-000017110000}"/>
    <cellStyle name="Normal 2 5 4 2 2 10" xfId="26711" xr:uid="{8EB4EFF7-AFCE-41C2-B1A9-BF99805BABC8}"/>
    <cellStyle name="Normal 2 5 4 2 2 2" xfId="806" xr:uid="{00000000-0005-0000-0000-000018110000}"/>
    <cellStyle name="Normal 2 5 4 2 2 2 2" xfId="3045" xr:uid="{00000000-0005-0000-0000-000019110000}"/>
    <cellStyle name="Normal 2 5 4 2 2 2 2 2" xfId="7267" xr:uid="{00000000-0005-0000-0000-00001A110000}"/>
    <cellStyle name="Normal 2 5 4 2 2 2 2 2 2" xfId="25040" xr:uid="{19B12AC9-18CC-470B-BD48-1D72FA6662D1}"/>
    <cellStyle name="Normal 2 5 4 2 2 2 2 2 2 2" xfId="41934" xr:uid="{444B1E3E-A7FB-4B54-A685-05156484BF2F}"/>
    <cellStyle name="Normal 2 5 4 2 2 2 2 2 3" xfId="16593" xr:uid="{F055FF77-2B2F-451F-B005-2F96C663A4F7}"/>
    <cellStyle name="Normal 2 5 4 2 2 2 2 2 4" xfId="33487" xr:uid="{E6FD0153-EB38-4490-8C4B-421FBC961DDA}"/>
    <cellStyle name="Normal 2 5 4 2 2 2 2 3" xfId="20823" xr:uid="{6DE19DCF-EC90-4104-8A0E-795FACD0D35B}"/>
    <cellStyle name="Normal 2 5 4 2 2 2 2 3 2" xfId="37717" xr:uid="{6EE59259-FAB9-462B-9A78-A6CC96B5451B}"/>
    <cellStyle name="Normal 2 5 4 2 2 2 2 4" xfId="12376" xr:uid="{FB4D1B60-0DDD-41D3-A148-553FDB9A9286}"/>
    <cellStyle name="Normal 2 5 4 2 2 2 2 5" xfId="29270" xr:uid="{BD0DEA74-9FBA-46D8-9DA1-FECD14CAE94C}"/>
    <cellStyle name="Normal 2 5 4 2 2 2 3" xfId="5122" xr:uid="{00000000-0005-0000-0000-00001B110000}"/>
    <cellStyle name="Normal 2 5 4 2 2 2 3 2" xfId="22895" xr:uid="{12509296-F69D-4075-9E3E-D484A45FE9DB}"/>
    <cellStyle name="Normal 2 5 4 2 2 2 3 2 2" xfId="39789" xr:uid="{05779EF1-F03C-45C6-BB32-38819EB47CF0}"/>
    <cellStyle name="Normal 2 5 4 2 2 2 3 3" xfId="14448" xr:uid="{8FB2F79D-3636-4CC9-AC4E-79DF9874C55A}"/>
    <cellStyle name="Normal 2 5 4 2 2 2 3 4" xfId="31342" xr:uid="{AADC542F-68D2-46E5-99CC-A0B9E0EC84F4}"/>
    <cellStyle name="Normal 2 5 4 2 2 2 4" xfId="9551" xr:uid="{392D7741-6781-4EA5-9C28-040053C1B05B}"/>
    <cellStyle name="Normal 2 5 4 2 2 2 4 2" xfId="18678" xr:uid="{804D097E-6147-4862-8F60-65F51F0972FA}"/>
    <cellStyle name="Normal 2 5 4 2 2 2 4 3" xfId="35572" xr:uid="{98854D13-EF79-4CAE-876E-4B06FC3F54DC}"/>
    <cellStyle name="Normal 2 5 4 2 2 2 5" xfId="10231" xr:uid="{602C7AD5-71A3-46F1-A381-9EF26484CE2A}"/>
    <cellStyle name="Normal 2 5 4 2 2 2 6" xfId="27125" xr:uid="{C209E314-200D-4FE7-B68A-7077D1C3A9DC}"/>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2 2 2" xfId="25453" xr:uid="{F460B07B-2A6B-40EB-863A-05E78947D7F8}"/>
    <cellStyle name="Normal 2 5 4 2 2 3 2 2 2 2" xfId="42347" xr:uid="{22D7117F-C07F-4163-AE07-9241F982DD51}"/>
    <cellStyle name="Normal 2 5 4 2 2 3 2 2 3" xfId="17006" xr:uid="{FD3EEF63-2A7A-42FA-8FC9-B5B6F1EA4138}"/>
    <cellStyle name="Normal 2 5 4 2 2 3 2 2 4" xfId="33900" xr:uid="{7355D8EA-CF87-4943-A234-F5CB1CE359ED}"/>
    <cellStyle name="Normal 2 5 4 2 2 3 2 3" xfId="21236" xr:uid="{0CFB4BF5-F638-41E6-BC0C-EAAA29C0257A}"/>
    <cellStyle name="Normal 2 5 4 2 2 3 2 3 2" xfId="38130" xr:uid="{FF6A5C5E-E604-462A-B7F0-A8CD9E727766}"/>
    <cellStyle name="Normal 2 5 4 2 2 3 2 4" xfId="12789" xr:uid="{161858F2-D581-478B-884A-B55049DBA344}"/>
    <cellStyle name="Normal 2 5 4 2 2 3 2 5" xfId="29683" xr:uid="{B70415F9-0FD5-4429-8F89-DD5434B34923}"/>
    <cellStyle name="Normal 2 5 4 2 2 3 3" xfId="5535" xr:uid="{00000000-0005-0000-0000-00001F110000}"/>
    <cellStyle name="Normal 2 5 4 2 2 3 3 2" xfId="23308" xr:uid="{791302F9-D552-4E5D-B404-C655FE2A91E3}"/>
    <cellStyle name="Normal 2 5 4 2 2 3 3 2 2" xfId="40202" xr:uid="{CF37BB69-01F6-4D62-AADD-0B5127E22D1A}"/>
    <cellStyle name="Normal 2 5 4 2 2 3 3 3" xfId="14861" xr:uid="{61EE35B9-3AE3-4034-B18F-AC802C26C443}"/>
    <cellStyle name="Normal 2 5 4 2 2 3 3 4" xfId="31755" xr:uid="{8755A307-72D7-440A-9384-B4958E60E162}"/>
    <cellStyle name="Normal 2 5 4 2 2 3 4" xfId="19091" xr:uid="{1C42319F-68F5-4B1D-8EA0-ED3B7E8A96FD}"/>
    <cellStyle name="Normal 2 5 4 2 2 3 4 2" xfId="35985" xr:uid="{CB3086AD-2895-4B17-BA31-96C89A48ABF8}"/>
    <cellStyle name="Normal 2 5 4 2 2 3 5" xfId="10644" xr:uid="{195802DD-5563-479B-97FC-CCC84A9BCC9F}"/>
    <cellStyle name="Normal 2 5 4 2 2 3 6" xfId="27538" xr:uid="{03E1F137-2D72-496F-A5C9-6D5950083937}"/>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2 2 2" xfId="25866" xr:uid="{5805A1EC-18FF-4AE7-8E40-8A7C2B820387}"/>
    <cellStyle name="Normal 2 5 4 2 2 4 2 2 2 2" xfId="42760" xr:uid="{31CD15E0-47CA-4A81-8ECA-23E3783F7470}"/>
    <cellStyle name="Normal 2 5 4 2 2 4 2 2 3" xfId="17419" xr:uid="{A301CACA-90EA-4965-812B-4E622237AEC8}"/>
    <cellStyle name="Normal 2 5 4 2 2 4 2 2 4" xfId="34313" xr:uid="{39DBB276-B729-47BA-B057-5E34D4250504}"/>
    <cellStyle name="Normal 2 5 4 2 2 4 2 3" xfId="21649" xr:uid="{A3C0BD2B-C509-410A-B6D3-4EF8798BFE78}"/>
    <cellStyle name="Normal 2 5 4 2 2 4 2 3 2" xfId="38543" xr:uid="{EFE79ABC-BC0C-4B1D-B253-9806A0F12FA6}"/>
    <cellStyle name="Normal 2 5 4 2 2 4 2 4" xfId="13202" xr:uid="{C0B56BD8-8CE7-4600-AAD4-72307EF63E6D}"/>
    <cellStyle name="Normal 2 5 4 2 2 4 2 5" xfId="30096" xr:uid="{75CE20F5-DA70-4C2F-93DC-A562FD2AE901}"/>
    <cellStyle name="Normal 2 5 4 2 2 4 3" xfId="5948" xr:uid="{00000000-0005-0000-0000-000023110000}"/>
    <cellStyle name="Normal 2 5 4 2 2 4 3 2" xfId="23721" xr:uid="{06E03CC6-C0E6-4F2B-BD73-E6D096C4CE63}"/>
    <cellStyle name="Normal 2 5 4 2 2 4 3 2 2" xfId="40615" xr:uid="{B679BF17-42B8-45A9-AD86-98CB28696BA6}"/>
    <cellStyle name="Normal 2 5 4 2 2 4 3 3" xfId="15274" xr:uid="{E918260D-F647-47FE-8603-935C44FA518E}"/>
    <cellStyle name="Normal 2 5 4 2 2 4 3 4" xfId="32168" xr:uid="{BB73D27A-5494-46B5-8426-03BD7D5E034A}"/>
    <cellStyle name="Normal 2 5 4 2 2 4 4" xfId="19504" xr:uid="{8984AE91-AACD-441D-B44B-EDD905183C54}"/>
    <cellStyle name="Normal 2 5 4 2 2 4 4 2" xfId="36398" xr:uid="{FCF3DDE6-C601-43D0-B39D-FB81F4FA393C}"/>
    <cellStyle name="Normal 2 5 4 2 2 4 5" xfId="11057" xr:uid="{41AEB0D4-6BDF-4B46-B5B6-75100EFF5CF5}"/>
    <cellStyle name="Normal 2 5 4 2 2 4 6" xfId="27951" xr:uid="{1C99F261-B28A-4DDF-89B2-801482AF88BC}"/>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2 2 2" xfId="26279" xr:uid="{28F3F7BD-0574-4D57-AF25-49EEC61B381D}"/>
    <cellStyle name="Normal 2 5 4 2 2 5 2 2 2 2" xfId="43173" xr:uid="{5ACC15AF-5BFC-422D-83E5-F5A5DD46E3AB}"/>
    <cellStyle name="Normal 2 5 4 2 2 5 2 2 3" xfId="17832" xr:uid="{E4970D17-0B62-4F57-8416-BA2D07116E9E}"/>
    <cellStyle name="Normal 2 5 4 2 2 5 2 2 4" xfId="34726" xr:uid="{ADB5384C-8B97-44C5-B25D-9BCBDD99D602}"/>
    <cellStyle name="Normal 2 5 4 2 2 5 2 3" xfId="22062" xr:uid="{C6BD760F-5D58-4F63-BE42-481193C7DCA7}"/>
    <cellStyle name="Normal 2 5 4 2 2 5 2 3 2" xfId="38956" xr:uid="{CEDAB637-4C32-4672-8F36-EB63E33AE80A}"/>
    <cellStyle name="Normal 2 5 4 2 2 5 2 4" xfId="13615" xr:uid="{16D10DF1-77E3-424B-A44C-9D55C07927A8}"/>
    <cellStyle name="Normal 2 5 4 2 2 5 2 5" xfId="30509" xr:uid="{28A02A0B-608B-40C7-BD30-49E7236FB603}"/>
    <cellStyle name="Normal 2 5 4 2 2 5 3" xfId="6361" xr:uid="{00000000-0005-0000-0000-000027110000}"/>
    <cellStyle name="Normal 2 5 4 2 2 5 3 2" xfId="24134" xr:uid="{A3A8FC39-91EF-4A16-B948-1DBA776F4E36}"/>
    <cellStyle name="Normal 2 5 4 2 2 5 3 2 2" xfId="41028" xr:uid="{23EE9672-AFE6-4464-A1F2-A181EDC6F2F1}"/>
    <cellStyle name="Normal 2 5 4 2 2 5 3 3" xfId="15687" xr:uid="{E8179E85-B46A-43D0-B816-32593548D37A}"/>
    <cellStyle name="Normal 2 5 4 2 2 5 3 4" xfId="32581" xr:uid="{E3F9E475-6A26-4773-B526-85BD6C591942}"/>
    <cellStyle name="Normal 2 5 4 2 2 5 4" xfId="19917" xr:uid="{784BC60A-7E82-47BD-B9B8-05827326259F}"/>
    <cellStyle name="Normal 2 5 4 2 2 5 4 2" xfId="36811" xr:uid="{B9CA82DB-57B9-4CCC-A93F-8770A46D50EC}"/>
    <cellStyle name="Normal 2 5 4 2 2 5 5" xfId="11470" xr:uid="{D99E436A-0FFA-44B4-8A99-EDB96BD7B86B}"/>
    <cellStyle name="Normal 2 5 4 2 2 5 6" xfId="28364" xr:uid="{EBC1D916-7B5E-4A6C-8A43-911EC60F6092}"/>
    <cellStyle name="Normal 2 5 4 2 2 6" xfId="2491" xr:uid="{00000000-0005-0000-0000-000028110000}"/>
    <cellStyle name="Normal 2 5 4 2 2 6 2" xfId="6774" xr:uid="{00000000-0005-0000-0000-000029110000}"/>
    <cellStyle name="Normal 2 5 4 2 2 6 2 2" xfId="24547" xr:uid="{8EC4AD98-117E-4030-B741-C42BE49D6F27}"/>
    <cellStyle name="Normal 2 5 4 2 2 6 2 2 2" xfId="41441" xr:uid="{E9AF0213-49F8-4CCF-9D51-157A86A96777}"/>
    <cellStyle name="Normal 2 5 4 2 2 6 2 3" xfId="16100" xr:uid="{8D8591CD-1D38-426F-B3CD-0ED17659393E}"/>
    <cellStyle name="Normal 2 5 4 2 2 6 2 4" xfId="32994" xr:uid="{673DE89D-5B7C-48C3-8991-128E64CB8409}"/>
    <cellStyle name="Normal 2 5 4 2 2 6 3" xfId="20330" xr:uid="{DB878ABD-6B60-4C9E-B2CF-F5C55B06DAF6}"/>
    <cellStyle name="Normal 2 5 4 2 2 6 3 2" xfId="37224" xr:uid="{53483DA7-67B0-4CD4-B7C6-866070B6DE24}"/>
    <cellStyle name="Normal 2 5 4 2 2 6 4" xfId="11883" xr:uid="{5A618908-126B-45B1-B098-AC1489C15EAC}"/>
    <cellStyle name="Normal 2 5 4 2 2 6 5" xfId="28777" xr:uid="{12AB8359-5A11-4347-A7F2-3FE5B1E8A059}"/>
    <cellStyle name="Normal 2 5 4 2 2 7" xfId="4708" xr:uid="{00000000-0005-0000-0000-00002A110000}"/>
    <cellStyle name="Normal 2 5 4 2 2 7 2" xfId="22481" xr:uid="{D8294EA1-9E2B-4562-BC74-51B05817C6EC}"/>
    <cellStyle name="Normal 2 5 4 2 2 7 2 2" xfId="39375" xr:uid="{DFCA25E2-2886-4CA8-8167-B0A32450FE69}"/>
    <cellStyle name="Normal 2 5 4 2 2 7 3" xfId="14034" xr:uid="{7BFCDA4D-603E-4A31-872A-E7DA21C44E3F}"/>
    <cellStyle name="Normal 2 5 4 2 2 7 4" xfId="30928" xr:uid="{DF7206E1-482E-49F4-96FA-815E57453753}"/>
    <cellStyle name="Normal 2 5 4 2 2 8" xfId="9126" xr:uid="{C2CF4AFD-4082-4555-941B-6E9759C32D63}"/>
    <cellStyle name="Normal 2 5 4 2 2 8 2" xfId="18264" xr:uid="{A685A61B-6B8D-4F41-9F86-CBE3A58C44F7}"/>
    <cellStyle name="Normal 2 5 4 2 2 8 3" xfId="35158" xr:uid="{EC0CE2ED-4560-4194-8AA8-D0101832F0B2}"/>
    <cellStyle name="Normal 2 5 4 2 2 9" xfId="9817" xr:uid="{A8F580B9-491A-44B3-A98E-7F8128D8E897}"/>
    <cellStyle name="Normal 2 5 4 2 3" xfId="805" xr:uid="{00000000-0005-0000-0000-00002B110000}"/>
    <cellStyle name="Normal 2 5 4 2 3 2" xfId="3044" xr:uid="{00000000-0005-0000-0000-00002C110000}"/>
    <cellStyle name="Normal 2 5 4 2 3 2 2" xfId="7266" xr:uid="{00000000-0005-0000-0000-00002D110000}"/>
    <cellStyle name="Normal 2 5 4 2 3 2 2 2" xfId="25039" xr:uid="{53845B61-4E0E-44D4-AA10-C89844999039}"/>
    <cellStyle name="Normal 2 5 4 2 3 2 2 2 2" xfId="41933" xr:uid="{6F3B9A53-0BA9-44DD-91CB-41D4B28DE2A1}"/>
    <cellStyle name="Normal 2 5 4 2 3 2 2 3" xfId="16592" xr:uid="{C61852AB-6643-44AF-A248-AE7AD72C0AD4}"/>
    <cellStyle name="Normal 2 5 4 2 3 2 2 4" xfId="33486" xr:uid="{D562FE06-8FEA-4385-A6EF-A92D7800F1E2}"/>
    <cellStyle name="Normal 2 5 4 2 3 2 3" xfId="20822" xr:uid="{5D0040BF-2A04-4EC5-89A0-5D753CAC5357}"/>
    <cellStyle name="Normal 2 5 4 2 3 2 3 2" xfId="37716" xr:uid="{9677D1A6-F160-4B63-A681-CB547289CF16}"/>
    <cellStyle name="Normal 2 5 4 2 3 2 4" xfId="12375" xr:uid="{C50CB00C-F10D-4B4F-A071-EF7553AE4FB5}"/>
    <cellStyle name="Normal 2 5 4 2 3 2 5" xfId="29269" xr:uid="{6D111FD5-CE9D-4F4D-8FD9-0408551ABCC4}"/>
    <cellStyle name="Normal 2 5 4 2 3 3" xfId="5121" xr:uid="{00000000-0005-0000-0000-00002E110000}"/>
    <cellStyle name="Normal 2 5 4 2 3 3 2" xfId="22894" xr:uid="{453A1600-96FE-4CE8-A1E2-67E1DD0FA247}"/>
    <cellStyle name="Normal 2 5 4 2 3 3 2 2" xfId="39788" xr:uid="{8959EE5E-D393-473A-AE20-C919F78297C7}"/>
    <cellStyle name="Normal 2 5 4 2 3 3 3" xfId="14447" xr:uid="{3E69BB7C-921A-475D-87C4-BF2D5495CE41}"/>
    <cellStyle name="Normal 2 5 4 2 3 3 4" xfId="31341" xr:uid="{26050115-2E98-4D2B-922D-FD5551608748}"/>
    <cellStyle name="Normal 2 5 4 2 3 4" xfId="9344" xr:uid="{207B8A34-09D9-4349-A9C7-5A5A998C6B6F}"/>
    <cellStyle name="Normal 2 5 4 2 3 4 2" xfId="18677" xr:uid="{6FDCAF5C-C6C9-450E-962E-CEA7FC9326BD}"/>
    <cellStyle name="Normal 2 5 4 2 3 4 3" xfId="35571" xr:uid="{FF0B948A-BFA9-4CB7-827D-297E154CDAB7}"/>
    <cellStyle name="Normal 2 5 4 2 3 5" xfId="10230" xr:uid="{568A21B3-F05F-485E-A947-F5C3125586CB}"/>
    <cellStyle name="Normal 2 5 4 2 3 6" xfId="27124" xr:uid="{0C969741-772F-4B73-8228-AB1BBE19109D}"/>
    <cellStyle name="Normal 2 5 4 2 4" xfId="1227" xr:uid="{00000000-0005-0000-0000-00002F110000}"/>
    <cellStyle name="Normal 2 5 4 2 4 2" xfId="3457" xr:uid="{00000000-0005-0000-0000-000030110000}"/>
    <cellStyle name="Normal 2 5 4 2 4 2 2" xfId="7679" xr:uid="{00000000-0005-0000-0000-000031110000}"/>
    <cellStyle name="Normal 2 5 4 2 4 2 2 2" xfId="25452" xr:uid="{E571B87D-6BBC-4D37-A778-C44C25DF843A}"/>
    <cellStyle name="Normal 2 5 4 2 4 2 2 2 2" xfId="42346" xr:uid="{12F5288D-1843-466A-84F0-FB40902DE09F}"/>
    <cellStyle name="Normal 2 5 4 2 4 2 2 3" xfId="17005" xr:uid="{F8A425DB-0256-4007-9AC4-CACA85CAA0E6}"/>
    <cellStyle name="Normal 2 5 4 2 4 2 2 4" xfId="33899" xr:uid="{38B60D5E-E60C-4E32-9BD1-A43E0F817868}"/>
    <cellStyle name="Normal 2 5 4 2 4 2 3" xfId="21235" xr:uid="{7F953770-2B3E-4512-BFE7-DDF206702984}"/>
    <cellStyle name="Normal 2 5 4 2 4 2 3 2" xfId="38129" xr:uid="{453627D6-AC53-4ACA-9235-36D8FF31C7D8}"/>
    <cellStyle name="Normal 2 5 4 2 4 2 4" xfId="12788" xr:uid="{01183084-F3AC-43BF-9C70-D66FB780708E}"/>
    <cellStyle name="Normal 2 5 4 2 4 2 5" xfId="29682" xr:uid="{6AB79E91-3E15-4605-8608-813319D282A6}"/>
    <cellStyle name="Normal 2 5 4 2 4 3" xfId="5534" xr:uid="{00000000-0005-0000-0000-000032110000}"/>
    <cellStyle name="Normal 2 5 4 2 4 3 2" xfId="23307" xr:uid="{69958FD4-5125-4F7D-93C1-570419ED2E48}"/>
    <cellStyle name="Normal 2 5 4 2 4 3 2 2" xfId="40201" xr:uid="{36A70656-7531-4F90-8287-C06F5A5A08DC}"/>
    <cellStyle name="Normal 2 5 4 2 4 3 3" xfId="14860" xr:uid="{0723207C-2E3E-4073-8888-749B3A5AC0C4}"/>
    <cellStyle name="Normal 2 5 4 2 4 3 4" xfId="31754" xr:uid="{8B42B9AD-BEBE-45DB-91D5-78D26A9CA353}"/>
    <cellStyle name="Normal 2 5 4 2 4 4" xfId="19090" xr:uid="{E49D88A0-2D68-4131-89D4-F494C976912E}"/>
    <cellStyle name="Normal 2 5 4 2 4 4 2" xfId="35984" xr:uid="{357FD160-AB80-41D6-BEB5-BF77928E0908}"/>
    <cellStyle name="Normal 2 5 4 2 4 5" xfId="10643" xr:uid="{E846A6C5-79F6-4313-8D32-7D2ACC5057BE}"/>
    <cellStyle name="Normal 2 5 4 2 4 6" xfId="27537" xr:uid="{8EB4AF26-EBC9-423C-ABFD-40186F393C9C}"/>
    <cellStyle name="Normal 2 5 4 2 5" xfId="1640" xr:uid="{00000000-0005-0000-0000-000033110000}"/>
    <cellStyle name="Normal 2 5 4 2 5 2" xfId="3870" xr:uid="{00000000-0005-0000-0000-000034110000}"/>
    <cellStyle name="Normal 2 5 4 2 5 2 2" xfId="8092" xr:uid="{00000000-0005-0000-0000-000035110000}"/>
    <cellStyle name="Normal 2 5 4 2 5 2 2 2" xfId="25865" xr:uid="{DF4E2466-13CA-42A5-B753-0B4FCAB1A94C}"/>
    <cellStyle name="Normal 2 5 4 2 5 2 2 2 2" xfId="42759" xr:uid="{C7F57938-6331-4D89-9B99-747D7DE78D38}"/>
    <cellStyle name="Normal 2 5 4 2 5 2 2 3" xfId="17418" xr:uid="{1D9642E9-50AA-463D-8F2D-97027A706AD1}"/>
    <cellStyle name="Normal 2 5 4 2 5 2 2 4" xfId="34312" xr:uid="{0940AB9F-EDB3-4C48-B91D-300946B0B56F}"/>
    <cellStyle name="Normal 2 5 4 2 5 2 3" xfId="21648" xr:uid="{0AA9BD99-8753-4B72-9510-E3975D450BA3}"/>
    <cellStyle name="Normal 2 5 4 2 5 2 3 2" xfId="38542" xr:uid="{D4627082-08E8-4717-903C-C77A6F0870B8}"/>
    <cellStyle name="Normal 2 5 4 2 5 2 4" xfId="13201" xr:uid="{410B708A-FF4B-4FB7-BA5B-100EA759EA6F}"/>
    <cellStyle name="Normal 2 5 4 2 5 2 5" xfId="30095" xr:uid="{DB8F82DB-3EF0-4647-A103-BA574D5606CB}"/>
    <cellStyle name="Normal 2 5 4 2 5 3" xfId="5947" xr:uid="{00000000-0005-0000-0000-000036110000}"/>
    <cellStyle name="Normal 2 5 4 2 5 3 2" xfId="23720" xr:uid="{A2BC6B13-1B17-4D60-A57D-0B3A309698C1}"/>
    <cellStyle name="Normal 2 5 4 2 5 3 2 2" xfId="40614" xr:uid="{7DF6FB1D-D3E7-40F0-A7DD-04D7F52083E9}"/>
    <cellStyle name="Normal 2 5 4 2 5 3 3" xfId="15273" xr:uid="{C392E661-1941-497C-8699-A563587B4757}"/>
    <cellStyle name="Normal 2 5 4 2 5 3 4" xfId="32167" xr:uid="{98D130C5-7B74-4B14-BE13-CD01B4905337}"/>
    <cellStyle name="Normal 2 5 4 2 5 4" xfId="19503" xr:uid="{FC725184-B643-4AE6-B611-78058537E0E6}"/>
    <cellStyle name="Normal 2 5 4 2 5 4 2" xfId="36397" xr:uid="{DDCA7974-9068-441E-BE6D-67D45A41C7B6}"/>
    <cellStyle name="Normal 2 5 4 2 5 5" xfId="11056" xr:uid="{9870DB62-96D1-44D9-9FE7-3F82C5CDA50E}"/>
    <cellStyle name="Normal 2 5 4 2 5 6" xfId="27950" xr:uid="{A0E6B054-91AF-4E13-9349-CC34DADAB0A9}"/>
    <cellStyle name="Normal 2 5 4 2 6" xfId="2054" xr:uid="{00000000-0005-0000-0000-000037110000}"/>
    <cellStyle name="Normal 2 5 4 2 6 2" xfId="4283" xr:uid="{00000000-0005-0000-0000-000038110000}"/>
    <cellStyle name="Normal 2 5 4 2 6 2 2" xfId="8505" xr:uid="{00000000-0005-0000-0000-000039110000}"/>
    <cellStyle name="Normal 2 5 4 2 6 2 2 2" xfId="26278" xr:uid="{4E629FD8-228F-4A54-A2ED-BE552688F86D}"/>
    <cellStyle name="Normal 2 5 4 2 6 2 2 2 2" xfId="43172" xr:uid="{3BF0DFAA-ECD5-44A0-9C02-3B4D7E15A491}"/>
    <cellStyle name="Normal 2 5 4 2 6 2 2 3" xfId="17831" xr:uid="{0D85767E-294A-44C4-9A83-16ED72AED3DE}"/>
    <cellStyle name="Normal 2 5 4 2 6 2 2 4" xfId="34725" xr:uid="{C57BCEBC-AB5D-425E-B806-6F3973EB194B}"/>
    <cellStyle name="Normal 2 5 4 2 6 2 3" xfId="22061" xr:uid="{BE676A9D-AB80-4D0F-80FC-C55E41751105}"/>
    <cellStyle name="Normal 2 5 4 2 6 2 3 2" xfId="38955" xr:uid="{BFA17478-2436-4136-AFA9-2D6CE3250DC6}"/>
    <cellStyle name="Normal 2 5 4 2 6 2 4" xfId="13614" xr:uid="{8006B706-CD6A-4AD1-9350-2F3EB79938CB}"/>
    <cellStyle name="Normal 2 5 4 2 6 2 5" xfId="30508" xr:uid="{B5E76D17-0F9C-4CE4-8670-3721542C1CA3}"/>
    <cellStyle name="Normal 2 5 4 2 6 3" xfId="6360" xr:uid="{00000000-0005-0000-0000-00003A110000}"/>
    <cellStyle name="Normal 2 5 4 2 6 3 2" xfId="24133" xr:uid="{49A32328-DD78-4B7E-8A07-C36284DD0EBD}"/>
    <cellStyle name="Normal 2 5 4 2 6 3 2 2" xfId="41027" xr:uid="{8BC4B3AE-EC6D-4C1C-A196-94DA56C94E6E}"/>
    <cellStyle name="Normal 2 5 4 2 6 3 3" xfId="15686" xr:uid="{8E7B7169-1512-42E0-AE1F-EBB3228204F2}"/>
    <cellStyle name="Normal 2 5 4 2 6 3 4" xfId="32580" xr:uid="{7D5872FF-7617-4E5D-B92B-A09DC6CE65A5}"/>
    <cellStyle name="Normal 2 5 4 2 6 4" xfId="19916" xr:uid="{A97C6AE5-C130-42CD-A8F3-2B2277CF9F80}"/>
    <cellStyle name="Normal 2 5 4 2 6 4 2" xfId="36810" xr:uid="{A0197CAF-2330-4A3E-9962-8860D0C6319A}"/>
    <cellStyle name="Normal 2 5 4 2 6 5" xfId="11469" xr:uid="{97C6855D-1D4B-4EAC-8619-B13126847F2C}"/>
    <cellStyle name="Normal 2 5 4 2 6 6" xfId="28363" xr:uid="{B28E0013-FC6B-482D-ACDD-3FF4DE509062}"/>
    <cellStyle name="Normal 2 5 4 2 7" xfId="2490" xr:uid="{00000000-0005-0000-0000-00003B110000}"/>
    <cellStyle name="Normal 2 5 4 2 7 2" xfId="6773" xr:uid="{00000000-0005-0000-0000-00003C110000}"/>
    <cellStyle name="Normal 2 5 4 2 7 2 2" xfId="24546" xr:uid="{FB389823-4814-4E45-9EEC-BF6BA14DCC73}"/>
    <cellStyle name="Normal 2 5 4 2 7 2 2 2" xfId="41440" xr:uid="{D2DF6A0A-78E6-4E7E-87BE-3F8361ADB854}"/>
    <cellStyle name="Normal 2 5 4 2 7 2 3" xfId="16099" xr:uid="{05BADF5E-F50C-4059-994B-AED8682FD3D7}"/>
    <cellStyle name="Normal 2 5 4 2 7 2 4" xfId="32993" xr:uid="{113F8ACA-F5B7-430E-B12C-E3291F83DD84}"/>
    <cellStyle name="Normal 2 5 4 2 7 3" xfId="20329" xr:uid="{028D9338-595C-4969-A71D-4446E48316A9}"/>
    <cellStyle name="Normal 2 5 4 2 7 3 2" xfId="37223" xr:uid="{E807E5D7-82E8-47E8-B44C-1597C741084D}"/>
    <cellStyle name="Normal 2 5 4 2 7 4" xfId="11882" xr:uid="{0E56DA7C-7D8C-49B3-955F-3D251A99006F}"/>
    <cellStyle name="Normal 2 5 4 2 7 5" xfId="28776" xr:uid="{D82B6C66-6E94-4AF2-B32E-C3AE83CA64B7}"/>
    <cellStyle name="Normal 2 5 4 2 8" xfId="4707" xr:uid="{00000000-0005-0000-0000-00003D110000}"/>
    <cellStyle name="Normal 2 5 4 2 8 2" xfId="22480" xr:uid="{C72802D9-0CC4-4076-8241-3E00054438C4}"/>
    <cellStyle name="Normal 2 5 4 2 8 2 2" xfId="39374" xr:uid="{D467537F-71DB-412A-AA3B-1D7C996BB8C0}"/>
    <cellStyle name="Normal 2 5 4 2 8 3" xfId="14033" xr:uid="{D391F7B0-37E0-49B6-A29D-4CE8E1D78EDE}"/>
    <cellStyle name="Normal 2 5 4 2 8 4" xfId="30927" xr:uid="{75A524C1-9150-469B-9C16-52C0E135FB01}"/>
    <cellStyle name="Normal 2 5 4 2 9" xfId="8919" xr:uid="{2A8C96F6-0F22-4271-BCA3-7E5B2E35A54F}"/>
    <cellStyle name="Normal 2 5 4 2 9 2" xfId="18263" xr:uid="{05504ADC-D809-4F21-9C02-63292A4DEE99}"/>
    <cellStyle name="Normal 2 5 4 2 9 3" xfId="35157" xr:uid="{CBB8B452-55D8-46FA-AF64-1EE41211E366}"/>
    <cellStyle name="Normal 2 5 4 3" xfId="321" xr:uid="{00000000-0005-0000-0000-00003E110000}"/>
    <cellStyle name="Normal 2 5 4 3 10" xfId="26712" xr:uid="{27606019-7812-408B-8653-6325D87B5CCA}"/>
    <cellStyle name="Normal 2 5 4 3 2" xfId="807" xr:uid="{00000000-0005-0000-0000-00003F110000}"/>
    <cellStyle name="Normal 2 5 4 3 2 2" xfId="3046" xr:uid="{00000000-0005-0000-0000-000040110000}"/>
    <cellStyle name="Normal 2 5 4 3 2 2 2" xfId="7268" xr:uid="{00000000-0005-0000-0000-000041110000}"/>
    <cellStyle name="Normal 2 5 4 3 2 2 2 2" xfId="25041" xr:uid="{FB34BEBC-A441-4A0C-ABD6-3BBFD91C7D93}"/>
    <cellStyle name="Normal 2 5 4 3 2 2 2 2 2" xfId="41935" xr:uid="{A22ACAEA-2E39-4901-9165-65898603DD60}"/>
    <cellStyle name="Normal 2 5 4 3 2 2 2 3" xfId="16594" xr:uid="{B73C7E46-3807-42AC-A789-F4DB07663B59}"/>
    <cellStyle name="Normal 2 5 4 3 2 2 2 4" xfId="33488" xr:uid="{DC780492-8314-480F-B100-8CB986A4B948}"/>
    <cellStyle name="Normal 2 5 4 3 2 2 3" xfId="20824" xr:uid="{080B2394-1A82-4BB7-BE7B-6748F892B45B}"/>
    <cellStyle name="Normal 2 5 4 3 2 2 3 2" xfId="37718" xr:uid="{9EB04095-A623-455C-97A2-675874B14B4D}"/>
    <cellStyle name="Normal 2 5 4 3 2 2 4" xfId="12377" xr:uid="{0A32FF8D-711F-4440-8821-F8727F481942}"/>
    <cellStyle name="Normal 2 5 4 3 2 2 5" xfId="29271" xr:uid="{5D53110A-03BD-42F6-9146-946E40090937}"/>
    <cellStyle name="Normal 2 5 4 3 2 3" xfId="5123" xr:uid="{00000000-0005-0000-0000-000042110000}"/>
    <cellStyle name="Normal 2 5 4 3 2 3 2" xfId="22896" xr:uid="{9CA950BF-5210-4654-8E18-C3E9CCAFC4E5}"/>
    <cellStyle name="Normal 2 5 4 3 2 3 2 2" xfId="39790" xr:uid="{9DBBF9DE-77AC-4DAD-8635-8F6B822915BB}"/>
    <cellStyle name="Normal 2 5 4 3 2 3 3" xfId="14449" xr:uid="{9DB25EF6-CF0D-491A-807C-F53ECB55F5FF}"/>
    <cellStyle name="Normal 2 5 4 3 2 3 4" xfId="31343" xr:uid="{FBA18EFD-4FBD-4489-AA87-667744624259}"/>
    <cellStyle name="Normal 2 5 4 3 2 4" xfId="9448" xr:uid="{0C1738F2-697E-4430-8A3F-E67747B3EDB0}"/>
    <cellStyle name="Normal 2 5 4 3 2 4 2" xfId="18679" xr:uid="{F1E2E22C-8BB0-44B9-A711-A78052104697}"/>
    <cellStyle name="Normal 2 5 4 3 2 4 3" xfId="35573" xr:uid="{A0F9B3BC-AC99-48D5-880A-7356262FEE4F}"/>
    <cellStyle name="Normal 2 5 4 3 2 5" xfId="10232" xr:uid="{A67494F8-A6A1-4E30-86F2-8ADD3CFF5135}"/>
    <cellStyle name="Normal 2 5 4 3 2 6" xfId="27126" xr:uid="{ED06B01F-2661-4137-8859-2FA99E8C9DA1}"/>
    <cellStyle name="Normal 2 5 4 3 3" xfId="1229" xr:uid="{00000000-0005-0000-0000-000043110000}"/>
    <cellStyle name="Normal 2 5 4 3 3 2" xfId="3459" xr:uid="{00000000-0005-0000-0000-000044110000}"/>
    <cellStyle name="Normal 2 5 4 3 3 2 2" xfId="7681" xr:uid="{00000000-0005-0000-0000-000045110000}"/>
    <cellStyle name="Normal 2 5 4 3 3 2 2 2" xfId="25454" xr:uid="{D820DDB3-E626-4645-AB8A-5428A0FBFF22}"/>
    <cellStyle name="Normal 2 5 4 3 3 2 2 2 2" xfId="42348" xr:uid="{257E4543-213D-4CEB-99F6-1995AAE3F595}"/>
    <cellStyle name="Normal 2 5 4 3 3 2 2 3" xfId="17007" xr:uid="{0DCAD0BE-395B-4866-A09D-06C6994C514A}"/>
    <cellStyle name="Normal 2 5 4 3 3 2 2 4" xfId="33901" xr:uid="{D9E5963D-DA21-4C8A-992D-0EA4C8852511}"/>
    <cellStyle name="Normal 2 5 4 3 3 2 3" xfId="21237" xr:uid="{2D2C17AE-3BC8-47DF-8AB5-0A3AB8917D3E}"/>
    <cellStyle name="Normal 2 5 4 3 3 2 3 2" xfId="38131" xr:uid="{A73DD4FF-2D1B-4283-8AEB-657C7605F0CB}"/>
    <cellStyle name="Normal 2 5 4 3 3 2 4" xfId="12790" xr:uid="{CF8AB023-267F-4415-A2C2-BE5250B28672}"/>
    <cellStyle name="Normal 2 5 4 3 3 2 5" xfId="29684" xr:uid="{0CA8E5AD-A3DB-480A-866F-729D95DA8228}"/>
    <cellStyle name="Normal 2 5 4 3 3 3" xfId="5536" xr:uid="{00000000-0005-0000-0000-000046110000}"/>
    <cellStyle name="Normal 2 5 4 3 3 3 2" xfId="23309" xr:uid="{A0F22A86-8841-49ED-B737-EBB9EF20A377}"/>
    <cellStyle name="Normal 2 5 4 3 3 3 2 2" xfId="40203" xr:uid="{D20D2F29-B4E2-4D4F-AD06-FBA1906E721B}"/>
    <cellStyle name="Normal 2 5 4 3 3 3 3" xfId="14862" xr:uid="{CDB227B7-A0D7-42E6-A079-2551CE97CA4F}"/>
    <cellStyle name="Normal 2 5 4 3 3 3 4" xfId="31756" xr:uid="{22D0C957-B817-4F02-A9DA-77BCAB11699C}"/>
    <cellStyle name="Normal 2 5 4 3 3 4" xfId="19092" xr:uid="{ED859531-CDDB-44A7-8781-F615C6E11C61}"/>
    <cellStyle name="Normal 2 5 4 3 3 4 2" xfId="35986" xr:uid="{5DF8AB90-1D5D-4916-AEA8-B5BAB85E76DF}"/>
    <cellStyle name="Normal 2 5 4 3 3 5" xfId="10645" xr:uid="{E7294422-FEFF-4616-ACC5-443437991F2B}"/>
    <cellStyle name="Normal 2 5 4 3 3 6" xfId="27539" xr:uid="{0E8673C9-E0E4-45F3-BFE7-F48015F0255A}"/>
    <cellStyle name="Normal 2 5 4 3 4" xfId="1642" xr:uid="{00000000-0005-0000-0000-000047110000}"/>
    <cellStyle name="Normal 2 5 4 3 4 2" xfId="3872" xr:uid="{00000000-0005-0000-0000-000048110000}"/>
    <cellStyle name="Normal 2 5 4 3 4 2 2" xfId="8094" xr:uid="{00000000-0005-0000-0000-000049110000}"/>
    <cellStyle name="Normal 2 5 4 3 4 2 2 2" xfId="25867" xr:uid="{3D668171-99CF-41C0-96EE-321E648829B9}"/>
    <cellStyle name="Normal 2 5 4 3 4 2 2 2 2" xfId="42761" xr:uid="{79746701-43A1-46F5-83ED-D145AF532C8C}"/>
    <cellStyle name="Normal 2 5 4 3 4 2 2 3" xfId="17420" xr:uid="{1ABD53D2-408B-4A35-A9E3-F9410474126C}"/>
    <cellStyle name="Normal 2 5 4 3 4 2 2 4" xfId="34314" xr:uid="{BF39B0F3-C4E3-43BD-A847-12E87AAB2D5E}"/>
    <cellStyle name="Normal 2 5 4 3 4 2 3" xfId="21650" xr:uid="{018D020D-F7CE-410A-9867-4C70145FD50F}"/>
    <cellStyle name="Normal 2 5 4 3 4 2 3 2" xfId="38544" xr:uid="{85BF14B3-54CB-4F15-A920-898BCDD97859}"/>
    <cellStyle name="Normal 2 5 4 3 4 2 4" xfId="13203" xr:uid="{61C62B07-7B8F-405D-9A8F-4016CD66C18C}"/>
    <cellStyle name="Normal 2 5 4 3 4 2 5" xfId="30097" xr:uid="{436390FE-2D87-424E-8939-365A5DECF451}"/>
    <cellStyle name="Normal 2 5 4 3 4 3" xfId="5949" xr:uid="{00000000-0005-0000-0000-00004A110000}"/>
    <cellStyle name="Normal 2 5 4 3 4 3 2" xfId="23722" xr:uid="{89A883EA-9681-47D4-9E25-ABD851F5B885}"/>
    <cellStyle name="Normal 2 5 4 3 4 3 2 2" xfId="40616" xr:uid="{CCF40A7F-C808-4EAD-903A-2D2FB2AABFA2}"/>
    <cellStyle name="Normal 2 5 4 3 4 3 3" xfId="15275" xr:uid="{C92662DF-0950-49B3-8746-A469109E6F13}"/>
    <cellStyle name="Normal 2 5 4 3 4 3 4" xfId="32169" xr:uid="{9609ECC3-26CF-4AF1-B74D-BEED9BBC3A37}"/>
    <cellStyle name="Normal 2 5 4 3 4 4" xfId="19505" xr:uid="{AC0D3309-CB2F-48B7-A6D9-C0922B27B705}"/>
    <cellStyle name="Normal 2 5 4 3 4 4 2" xfId="36399" xr:uid="{7CED70B0-CE5A-4C49-9B7F-EF9ACC6F6BBA}"/>
    <cellStyle name="Normal 2 5 4 3 4 5" xfId="11058" xr:uid="{CD319340-87DC-48D2-9B04-CC95E53ED321}"/>
    <cellStyle name="Normal 2 5 4 3 4 6" xfId="27952" xr:uid="{AAE717F7-41CE-4626-BDBF-D85DC785D421}"/>
    <cellStyle name="Normal 2 5 4 3 5" xfId="2056" xr:uid="{00000000-0005-0000-0000-00004B110000}"/>
    <cellStyle name="Normal 2 5 4 3 5 2" xfId="4285" xr:uid="{00000000-0005-0000-0000-00004C110000}"/>
    <cellStyle name="Normal 2 5 4 3 5 2 2" xfId="8507" xr:uid="{00000000-0005-0000-0000-00004D110000}"/>
    <cellStyle name="Normal 2 5 4 3 5 2 2 2" xfId="26280" xr:uid="{E7541698-4FEB-4C64-BB3F-1DA762AC85CE}"/>
    <cellStyle name="Normal 2 5 4 3 5 2 2 2 2" xfId="43174" xr:uid="{AC1164F7-F31C-40AC-B09C-3F6A81D51992}"/>
    <cellStyle name="Normal 2 5 4 3 5 2 2 3" xfId="17833" xr:uid="{730E7A9F-6EEE-4E9C-ACDE-2E1AB8F10785}"/>
    <cellStyle name="Normal 2 5 4 3 5 2 2 4" xfId="34727" xr:uid="{467228F0-41CB-4543-96C6-58E9BE6A59E8}"/>
    <cellStyle name="Normal 2 5 4 3 5 2 3" xfId="22063" xr:uid="{9D6B6EAD-9B06-4EA4-A986-B4F3AF699FBE}"/>
    <cellStyle name="Normal 2 5 4 3 5 2 3 2" xfId="38957" xr:uid="{2DC6610A-A238-4949-9ECB-727A62A55655}"/>
    <cellStyle name="Normal 2 5 4 3 5 2 4" xfId="13616" xr:uid="{60ABDBE2-E689-408D-892E-7FF5C732B1BC}"/>
    <cellStyle name="Normal 2 5 4 3 5 2 5" xfId="30510" xr:uid="{A963964F-B0ED-475C-9AB7-58CE5E08FF23}"/>
    <cellStyle name="Normal 2 5 4 3 5 3" xfId="6362" xr:uid="{00000000-0005-0000-0000-00004E110000}"/>
    <cellStyle name="Normal 2 5 4 3 5 3 2" xfId="24135" xr:uid="{8AC92AB7-F586-4FE6-96F2-A7A608E066CE}"/>
    <cellStyle name="Normal 2 5 4 3 5 3 2 2" xfId="41029" xr:uid="{CA705743-9FF0-4125-B0E6-0CEC5C50BC9C}"/>
    <cellStyle name="Normal 2 5 4 3 5 3 3" xfId="15688" xr:uid="{9FE11EAD-51C0-4F9D-B6DA-D0ED5A712F91}"/>
    <cellStyle name="Normal 2 5 4 3 5 3 4" xfId="32582" xr:uid="{10BEE210-076F-43A3-8186-5962E380AEF2}"/>
    <cellStyle name="Normal 2 5 4 3 5 4" xfId="19918" xr:uid="{1BBBF316-03FB-4305-A060-45ACCE44A5F2}"/>
    <cellStyle name="Normal 2 5 4 3 5 4 2" xfId="36812" xr:uid="{1BB1B255-B913-4F27-ACF5-AFC1F4977DBB}"/>
    <cellStyle name="Normal 2 5 4 3 5 5" xfId="11471" xr:uid="{4CC46027-8718-4169-B678-A9680B89149E}"/>
    <cellStyle name="Normal 2 5 4 3 5 6" xfId="28365" xr:uid="{1F539CCA-3BB3-4C08-9F06-A1549C53BC5F}"/>
    <cellStyle name="Normal 2 5 4 3 6" xfId="2492" xr:uid="{00000000-0005-0000-0000-00004F110000}"/>
    <cellStyle name="Normal 2 5 4 3 6 2" xfId="6775" xr:uid="{00000000-0005-0000-0000-000050110000}"/>
    <cellStyle name="Normal 2 5 4 3 6 2 2" xfId="24548" xr:uid="{E9A8D66E-4EC2-41D3-8B18-D43F923D9737}"/>
    <cellStyle name="Normal 2 5 4 3 6 2 2 2" xfId="41442" xr:uid="{5127B3D7-5669-414C-96F6-6C85A71EBBB9}"/>
    <cellStyle name="Normal 2 5 4 3 6 2 3" xfId="16101" xr:uid="{58FBF4B3-8FCC-48B9-8EAE-03A812C09FC7}"/>
    <cellStyle name="Normal 2 5 4 3 6 2 4" xfId="32995" xr:uid="{98AAC462-FA0C-4BB4-B4DD-66A025EA98C3}"/>
    <cellStyle name="Normal 2 5 4 3 6 3" xfId="20331" xr:uid="{88C83FBB-D08A-43D9-BC79-FF7755EA88A8}"/>
    <cellStyle name="Normal 2 5 4 3 6 3 2" xfId="37225" xr:uid="{01F298E5-B6B5-4A9E-8D05-D9B04AE40A2B}"/>
    <cellStyle name="Normal 2 5 4 3 6 4" xfId="11884" xr:uid="{3DD0C964-B4F5-4FCE-90E2-72F93F5A96C9}"/>
    <cellStyle name="Normal 2 5 4 3 6 5" xfId="28778" xr:uid="{D6ACE720-8A94-43DD-9758-9008FD74AFA8}"/>
    <cellStyle name="Normal 2 5 4 3 7" xfId="4709" xr:uid="{00000000-0005-0000-0000-000051110000}"/>
    <cellStyle name="Normal 2 5 4 3 7 2" xfId="22482" xr:uid="{10450779-9823-415A-A508-FC11D485182B}"/>
    <cellStyle name="Normal 2 5 4 3 7 2 2" xfId="39376" xr:uid="{AAB66FAE-0ACF-4AC6-9D06-86887E101408}"/>
    <cellStyle name="Normal 2 5 4 3 7 3" xfId="14035" xr:uid="{10304217-2ED8-45C9-93D3-1FF7FE05AFC8}"/>
    <cellStyle name="Normal 2 5 4 3 7 4" xfId="30929" xr:uid="{6F571A08-9F99-48FE-A4F2-3FA287C830FF}"/>
    <cellStyle name="Normal 2 5 4 3 8" xfId="9023" xr:uid="{9B869639-3DD4-4511-AD70-D5125D34938F}"/>
    <cellStyle name="Normal 2 5 4 3 8 2" xfId="18265" xr:uid="{5F8DC292-05D1-4474-A2A3-F10CD2249640}"/>
    <cellStyle name="Normal 2 5 4 3 8 3" xfId="35159" xr:uid="{7F0A5210-FBC5-4588-BAA0-A63AACCFDD73}"/>
    <cellStyle name="Normal 2 5 4 3 9" xfId="9818" xr:uid="{1CCDCFED-5CD2-4DA8-949C-80FA6B17D37D}"/>
    <cellStyle name="Normal 2 5 4 4" xfId="804" xr:uid="{00000000-0005-0000-0000-000052110000}"/>
    <cellStyle name="Normal 2 5 4 4 2" xfId="3043" xr:uid="{00000000-0005-0000-0000-000053110000}"/>
    <cellStyle name="Normal 2 5 4 4 2 2" xfId="7265" xr:uid="{00000000-0005-0000-0000-000054110000}"/>
    <cellStyle name="Normal 2 5 4 4 2 2 2" xfId="25038" xr:uid="{38E0ECB0-FD2A-4012-BE22-47F41A32A276}"/>
    <cellStyle name="Normal 2 5 4 4 2 2 2 2" xfId="41932" xr:uid="{1080F3EF-4D2F-4829-A2F9-BDA0D3B19E53}"/>
    <cellStyle name="Normal 2 5 4 4 2 2 3" xfId="16591" xr:uid="{EBF0F679-0FE4-4475-AB5E-B920DA7D1120}"/>
    <cellStyle name="Normal 2 5 4 4 2 2 4" xfId="33485" xr:uid="{B41E6616-D03C-499D-B7E1-548CD2B3374F}"/>
    <cellStyle name="Normal 2 5 4 4 2 3" xfId="20821" xr:uid="{D2792858-9090-496B-B5F3-FEB428815B11}"/>
    <cellStyle name="Normal 2 5 4 4 2 3 2" xfId="37715" xr:uid="{2ED21254-067E-4332-ACDF-447C9650B3D8}"/>
    <cellStyle name="Normal 2 5 4 4 2 4" xfId="12374" xr:uid="{2036F289-3B2E-4B01-B240-C257F927D3D3}"/>
    <cellStyle name="Normal 2 5 4 4 2 5" xfId="29268" xr:uid="{CF7B9630-F219-4BF4-9572-3B537196CF7F}"/>
    <cellStyle name="Normal 2 5 4 4 3" xfId="5120" xr:uid="{00000000-0005-0000-0000-000055110000}"/>
    <cellStyle name="Normal 2 5 4 4 3 2" xfId="22893" xr:uid="{550AA47E-626E-4C32-8D32-F29A180DA064}"/>
    <cellStyle name="Normal 2 5 4 4 3 2 2" xfId="39787" xr:uid="{144B20D8-B175-446D-989D-DDD8C048BB40}"/>
    <cellStyle name="Normal 2 5 4 4 3 3" xfId="14446" xr:uid="{101EC93A-CB6F-4E73-8696-524378ED8499}"/>
    <cellStyle name="Normal 2 5 4 4 3 4" xfId="31340" xr:uid="{D654B99F-D423-4071-8122-85391701A838}"/>
    <cellStyle name="Normal 2 5 4 4 4" xfId="9241" xr:uid="{2BD2F05F-E4C9-46B4-B3C9-F0D081C1F38F}"/>
    <cellStyle name="Normal 2 5 4 4 4 2" xfId="18676" xr:uid="{151EF9A2-2A49-45CD-A2AB-69535A553626}"/>
    <cellStyle name="Normal 2 5 4 4 4 3" xfId="35570" xr:uid="{078FB182-4AF9-479B-B4A2-77A8022AEC1C}"/>
    <cellStyle name="Normal 2 5 4 4 5" xfId="10229" xr:uid="{BEAC4ECC-1D1E-4906-AD1C-C8A8944F7F10}"/>
    <cellStyle name="Normal 2 5 4 4 6" xfId="27123" xr:uid="{31FA26D2-2B25-4D53-8AF8-DEFE454ABA27}"/>
    <cellStyle name="Normal 2 5 4 5" xfId="1226" xr:uid="{00000000-0005-0000-0000-000056110000}"/>
    <cellStyle name="Normal 2 5 4 5 2" xfId="3456" xr:uid="{00000000-0005-0000-0000-000057110000}"/>
    <cellStyle name="Normal 2 5 4 5 2 2" xfId="7678" xr:uid="{00000000-0005-0000-0000-000058110000}"/>
    <cellStyle name="Normal 2 5 4 5 2 2 2" xfId="25451" xr:uid="{30CC5624-8C55-42CC-A0CE-ED51E96A2D4E}"/>
    <cellStyle name="Normal 2 5 4 5 2 2 2 2" xfId="42345" xr:uid="{4140401C-DC43-4BBE-B151-1A73B21ACC49}"/>
    <cellStyle name="Normal 2 5 4 5 2 2 3" xfId="17004" xr:uid="{2433E7EA-F1C0-4D6C-B2DE-B6EA1F5A5E1C}"/>
    <cellStyle name="Normal 2 5 4 5 2 2 4" xfId="33898" xr:uid="{04F506C0-732B-46F2-9528-BBDD0377D1B2}"/>
    <cellStyle name="Normal 2 5 4 5 2 3" xfId="21234" xr:uid="{C1C9622B-219A-4FB7-9945-000F79768196}"/>
    <cellStyle name="Normal 2 5 4 5 2 3 2" xfId="38128" xr:uid="{8039847E-8368-47A8-A4BE-B8F1A3DD45B3}"/>
    <cellStyle name="Normal 2 5 4 5 2 4" xfId="12787" xr:uid="{585B4055-7975-4A37-A62B-5DC7D80EA703}"/>
    <cellStyle name="Normal 2 5 4 5 2 5" xfId="29681" xr:uid="{CBFCB63B-F094-42DD-B7DB-B0AAD4B931BA}"/>
    <cellStyle name="Normal 2 5 4 5 3" xfId="5533" xr:uid="{00000000-0005-0000-0000-000059110000}"/>
    <cellStyle name="Normal 2 5 4 5 3 2" xfId="23306" xr:uid="{F2D53070-1168-4E0C-9AE8-AC5271CABFA6}"/>
    <cellStyle name="Normal 2 5 4 5 3 2 2" xfId="40200" xr:uid="{2C9810EC-DF16-4E26-AEC0-1EAA3F2463E7}"/>
    <cellStyle name="Normal 2 5 4 5 3 3" xfId="14859" xr:uid="{4C24DFD0-430E-49F0-88AE-DB4A385F799B}"/>
    <cellStyle name="Normal 2 5 4 5 3 4" xfId="31753" xr:uid="{98391C05-3FE0-47B3-984E-8BDEE876AFD9}"/>
    <cellStyle name="Normal 2 5 4 5 4" xfId="19089" xr:uid="{0852B2C5-A9F1-4411-A4EC-A9AE1B0308F4}"/>
    <cellStyle name="Normal 2 5 4 5 4 2" xfId="35983" xr:uid="{09A73A44-21A8-4E56-98E3-3C79ED58ADFF}"/>
    <cellStyle name="Normal 2 5 4 5 5" xfId="10642" xr:uid="{43B4081D-1227-41FF-9897-D08E83B6409C}"/>
    <cellStyle name="Normal 2 5 4 5 6" xfId="27536" xr:uid="{D0C6ACAC-7957-45D8-A9FE-5E8616CBF2F8}"/>
    <cellStyle name="Normal 2 5 4 6" xfId="1639" xr:uid="{00000000-0005-0000-0000-00005A110000}"/>
    <cellStyle name="Normal 2 5 4 6 2" xfId="3869" xr:uid="{00000000-0005-0000-0000-00005B110000}"/>
    <cellStyle name="Normal 2 5 4 6 2 2" xfId="8091" xr:uid="{00000000-0005-0000-0000-00005C110000}"/>
    <cellStyle name="Normal 2 5 4 6 2 2 2" xfId="25864" xr:uid="{747FEC84-A685-4E28-819B-622333AB6986}"/>
    <cellStyle name="Normal 2 5 4 6 2 2 2 2" xfId="42758" xr:uid="{C25F2EB0-2B55-43E8-B132-7D25A5CB59F3}"/>
    <cellStyle name="Normal 2 5 4 6 2 2 3" xfId="17417" xr:uid="{73C5CD11-C869-4D4E-BAD5-94921179CC56}"/>
    <cellStyle name="Normal 2 5 4 6 2 2 4" xfId="34311" xr:uid="{AD801892-0D90-4456-B45B-FACA185F6084}"/>
    <cellStyle name="Normal 2 5 4 6 2 3" xfId="21647" xr:uid="{E133C29B-3888-4AEB-9F56-56EEDCA96206}"/>
    <cellStyle name="Normal 2 5 4 6 2 3 2" xfId="38541" xr:uid="{6B4845D3-A73B-4C45-8491-037838D63C34}"/>
    <cellStyle name="Normal 2 5 4 6 2 4" xfId="13200" xr:uid="{139D87BF-1462-4282-A9AB-EAD186A74860}"/>
    <cellStyle name="Normal 2 5 4 6 2 5" xfId="30094" xr:uid="{DD5C570D-7546-4318-AE18-096A52FF9F5A}"/>
    <cellStyle name="Normal 2 5 4 6 3" xfId="5946" xr:uid="{00000000-0005-0000-0000-00005D110000}"/>
    <cellStyle name="Normal 2 5 4 6 3 2" xfId="23719" xr:uid="{B7A77465-8DAF-4EBA-98C7-4179D6F64584}"/>
    <cellStyle name="Normal 2 5 4 6 3 2 2" xfId="40613" xr:uid="{55DF0D13-3EC5-4DF2-91EC-E2A450A75E26}"/>
    <cellStyle name="Normal 2 5 4 6 3 3" xfId="15272" xr:uid="{BF6AC62C-02B4-431A-AD80-CE98F13C06C6}"/>
    <cellStyle name="Normal 2 5 4 6 3 4" xfId="32166" xr:uid="{D0F8C491-7F74-4F34-8422-9D7605BEBF3A}"/>
    <cellStyle name="Normal 2 5 4 6 4" xfId="19502" xr:uid="{AAFF10B2-0F8B-4C66-B259-4CAD43E26024}"/>
    <cellStyle name="Normal 2 5 4 6 4 2" xfId="36396" xr:uid="{BE163598-1678-43F2-B1AA-F664002B4130}"/>
    <cellStyle name="Normal 2 5 4 6 5" xfId="11055" xr:uid="{07395A39-27D1-43F9-AE12-433D295F3CAE}"/>
    <cellStyle name="Normal 2 5 4 6 6" xfId="27949" xr:uid="{DF0E30B7-2F73-434F-9B80-F8296E7CCBF4}"/>
    <cellStyle name="Normal 2 5 4 7" xfId="2053" xr:uid="{00000000-0005-0000-0000-00005E110000}"/>
    <cellStyle name="Normal 2 5 4 7 2" xfId="4282" xr:uid="{00000000-0005-0000-0000-00005F110000}"/>
    <cellStyle name="Normal 2 5 4 7 2 2" xfId="8504" xr:uid="{00000000-0005-0000-0000-000060110000}"/>
    <cellStyle name="Normal 2 5 4 7 2 2 2" xfId="26277" xr:uid="{A7FB6197-3FB8-478E-9F91-E82F49B6AE35}"/>
    <cellStyle name="Normal 2 5 4 7 2 2 2 2" xfId="43171" xr:uid="{EECEC840-D511-4F1E-A52C-8902D05EE242}"/>
    <cellStyle name="Normal 2 5 4 7 2 2 3" xfId="17830" xr:uid="{930238AB-2D42-4319-9FDC-04DB5654B882}"/>
    <cellStyle name="Normal 2 5 4 7 2 2 4" xfId="34724" xr:uid="{6F7CE246-65A6-4228-8CF5-C7A64A8659EC}"/>
    <cellStyle name="Normal 2 5 4 7 2 3" xfId="22060" xr:uid="{CFD980BA-4426-48A5-823D-1A67A0643407}"/>
    <cellStyle name="Normal 2 5 4 7 2 3 2" xfId="38954" xr:uid="{E061DEFF-5324-420B-83BA-BAB43CC20B74}"/>
    <cellStyle name="Normal 2 5 4 7 2 4" xfId="13613" xr:uid="{3B104CE2-577F-4DFA-BA7A-9CDC176F2BC4}"/>
    <cellStyle name="Normal 2 5 4 7 2 5" xfId="30507" xr:uid="{1E7F5FB7-97E4-4F02-ABC9-61154A3CD484}"/>
    <cellStyle name="Normal 2 5 4 7 3" xfId="6359" xr:uid="{00000000-0005-0000-0000-000061110000}"/>
    <cellStyle name="Normal 2 5 4 7 3 2" xfId="24132" xr:uid="{DED2C5A8-5041-4551-A589-750218EFD2E8}"/>
    <cellStyle name="Normal 2 5 4 7 3 2 2" xfId="41026" xr:uid="{317D9CD4-1AED-4D82-9DED-FF8866A3227C}"/>
    <cellStyle name="Normal 2 5 4 7 3 3" xfId="15685" xr:uid="{332D06C1-F8E8-48B8-A975-AE0BF3722F88}"/>
    <cellStyle name="Normal 2 5 4 7 3 4" xfId="32579" xr:uid="{7CFDBA45-C6FE-4A2C-B838-74AC7D4A5F56}"/>
    <cellStyle name="Normal 2 5 4 7 4" xfId="19915" xr:uid="{B7835792-47EA-4E26-A701-6329B698F66C}"/>
    <cellStyle name="Normal 2 5 4 7 4 2" xfId="36809" xr:uid="{8BFA785C-CCBB-423E-906E-4EB890CE3069}"/>
    <cellStyle name="Normal 2 5 4 7 5" xfId="11468" xr:uid="{DF113FA3-A18B-4857-904D-5EDFA1C55864}"/>
    <cellStyle name="Normal 2 5 4 7 6" xfId="28362" xr:uid="{F5107DEB-A79E-4EB2-A10B-DA2F4E583806}"/>
    <cellStyle name="Normal 2 5 4 8" xfId="2489" xr:uid="{00000000-0005-0000-0000-000062110000}"/>
    <cellStyle name="Normal 2 5 4 8 2" xfId="6772" xr:uid="{00000000-0005-0000-0000-000063110000}"/>
    <cellStyle name="Normal 2 5 4 8 2 2" xfId="24545" xr:uid="{2D952BB7-F0FD-4CB0-BC72-4219A250546C}"/>
    <cellStyle name="Normal 2 5 4 8 2 2 2" xfId="41439" xr:uid="{AB2425CC-CC9D-4B07-BE1A-41BC4342FEB6}"/>
    <cellStyle name="Normal 2 5 4 8 2 3" xfId="16098" xr:uid="{82AC0820-0009-4293-8598-4FFFBA41198B}"/>
    <cellStyle name="Normal 2 5 4 8 2 4" xfId="32992" xr:uid="{81836DC1-D055-4401-8475-13612A82457A}"/>
    <cellStyle name="Normal 2 5 4 8 3" xfId="20328" xr:uid="{92DA80C5-D378-4460-811E-B55AB9B5A5EB}"/>
    <cellStyle name="Normal 2 5 4 8 3 2" xfId="37222" xr:uid="{0DDEFAA4-9F46-4005-B63F-C9973B9AA275}"/>
    <cellStyle name="Normal 2 5 4 8 4" xfId="11881" xr:uid="{310F6574-0D00-47CF-9FFC-0A3E4D749D03}"/>
    <cellStyle name="Normal 2 5 4 8 5" xfId="28775" xr:uid="{C0202C00-555A-4282-9F65-985C01BDADE0}"/>
    <cellStyle name="Normal 2 5 4 9" xfId="4706" xr:uid="{00000000-0005-0000-0000-000064110000}"/>
    <cellStyle name="Normal 2 5 4 9 2" xfId="22479" xr:uid="{2C604F0C-93FB-4319-8467-D02DC0D67F91}"/>
    <cellStyle name="Normal 2 5 4 9 2 2" xfId="39373" xr:uid="{BAB35989-4471-44C7-BD74-EAEEC0C30AE3}"/>
    <cellStyle name="Normal 2 5 4 9 3" xfId="14032" xr:uid="{C0A446C5-88D8-4372-BECC-1C8792187A21}"/>
    <cellStyle name="Normal 2 5 4 9 4" xfId="30926" xr:uid="{958C7417-69F8-4799-9C4C-E5D3B72E1DE5}"/>
    <cellStyle name="Normal 2 5 5" xfId="803" xr:uid="{00000000-0005-0000-0000-000065110000}"/>
    <cellStyle name="Normal 2 5 5 2" xfId="3042" xr:uid="{00000000-0005-0000-0000-000066110000}"/>
    <cellStyle name="Normal 2 5 5 2 2" xfId="7264" xr:uid="{00000000-0005-0000-0000-000067110000}"/>
    <cellStyle name="Normal 2 5 5 2 2 2" xfId="25037" xr:uid="{0E5143F3-B8ED-4A23-8DD7-62BC0D66928A}"/>
    <cellStyle name="Normal 2 5 5 2 2 2 2" xfId="41931" xr:uid="{506CCE6E-1BA0-46F2-B278-3D955C773D5B}"/>
    <cellStyle name="Normal 2 5 5 2 2 3" xfId="16590" xr:uid="{812BE388-C302-4924-A61F-FCDF88F0AB42}"/>
    <cellStyle name="Normal 2 5 5 2 2 4" xfId="33484" xr:uid="{DA8DEF54-4400-4BFA-B3BC-C393FE1314BC}"/>
    <cellStyle name="Normal 2 5 5 2 3" xfId="20820" xr:uid="{9D2AE047-AF23-41A1-9923-8244D369DB40}"/>
    <cellStyle name="Normal 2 5 5 2 3 2" xfId="37714" xr:uid="{BC4CA653-BD26-4B8F-8C28-137319F65754}"/>
    <cellStyle name="Normal 2 5 5 2 4" xfId="12373" xr:uid="{35CB67F0-FAFE-4B2F-B61B-EC15A6DB05C4}"/>
    <cellStyle name="Normal 2 5 5 2 5" xfId="29267" xr:uid="{D43DAE0D-AA86-4389-8D6B-1191F95C5851}"/>
    <cellStyle name="Normal 2 5 5 3" xfId="5119" xr:uid="{00000000-0005-0000-0000-000068110000}"/>
    <cellStyle name="Normal 2 5 5 3 2" xfId="22892" xr:uid="{509D9BF3-F3A1-42FE-98D3-2818825D6B70}"/>
    <cellStyle name="Normal 2 5 5 3 2 2" xfId="39786" xr:uid="{F635BEFD-8E6D-4FF2-829A-6D516942502C}"/>
    <cellStyle name="Normal 2 5 5 3 3" xfId="14445" xr:uid="{779B8362-D2BC-40E2-AF8E-F485CB403FCA}"/>
    <cellStyle name="Normal 2 5 5 3 4" xfId="31339" xr:uid="{C19CF915-DEC8-4F68-ACD9-0FB4DC676F12}"/>
    <cellStyle name="Normal 2 5 5 4" xfId="9606" xr:uid="{3AE4D77A-44EE-40C2-9F71-05FBDE2746B2}"/>
    <cellStyle name="Normal 2 5 5 4 2" xfId="18675" xr:uid="{BA9C6F26-BEBF-4150-8F2D-B207DBFD53AB}"/>
    <cellStyle name="Normal 2 5 5 4 3" xfId="35569" xr:uid="{2A792C3A-1ACE-4FEA-BCBC-FEDD549F1110}"/>
    <cellStyle name="Normal 2 5 5 5" xfId="10228" xr:uid="{41989ADD-54A9-406E-A72A-430639D74352}"/>
    <cellStyle name="Normal 2 5 5 6" xfId="27122" xr:uid="{094B4D67-611F-4A75-B553-6BACDF26D80A}"/>
    <cellStyle name="Normal 2 5 6" xfId="1225" xr:uid="{00000000-0005-0000-0000-000069110000}"/>
    <cellStyle name="Normal 2 5 6 2" xfId="3455" xr:uid="{00000000-0005-0000-0000-00006A110000}"/>
    <cellStyle name="Normal 2 5 6 2 2" xfId="7677" xr:uid="{00000000-0005-0000-0000-00006B110000}"/>
    <cellStyle name="Normal 2 5 6 2 2 2" xfId="25450" xr:uid="{5C16E373-0619-44AA-8C04-0310CE3F8166}"/>
    <cellStyle name="Normal 2 5 6 2 2 2 2" xfId="42344" xr:uid="{51C9A79B-23A5-4D72-BB8C-8662D728C3DB}"/>
    <cellStyle name="Normal 2 5 6 2 2 3" xfId="17003" xr:uid="{18F2A489-30A0-41B3-8B91-88EC9F3CBF47}"/>
    <cellStyle name="Normal 2 5 6 2 2 4" xfId="33897" xr:uid="{37CF0E7A-80A8-4A98-B4A6-A2E725F39694}"/>
    <cellStyle name="Normal 2 5 6 2 3" xfId="21233" xr:uid="{F96DB9E9-41E0-4AB4-9077-8E897B9CD947}"/>
    <cellStyle name="Normal 2 5 6 2 3 2" xfId="38127" xr:uid="{C058C79B-E0E3-42ED-924C-C436DBCB82C5}"/>
    <cellStyle name="Normal 2 5 6 2 4" xfId="12786" xr:uid="{0C7DAA1C-C900-44DD-A167-452C94D8A3D6}"/>
    <cellStyle name="Normal 2 5 6 2 5" xfId="29680" xr:uid="{92FB6D3A-BE91-49A4-869D-7E4FB1B5444C}"/>
    <cellStyle name="Normal 2 5 6 3" xfId="5532" xr:uid="{00000000-0005-0000-0000-00006C110000}"/>
    <cellStyle name="Normal 2 5 6 3 2" xfId="23305" xr:uid="{20F06FF2-42C2-449D-ACB3-D00B7035526F}"/>
    <cellStyle name="Normal 2 5 6 3 2 2" xfId="40199" xr:uid="{2CB13F29-740E-4F3F-874D-72AA0963F48D}"/>
    <cellStyle name="Normal 2 5 6 3 3" xfId="14858" xr:uid="{B31F645B-6C16-471C-B19E-392AB7C5FBE7}"/>
    <cellStyle name="Normal 2 5 6 3 4" xfId="31752" xr:uid="{C3B85045-0CC5-45CD-BFC6-CFB220D70323}"/>
    <cellStyle name="Normal 2 5 6 4" xfId="19088" xr:uid="{954C86B5-D177-44AE-AB10-83199C9CEF4B}"/>
    <cellStyle name="Normal 2 5 6 4 2" xfId="35982" xr:uid="{71170D51-DDB6-47F3-8CA9-54266F15AE99}"/>
    <cellStyle name="Normal 2 5 6 5" xfId="10641" xr:uid="{0A6D0F89-D297-4ABE-8D0F-8E6DCC80E5E9}"/>
    <cellStyle name="Normal 2 5 6 6" xfId="27535" xr:uid="{FD17BDE5-C1C4-4E34-9D7D-2EA68BC7215D}"/>
    <cellStyle name="Normal 2 5 7" xfId="1638" xr:uid="{00000000-0005-0000-0000-00006D110000}"/>
    <cellStyle name="Normal 2 5 7 2" xfId="3868" xr:uid="{00000000-0005-0000-0000-00006E110000}"/>
    <cellStyle name="Normal 2 5 7 2 2" xfId="8090" xr:uid="{00000000-0005-0000-0000-00006F110000}"/>
    <cellStyle name="Normal 2 5 7 2 2 2" xfId="25863" xr:uid="{0147DDD9-085A-4C34-B9FF-EBD8AA050ABF}"/>
    <cellStyle name="Normal 2 5 7 2 2 2 2" xfId="42757" xr:uid="{D7A63BE5-F4BE-421A-9C02-B5E5620B0BD8}"/>
    <cellStyle name="Normal 2 5 7 2 2 3" xfId="17416" xr:uid="{B099EC9D-7AF0-4A93-ABAB-5A40D007CD28}"/>
    <cellStyle name="Normal 2 5 7 2 2 4" xfId="34310" xr:uid="{318DC4C0-E382-43C2-A0DE-FC8765F14406}"/>
    <cellStyle name="Normal 2 5 7 2 3" xfId="21646" xr:uid="{F89B1EFB-39A7-4BA5-B217-14B62BDC9894}"/>
    <cellStyle name="Normal 2 5 7 2 3 2" xfId="38540" xr:uid="{458218F5-052E-4D0A-ADB5-80F347630059}"/>
    <cellStyle name="Normal 2 5 7 2 4" xfId="13199" xr:uid="{A446E970-E1A0-4916-A11F-CD7803675C7F}"/>
    <cellStyle name="Normal 2 5 7 2 5" xfId="30093" xr:uid="{88583B9F-E294-45BA-9A2A-9B8B0DD9032C}"/>
    <cellStyle name="Normal 2 5 7 3" xfId="5945" xr:uid="{00000000-0005-0000-0000-000070110000}"/>
    <cellStyle name="Normal 2 5 7 3 2" xfId="23718" xr:uid="{B464B31F-39A8-4492-9E91-F70D6CF66571}"/>
    <cellStyle name="Normal 2 5 7 3 2 2" xfId="40612" xr:uid="{74C4D45D-CBCC-4D80-9E1D-D16171235A44}"/>
    <cellStyle name="Normal 2 5 7 3 3" xfId="15271" xr:uid="{349F6CE1-4949-404E-B741-5BE93FCC7E81}"/>
    <cellStyle name="Normal 2 5 7 3 4" xfId="32165" xr:uid="{181FA665-FE37-44A7-95B3-937BA4259AB0}"/>
    <cellStyle name="Normal 2 5 7 4" xfId="19501" xr:uid="{79D11740-078A-4CE3-9ADF-A4E32ED4850B}"/>
    <cellStyle name="Normal 2 5 7 4 2" xfId="36395" xr:uid="{B818612A-FFBC-42F0-AA60-D02B19F4DE9B}"/>
    <cellStyle name="Normal 2 5 7 5" xfId="11054" xr:uid="{3F0A9DD0-1BC3-469F-9F89-28F8927B6AF2}"/>
    <cellStyle name="Normal 2 5 7 6" xfId="27948" xr:uid="{B9767135-A2C6-427C-BA54-D26449C1A290}"/>
    <cellStyle name="Normal 2 5 8" xfId="2052" xr:uid="{00000000-0005-0000-0000-000071110000}"/>
    <cellStyle name="Normal 2 5 8 2" xfId="4281" xr:uid="{00000000-0005-0000-0000-000072110000}"/>
    <cellStyle name="Normal 2 5 8 2 2" xfId="8503" xr:uid="{00000000-0005-0000-0000-000073110000}"/>
    <cellStyle name="Normal 2 5 8 2 2 2" xfId="26276" xr:uid="{FB518C99-B82D-4F1D-A537-D6A07D44A57B}"/>
    <cellStyle name="Normal 2 5 8 2 2 2 2" xfId="43170" xr:uid="{705F26C9-E3CD-4742-88F9-EF5EB6A898E6}"/>
    <cellStyle name="Normal 2 5 8 2 2 3" xfId="17829" xr:uid="{7612F533-ADB7-4D16-BFA5-19A0B5DC55FB}"/>
    <cellStyle name="Normal 2 5 8 2 2 4" xfId="34723" xr:uid="{264F8417-F77D-4E88-8C55-0D015B8F8458}"/>
    <cellStyle name="Normal 2 5 8 2 3" xfId="22059" xr:uid="{3DCC3F55-56CA-4DE9-B64B-898CA893EED5}"/>
    <cellStyle name="Normal 2 5 8 2 3 2" xfId="38953" xr:uid="{DD23052C-8027-4A5D-9A82-39F4B802B72F}"/>
    <cellStyle name="Normal 2 5 8 2 4" xfId="13612" xr:uid="{67674D95-3A27-44BC-B588-2D5415A0B0D6}"/>
    <cellStyle name="Normal 2 5 8 2 5" xfId="30506" xr:uid="{C2EC82DE-2F8C-4547-9E9E-1DE358CA7693}"/>
    <cellStyle name="Normal 2 5 8 3" xfId="6358" xr:uid="{00000000-0005-0000-0000-000074110000}"/>
    <cellStyle name="Normal 2 5 8 3 2" xfId="24131" xr:uid="{2687FB56-95B4-4A2C-A35E-63BEB6996C66}"/>
    <cellStyle name="Normal 2 5 8 3 2 2" xfId="41025" xr:uid="{19FBF9B4-5460-450D-82CB-4A07D664A680}"/>
    <cellStyle name="Normal 2 5 8 3 3" xfId="15684" xr:uid="{2C4A2E7F-111F-4CF5-9B6F-6F5E3F1F1E73}"/>
    <cellStyle name="Normal 2 5 8 3 4" xfId="32578" xr:uid="{642FD19D-825F-42D7-942B-A412314A5CE9}"/>
    <cellStyle name="Normal 2 5 8 4" xfId="19914" xr:uid="{412B6CEC-BF1E-40D5-8D62-80DCF25DEBD5}"/>
    <cellStyle name="Normal 2 5 8 4 2" xfId="36808" xr:uid="{18D15A35-39D1-4559-9220-4E1CB89DC69A}"/>
    <cellStyle name="Normal 2 5 8 5" xfId="11467" xr:uid="{37D0D5E3-F307-4F88-9C41-E97D9F58B5B1}"/>
    <cellStyle name="Normal 2 5 8 6" xfId="28361" xr:uid="{378F9124-1A89-490F-9044-06C6238EBF42}"/>
    <cellStyle name="Normal 2 5 9" xfId="2488" xr:uid="{00000000-0005-0000-0000-000075110000}"/>
    <cellStyle name="Normal 2 5 9 2" xfId="6771" xr:uid="{00000000-0005-0000-0000-000076110000}"/>
    <cellStyle name="Normal 2 5 9 2 2" xfId="24544" xr:uid="{F05E891B-AEFA-4114-8168-403F913D56EE}"/>
    <cellStyle name="Normal 2 5 9 2 2 2" xfId="41438" xr:uid="{54E274F9-C5CC-45F2-B2AF-F356FD120F38}"/>
    <cellStyle name="Normal 2 5 9 2 3" xfId="16097" xr:uid="{785718C5-C135-412C-90D8-DDC2E00B8E0B}"/>
    <cellStyle name="Normal 2 5 9 2 4" xfId="32991" xr:uid="{5E75FF86-9BD7-41A5-AA6B-F6263311808B}"/>
    <cellStyle name="Normal 2 5 9 3" xfId="20327" xr:uid="{0C971845-3C7A-4F5B-A531-8FCF5989704E}"/>
    <cellStyle name="Normal 2 5 9 3 2" xfId="37221" xr:uid="{FF902A1A-96E0-4E6A-B55B-7D490A75263F}"/>
    <cellStyle name="Normal 2 5 9 4" xfId="11880" xr:uid="{27B89311-B754-491D-8845-B8B4488F3E91}"/>
    <cellStyle name="Normal 2 5 9 5" xfId="28774" xr:uid="{C5A522F6-630E-4F4C-B315-902B127B1B61}"/>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10" xfId="18266" xr:uid="{7ABDBBD5-ED0C-4FA8-B3DC-22BEA69BA6F4}"/>
    <cellStyle name="Normal 3 2 10 2" xfId="35160" xr:uid="{FB988975-B4E8-450B-850C-D3A5BD1301EF}"/>
    <cellStyle name="Normal 3 2 11" xfId="9819" xr:uid="{0641F6EB-FE33-4F46-BF85-53CB01C9A124}"/>
    <cellStyle name="Normal 3 2 12" xfId="26713" xr:uid="{F920DC70-794E-478E-8DC3-66E4E01F7568}"/>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10 2" xfId="18267" xr:uid="{840A8141-AF33-4D11-9F17-781AC55FF5F0}"/>
    <cellStyle name="Normal 3 2 3 10 3" xfId="35161" xr:uid="{3B9D0AD9-9C5D-4B34-AE8A-BD2EDB8AADD8}"/>
    <cellStyle name="Normal 3 2 3 11" xfId="9820" xr:uid="{4F5C5C3C-1DC3-4E40-ADAE-A96E0DB36F18}"/>
    <cellStyle name="Normal 3 2 3 12" xfId="26714" xr:uid="{B34C6207-FEEB-48F5-A4A1-FDDA5CB8B8FC}"/>
    <cellStyle name="Normal 3 2 3 2" xfId="327" xr:uid="{00000000-0005-0000-0000-00007F110000}"/>
    <cellStyle name="Normal 3 2 3 2 10" xfId="9821" xr:uid="{41E0A30E-97A2-4215-982A-C7CDA07CF2F9}"/>
    <cellStyle name="Normal 3 2 3 2 11" xfId="26715" xr:uid="{D6F26128-2C4D-445B-BB41-A164D0FD9636}"/>
    <cellStyle name="Normal 3 2 3 2 2" xfId="328" xr:uid="{00000000-0005-0000-0000-000080110000}"/>
    <cellStyle name="Normal 3 2 3 2 2 10" xfId="26716" xr:uid="{1140ED5E-9CF7-418F-9332-548A1917F3BF}"/>
    <cellStyle name="Normal 3 2 3 2 2 2" xfId="813" xr:uid="{00000000-0005-0000-0000-000081110000}"/>
    <cellStyle name="Normal 3 2 3 2 2 2 2" xfId="3050" xr:uid="{00000000-0005-0000-0000-000082110000}"/>
    <cellStyle name="Normal 3 2 3 2 2 2 2 2" xfId="7272" xr:uid="{00000000-0005-0000-0000-000083110000}"/>
    <cellStyle name="Normal 3 2 3 2 2 2 2 2 2" xfId="25045" xr:uid="{45E3DAB9-408B-47A3-B557-44B41122B07C}"/>
    <cellStyle name="Normal 3 2 3 2 2 2 2 2 2 2" xfId="41939" xr:uid="{33FB1FFB-CB44-43A4-B4E3-685DAEA28D52}"/>
    <cellStyle name="Normal 3 2 3 2 2 2 2 2 3" xfId="16598" xr:uid="{84F07304-3ABE-40FE-8A73-B55FAA1FDA3A}"/>
    <cellStyle name="Normal 3 2 3 2 2 2 2 2 4" xfId="33492" xr:uid="{7A0EC98A-5BD8-43CD-BC3B-90A07D321E1B}"/>
    <cellStyle name="Normal 3 2 3 2 2 2 2 3" xfId="20828" xr:uid="{E81E88F9-2458-4BEA-89E5-3EBC4A0740AE}"/>
    <cellStyle name="Normal 3 2 3 2 2 2 2 3 2" xfId="37722" xr:uid="{28BA46C7-674F-4732-9794-9C57E953E314}"/>
    <cellStyle name="Normal 3 2 3 2 2 2 2 4" xfId="12381" xr:uid="{A49CF700-355F-4D1D-A1FF-EF6D4BC013D0}"/>
    <cellStyle name="Normal 3 2 3 2 2 2 2 5" xfId="29275" xr:uid="{11DC71E2-1A50-4807-9175-94396E7F4A06}"/>
    <cellStyle name="Normal 3 2 3 2 2 2 3" xfId="5127" xr:uid="{00000000-0005-0000-0000-000084110000}"/>
    <cellStyle name="Normal 3 2 3 2 2 2 3 2" xfId="22900" xr:uid="{D3D36CD7-39E6-46C4-B58E-59C331BD8F3E}"/>
    <cellStyle name="Normal 3 2 3 2 2 2 3 2 2" xfId="39794" xr:uid="{97DE69EE-DAA2-4054-8346-67142736142F}"/>
    <cellStyle name="Normal 3 2 3 2 2 2 3 3" xfId="14453" xr:uid="{5100DF1F-80EC-4900-B09D-6E93E0999811}"/>
    <cellStyle name="Normal 3 2 3 2 2 2 3 4" xfId="31347" xr:uid="{EABEDA39-4063-4346-A5D2-902C574322F9}"/>
    <cellStyle name="Normal 3 2 3 2 2 2 4" xfId="9552" xr:uid="{54198C1B-8B77-4C07-BFED-28C4D4E00A0C}"/>
    <cellStyle name="Normal 3 2 3 2 2 2 4 2" xfId="18683" xr:uid="{FCE83E4F-43DC-42CA-B0DE-A7727686BC9B}"/>
    <cellStyle name="Normal 3 2 3 2 2 2 4 3" xfId="35577" xr:uid="{6EF4126E-5902-4BB5-9551-312EB7FB2317}"/>
    <cellStyle name="Normal 3 2 3 2 2 2 5" xfId="10236" xr:uid="{920599AF-0E32-4CC6-9186-D24C029FA232}"/>
    <cellStyle name="Normal 3 2 3 2 2 2 6" xfId="27130" xr:uid="{C3E15AAE-E24A-46C9-8708-522CA6D316EB}"/>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2 2 2" xfId="25458" xr:uid="{343D1735-A7CD-4372-8FFA-D8D0D17A4F0B}"/>
    <cellStyle name="Normal 3 2 3 2 2 3 2 2 2 2" xfId="42352" xr:uid="{7A3BC07A-8E8B-4FDB-8778-4FFC80B7F603}"/>
    <cellStyle name="Normal 3 2 3 2 2 3 2 2 3" xfId="17011" xr:uid="{6115B513-A421-4F16-936F-CE1D9B158184}"/>
    <cellStyle name="Normal 3 2 3 2 2 3 2 2 4" xfId="33905" xr:uid="{7453FB35-3A5C-4B2E-9602-91AC392209DC}"/>
    <cellStyle name="Normal 3 2 3 2 2 3 2 3" xfId="21241" xr:uid="{CE77A932-726B-4842-8A50-7F8E426ECB8A}"/>
    <cellStyle name="Normal 3 2 3 2 2 3 2 3 2" xfId="38135" xr:uid="{84740704-1AB9-4647-A71B-55FB45A6558D}"/>
    <cellStyle name="Normal 3 2 3 2 2 3 2 4" xfId="12794" xr:uid="{37B3DE92-497B-48FB-AC32-FBB1A15B5976}"/>
    <cellStyle name="Normal 3 2 3 2 2 3 2 5" xfId="29688" xr:uid="{AC215D6C-741D-41B8-B768-DDD418EAA720}"/>
    <cellStyle name="Normal 3 2 3 2 2 3 3" xfId="5540" xr:uid="{00000000-0005-0000-0000-000088110000}"/>
    <cellStyle name="Normal 3 2 3 2 2 3 3 2" xfId="23313" xr:uid="{682C0B61-7B8A-483D-8CD2-664264499296}"/>
    <cellStyle name="Normal 3 2 3 2 2 3 3 2 2" xfId="40207" xr:uid="{58C3EEFC-4B52-41D5-B0E5-804158C16DE4}"/>
    <cellStyle name="Normal 3 2 3 2 2 3 3 3" xfId="14866" xr:uid="{B1414624-C555-4EF5-B1EF-9BC9B3F835ED}"/>
    <cellStyle name="Normal 3 2 3 2 2 3 3 4" xfId="31760" xr:uid="{A998AD9E-E616-4111-BFBB-4C8F79EDD63A}"/>
    <cellStyle name="Normal 3 2 3 2 2 3 4" xfId="19096" xr:uid="{B79BA45E-7DFC-49DC-89AD-8274739CF825}"/>
    <cellStyle name="Normal 3 2 3 2 2 3 4 2" xfId="35990" xr:uid="{DB457359-33AC-4720-B5DD-436BE66D1BC8}"/>
    <cellStyle name="Normal 3 2 3 2 2 3 5" xfId="10649" xr:uid="{2FC385C3-7E66-4D47-8B2F-3F5AB1CF0E92}"/>
    <cellStyle name="Normal 3 2 3 2 2 3 6" xfId="27543" xr:uid="{D896A2FB-5355-48D4-85B4-0BA7B935695B}"/>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2 2 2" xfId="25871" xr:uid="{E378164B-82DA-4B35-BA37-87BE297D9035}"/>
    <cellStyle name="Normal 3 2 3 2 2 4 2 2 2 2" xfId="42765" xr:uid="{DFEAC1B5-79C4-4D32-8BB6-CBA779956390}"/>
    <cellStyle name="Normal 3 2 3 2 2 4 2 2 3" xfId="17424" xr:uid="{26E0C7AA-66D7-4950-A11D-76966EAE37DF}"/>
    <cellStyle name="Normal 3 2 3 2 2 4 2 2 4" xfId="34318" xr:uid="{EBE127E9-B02E-407F-9D03-F4292416ED3F}"/>
    <cellStyle name="Normal 3 2 3 2 2 4 2 3" xfId="21654" xr:uid="{E823414D-739C-4F32-9C94-AA5737E4574D}"/>
    <cellStyle name="Normal 3 2 3 2 2 4 2 3 2" xfId="38548" xr:uid="{B3929C30-6A04-4F0D-BE7C-D4BD5D34EC60}"/>
    <cellStyle name="Normal 3 2 3 2 2 4 2 4" xfId="13207" xr:uid="{507B1380-949F-4A8D-B294-FAE5CDFA2039}"/>
    <cellStyle name="Normal 3 2 3 2 2 4 2 5" xfId="30101" xr:uid="{0F96D6EC-8235-4F36-B516-AC2510C26F84}"/>
    <cellStyle name="Normal 3 2 3 2 2 4 3" xfId="5953" xr:uid="{00000000-0005-0000-0000-00008C110000}"/>
    <cellStyle name="Normal 3 2 3 2 2 4 3 2" xfId="23726" xr:uid="{B5B0469F-EA3E-41A4-8BF3-222E7429BC85}"/>
    <cellStyle name="Normal 3 2 3 2 2 4 3 2 2" xfId="40620" xr:uid="{BE2AE1E9-9AF9-4913-AC4F-898AA8F334F0}"/>
    <cellStyle name="Normal 3 2 3 2 2 4 3 3" xfId="15279" xr:uid="{7F53A93D-50E8-4F75-BC5F-3F3EFA2F0E17}"/>
    <cellStyle name="Normal 3 2 3 2 2 4 3 4" xfId="32173" xr:uid="{CCEE41D5-DE49-4951-A2DB-05921C219107}"/>
    <cellStyle name="Normal 3 2 3 2 2 4 4" xfId="19509" xr:uid="{9A10DB34-1F79-42E4-811A-ED9D637A1BD5}"/>
    <cellStyle name="Normal 3 2 3 2 2 4 4 2" xfId="36403" xr:uid="{45A2D2B7-A279-48BB-96BF-413BEE8820C8}"/>
    <cellStyle name="Normal 3 2 3 2 2 4 5" xfId="11062" xr:uid="{483D217A-9D75-4342-BB6A-AF497BC1FCEA}"/>
    <cellStyle name="Normal 3 2 3 2 2 4 6" xfId="27956" xr:uid="{BC4A86DF-65A5-444B-B92D-A2900C8A332F}"/>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2 2 2" xfId="26284" xr:uid="{8370ADFC-66D8-4FB6-AD47-193713136483}"/>
    <cellStyle name="Normal 3 2 3 2 2 5 2 2 2 2" xfId="43178" xr:uid="{270EB082-CCA0-4037-ADC9-00250170558B}"/>
    <cellStyle name="Normal 3 2 3 2 2 5 2 2 3" xfId="17837" xr:uid="{16DEAC51-2A93-4AE4-83B9-8356FF7C92A5}"/>
    <cellStyle name="Normal 3 2 3 2 2 5 2 2 4" xfId="34731" xr:uid="{B6BBD673-AD49-4F18-8C4D-5C703573E129}"/>
    <cellStyle name="Normal 3 2 3 2 2 5 2 3" xfId="22067" xr:uid="{78E5AA93-D4A0-4FB2-B5E0-8FAC5A71FABA}"/>
    <cellStyle name="Normal 3 2 3 2 2 5 2 3 2" xfId="38961" xr:uid="{198F64B5-1BE1-42EC-9E20-263DBC60AE25}"/>
    <cellStyle name="Normal 3 2 3 2 2 5 2 4" xfId="13620" xr:uid="{52C754FF-DD51-431B-BE13-BB90E3583B5B}"/>
    <cellStyle name="Normal 3 2 3 2 2 5 2 5" xfId="30514" xr:uid="{CA12C951-04CA-4599-AC33-E82A871F994A}"/>
    <cellStyle name="Normal 3 2 3 2 2 5 3" xfId="6366" xr:uid="{00000000-0005-0000-0000-000090110000}"/>
    <cellStyle name="Normal 3 2 3 2 2 5 3 2" xfId="24139" xr:uid="{A27D1810-8D0C-47CD-BCB5-00BEC64EE361}"/>
    <cellStyle name="Normal 3 2 3 2 2 5 3 2 2" xfId="41033" xr:uid="{86ADFF6C-CCF8-486B-9E6F-91612BA06B99}"/>
    <cellStyle name="Normal 3 2 3 2 2 5 3 3" xfId="15692" xr:uid="{E6995DE7-7BEA-41C6-8788-97B013F09A28}"/>
    <cellStyle name="Normal 3 2 3 2 2 5 3 4" xfId="32586" xr:uid="{05A40C01-9A2E-4927-8614-B9A724A362DF}"/>
    <cellStyle name="Normal 3 2 3 2 2 5 4" xfId="19922" xr:uid="{85A146F3-CB6C-49EC-BE5A-359CEF9BD4C2}"/>
    <cellStyle name="Normal 3 2 3 2 2 5 4 2" xfId="36816" xr:uid="{A0E1AB12-D5FF-4923-A315-AEE9A15B35D0}"/>
    <cellStyle name="Normal 3 2 3 2 2 5 5" xfId="11475" xr:uid="{214E6B12-45A2-4EB8-810E-7D4DBD12BADC}"/>
    <cellStyle name="Normal 3 2 3 2 2 5 6" xfId="28369" xr:uid="{3902AE6D-CA23-4F3B-8B69-0FC7915EDB9F}"/>
    <cellStyle name="Normal 3 2 3 2 2 6" xfId="2496" xr:uid="{00000000-0005-0000-0000-000091110000}"/>
    <cellStyle name="Normal 3 2 3 2 2 6 2" xfId="6779" xr:uid="{00000000-0005-0000-0000-000092110000}"/>
    <cellStyle name="Normal 3 2 3 2 2 6 2 2" xfId="24552" xr:uid="{8002529E-8337-43D6-AD92-84912254E353}"/>
    <cellStyle name="Normal 3 2 3 2 2 6 2 2 2" xfId="41446" xr:uid="{998AF043-FE76-46A1-8C07-BD8C42DC9932}"/>
    <cellStyle name="Normal 3 2 3 2 2 6 2 3" xfId="16105" xr:uid="{BD6EC4B0-5B01-4C55-9995-D01E66985E74}"/>
    <cellStyle name="Normal 3 2 3 2 2 6 2 4" xfId="32999" xr:uid="{840A33FF-17B8-4A95-A797-D448B5E21BD1}"/>
    <cellStyle name="Normal 3 2 3 2 2 6 3" xfId="20335" xr:uid="{66D7002E-D3CE-4160-B74A-ED90E46FA19E}"/>
    <cellStyle name="Normal 3 2 3 2 2 6 3 2" xfId="37229" xr:uid="{A5C950BF-01F5-4CC6-8C76-B48DEDE4E6F1}"/>
    <cellStyle name="Normal 3 2 3 2 2 6 4" xfId="11888" xr:uid="{4971562E-81D4-4F4E-8FC3-9AB0A3EFD241}"/>
    <cellStyle name="Normal 3 2 3 2 2 6 5" xfId="28782" xr:uid="{EBA578D3-D33E-4EA7-86D4-978F1E1472B2}"/>
    <cellStyle name="Normal 3 2 3 2 2 7" xfId="4713" xr:uid="{00000000-0005-0000-0000-000093110000}"/>
    <cellStyle name="Normal 3 2 3 2 2 7 2" xfId="22486" xr:uid="{069D1BB5-1310-40E1-9B47-88871265732E}"/>
    <cellStyle name="Normal 3 2 3 2 2 7 2 2" xfId="39380" xr:uid="{581D2334-174F-4ADC-91C3-F728DDD003ED}"/>
    <cellStyle name="Normal 3 2 3 2 2 7 3" xfId="14039" xr:uid="{A66883EB-E924-499B-9697-4FE67F095D73}"/>
    <cellStyle name="Normal 3 2 3 2 2 7 4" xfId="30933" xr:uid="{718B0BC5-F7E2-4102-A090-F3016877319F}"/>
    <cellStyle name="Normal 3 2 3 2 2 8" xfId="9127" xr:uid="{0583B12A-AAD6-4358-9C0C-42D6EBC3DFD8}"/>
    <cellStyle name="Normal 3 2 3 2 2 8 2" xfId="18269" xr:uid="{8D00B559-6C24-43FA-900A-F1025EA2FFED}"/>
    <cellStyle name="Normal 3 2 3 2 2 8 3" xfId="35163" xr:uid="{772775FD-D073-4C28-97A9-7CA237EC6BBD}"/>
    <cellStyle name="Normal 3 2 3 2 2 9" xfId="9822" xr:uid="{9D61F870-6D1E-45C1-BE57-D0D69D1AAD83}"/>
    <cellStyle name="Normal 3 2 3 2 3" xfId="812" xr:uid="{00000000-0005-0000-0000-000094110000}"/>
    <cellStyle name="Normal 3 2 3 2 3 2" xfId="3049" xr:uid="{00000000-0005-0000-0000-000095110000}"/>
    <cellStyle name="Normal 3 2 3 2 3 2 2" xfId="7271" xr:uid="{00000000-0005-0000-0000-000096110000}"/>
    <cellStyle name="Normal 3 2 3 2 3 2 2 2" xfId="25044" xr:uid="{C262EE0D-724B-46B4-B5D3-41E9ED5967E6}"/>
    <cellStyle name="Normal 3 2 3 2 3 2 2 2 2" xfId="41938" xr:uid="{6872D1E3-7F41-4155-8DF5-03EAF3AF1D98}"/>
    <cellStyle name="Normal 3 2 3 2 3 2 2 3" xfId="16597" xr:uid="{B1B24829-4293-4F9A-A13C-7F793BC5A66A}"/>
    <cellStyle name="Normal 3 2 3 2 3 2 2 4" xfId="33491" xr:uid="{C2A8FC92-C6AB-4F49-89DF-1CBF32E4B5EC}"/>
    <cellStyle name="Normal 3 2 3 2 3 2 3" xfId="20827" xr:uid="{FDFC885C-DFE1-4D20-93C4-95B58C1591C0}"/>
    <cellStyle name="Normal 3 2 3 2 3 2 3 2" xfId="37721" xr:uid="{2066A020-B2C4-4FC2-AF3B-C01071EB8C20}"/>
    <cellStyle name="Normal 3 2 3 2 3 2 4" xfId="12380" xr:uid="{56CDA4A3-0AFA-4A8E-9B13-05CA2AF26DD4}"/>
    <cellStyle name="Normal 3 2 3 2 3 2 5" xfId="29274" xr:uid="{C69684F7-2BD1-4BDD-8354-BB0E3CE0FA99}"/>
    <cellStyle name="Normal 3 2 3 2 3 3" xfId="5126" xr:uid="{00000000-0005-0000-0000-000097110000}"/>
    <cellStyle name="Normal 3 2 3 2 3 3 2" xfId="22899" xr:uid="{52F2CBCA-9FB9-443F-B6BA-A4586174535D}"/>
    <cellStyle name="Normal 3 2 3 2 3 3 2 2" xfId="39793" xr:uid="{C755A911-547E-46BC-99BA-D0884587AACD}"/>
    <cellStyle name="Normal 3 2 3 2 3 3 3" xfId="14452" xr:uid="{F3ED657B-3A88-4B18-A501-83E041A2A29B}"/>
    <cellStyle name="Normal 3 2 3 2 3 3 4" xfId="31346" xr:uid="{C65B1DAF-A617-47A4-B57B-5517F66DFF62}"/>
    <cellStyle name="Normal 3 2 3 2 3 4" xfId="9345" xr:uid="{C34A3811-3C7F-4E99-A17A-CCF74A426C86}"/>
    <cellStyle name="Normal 3 2 3 2 3 4 2" xfId="18682" xr:uid="{EBBF44E8-B811-4546-8FA4-99144AC36240}"/>
    <cellStyle name="Normal 3 2 3 2 3 4 3" xfId="35576" xr:uid="{4BCD41D3-A4B0-4458-BFE4-271C39F8A672}"/>
    <cellStyle name="Normal 3 2 3 2 3 5" xfId="10235" xr:uid="{5F99159B-56DE-4997-B9D9-8D7F275E61A7}"/>
    <cellStyle name="Normal 3 2 3 2 3 6" xfId="27129" xr:uid="{527B3CC6-D966-4D85-87ED-FCB5EB511CD7}"/>
    <cellStyle name="Normal 3 2 3 2 4" xfId="1232" xr:uid="{00000000-0005-0000-0000-000098110000}"/>
    <cellStyle name="Normal 3 2 3 2 4 2" xfId="3462" xr:uid="{00000000-0005-0000-0000-000099110000}"/>
    <cellStyle name="Normal 3 2 3 2 4 2 2" xfId="7684" xr:uid="{00000000-0005-0000-0000-00009A110000}"/>
    <cellStyle name="Normal 3 2 3 2 4 2 2 2" xfId="25457" xr:uid="{B053ACDB-F361-4DF4-848C-3B04A288D8BC}"/>
    <cellStyle name="Normal 3 2 3 2 4 2 2 2 2" xfId="42351" xr:uid="{CC962DEA-4937-4844-8A05-ABE58DB27401}"/>
    <cellStyle name="Normal 3 2 3 2 4 2 2 3" xfId="17010" xr:uid="{863FDCF3-C4A8-4C7E-9F48-399681E7041B}"/>
    <cellStyle name="Normal 3 2 3 2 4 2 2 4" xfId="33904" xr:uid="{164A5AB1-8EEC-4061-AD98-2CC4841A99DF}"/>
    <cellStyle name="Normal 3 2 3 2 4 2 3" xfId="21240" xr:uid="{03377EC7-7E1A-4447-AFE5-DD731CC682D4}"/>
    <cellStyle name="Normal 3 2 3 2 4 2 3 2" xfId="38134" xr:uid="{046A217B-151A-4A98-AC15-326C81F81136}"/>
    <cellStyle name="Normal 3 2 3 2 4 2 4" xfId="12793" xr:uid="{1CAFB5A1-C45E-4823-B948-3E38926D48A1}"/>
    <cellStyle name="Normal 3 2 3 2 4 2 5" xfId="29687" xr:uid="{3A37B487-201C-499A-B0CF-C6A4D0853741}"/>
    <cellStyle name="Normal 3 2 3 2 4 3" xfId="5539" xr:uid="{00000000-0005-0000-0000-00009B110000}"/>
    <cellStyle name="Normal 3 2 3 2 4 3 2" xfId="23312" xr:uid="{CE44342F-E2F6-4AFA-9D7E-E6053CB63F36}"/>
    <cellStyle name="Normal 3 2 3 2 4 3 2 2" xfId="40206" xr:uid="{1769EF5A-51DC-4F6C-BAC9-529A526AE6DC}"/>
    <cellStyle name="Normal 3 2 3 2 4 3 3" xfId="14865" xr:uid="{2720DFAE-EE75-4B74-959E-A7DD785A77EB}"/>
    <cellStyle name="Normal 3 2 3 2 4 3 4" xfId="31759" xr:uid="{A1FFFDBC-DABF-4080-8904-E3E046341264}"/>
    <cellStyle name="Normal 3 2 3 2 4 4" xfId="19095" xr:uid="{3D151C71-4198-462E-99EE-0B79EBBDCD45}"/>
    <cellStyle name="Normal 3 2 3 2 4 4 2" xfId="35989" xr:uid="{148E270B-3405-46EB-84F5-E53938F1D3BB}"/>
    <cellStyle name="Normal 3 2 3 2 4 5" xfId="10648" xr:uid="{70356AF1-E65C-4D87-83D0-B7E6899055B4}"/>
    <cellStyle name="Normal 3 2 3 2 4 6" xfId="27542" xr:uid="{B67E6FF1-52D2-40A8-8CCF-F67F227DA286}"/>
    <cellStyle name="Normal 3 2 3 2 5" xfId="1645" xr:uid="{00000000-0005-0000-0000-00009C110000}"/>
    <cellStyle name="Normal 3 2 3 2 5 2" xfId="3875" xr:uid="{00000000-0005-0000-0000-00009D110000}"/>
    <cellStyle name="Normal 3 2 3 2 5 2 2" xfId="8097" xr:uid="{00000000-0005-0000-0000-00009E110000}"/>
    <cellStyle name="Normal 3 2 3 2 5 2 2 2" xfId="25870" xr:uid="{2A6D5653-31B0-4CBA-87FB-CD87B6ECF168}"/>
    <cellStyle name="Normal 3 2 3 2 5 2 2 2 2" xfId="42764" xr:uid="{E0EC6E90-B1CE-4B96-A63B-353DA1ED049F}"/>
    <cellStyle name="Normal 3 2 3 2 5 2 2 3" xfId="17423" xr:uid="{6DFC1BE1-90E1-46B0-9A71-CD57021421C4}"/>
    <cellStyle name="Normal 3 2 3 2 5 2 2 4" xfId="34317" xr:uid="{C154020A-0428-403C-90AA-CB993B29192E}"/>
    <cellStyle name="Normal 3 2 3 2 5 2 3" xfId="21653" xr:uid="{D5C09A27-11DA-479B-A0F9-3BA169D1C910}"/>
    <cellStyle name="Normal 3 2 3 2 5 2 3 2" xfId="38547" xr:uid="{5A370B58-676A-4364-856C-A0DBEA66E6EA}"/>
    <cellStyle name="Normal 3 2 3 2 5 2 4" xfId="13206" xr:uid="{0EDF5431-8226-4EA9-AEE2-47735A903DE9}"/>
    <cellStyle name="Normal 3 2 3 2 5 2 5" xfId="30100" xr:uid="{5F3A8372-BFC2-48C5-A374-9C8BA32ADC67}"/>
    <cellStyle name="Normal 3 2 3 2 5 3" xfId="5952" xr:uid="{00000000-0005-0000-0000-00009F110000}"/>
    <cellStyle name="Normal 3 2 3 2 5 3 2" xfId="23725" xr:uid="{C33FBB59-EEF7-4896-AA96-3359AB8660F2}"/>
    <cellStyle name="Normal 3 2 3 2 5 3 2 2" xfId="40619" xr:uid="{77A3B2D6-78D3-45A6-90AB-1226F4FB39F3}"/>
    <cellStyle name="Normal 3 2 3 2 5 3 3" xfId="15278" xr:uid="{C2917471-589B-4C0A-8A33-15315FB2753C}"/>
    <cellStyle name="Normal 3 2 3 2 5 3 4" xfId="32172" xr:uid="{CB63C50F-392A-416F-98A5-CF409772EBDF}"/>
    <cellStyle name="Normal 3 2 3 2 5 4" xfId="19508" xr:uid="{6D75230A-1507-4913-84F8-69283380802E}"/>
    <cellStyle name="Normal 3 2 3 2 5 4 2" xfId="36402" xr:uid="{63AD1C42-9A26-44B4-A2EC-F189888EE099}"/>
    <cellStyle name="Normal 3 2 3 2 5 5" xfId="11061" xr:uid="{963A07D6-5EFD-45D3-BD0B-2E25724E4602}"/>
    <cellStyle name="Normal 3 2 3 2 5 6" xfId="27955" xr:uid="{2BAC34B2-CB12-419F-A275-A8A558F9D59C}"/>
    <cellStyle name="Normal 3 2 3 2 6" xfId="2059" xr:uid="{00000000-0005-0000-0000-0000A0110000}"/>
    <cellStyle name="Normal 3 2 3 2 6 2" xfId="4288" xr:uid="{00000000-0005-0000-0000-0000A1110000}"/>
    <cellStyle name="Normal 3 2 3 2 6 2 2" xfId="8510" xr:uid="{00000000-0005-0000-0000-0000A2110000}"/>
    <cellStyle name="Normal 3 2 3 2 6 2 2 2" xfId="26283" xr:uid="{D7BC2B4F-2F08-40B9-B059-CE3C50EC872A}"/>
    <cellStyle name="Normal 3 2 3 2 6 2 2 2 2" xfId="43177" xr:uid="{D3200AED-A2CB-4EA7-A949-AED3F431683D}"/>
    <cellStyle name="Normal 3 2 3 2 6 2 2 3" xfId="17836" xr:uid="{0BE3F8CC-7457-4072-84C8-CD16DBAF41B6}"/>
    <cellStyle name="Normal 3 2 3 2 6 2 2 4" xfId="34730" xr:uid="{76EF7625-770A-42B0-AE14-046B384F0BA6}"/>
    <cellStyle name="Normal 3 2 3 2 6 2 3" xfId="22066" xr:uid="{43FCD820-785B-431B-8336-B912A8B5507B}"/>
    <cellStyle name="Normal 3 2 3 2 6 2 3 2" xfId="38960" xr:uid="{97F762FF-DC38-454E-8BBF-6FEED0229C7E}"/>
    <cellStyle name="Normal 3 2 3 2 6 2 4" xfId="13619" xr:uid="{E33C93B5-4BD2-48A9-A242-0D47B457AC32}"/>
    <cellStyle name="Normal 3 2 3 2 6 2 5" xfId="30513" xr:uid="{3DB7A53B-765D-4D05-88D5-C9F04AAA579D}"/>
    <cellStyle name="Normal 3 2 3 2 6 3" xfId="6365" xr:uid="{00000000-0005-0000-0000-0000A3110000}"/>
    <cellStyle name="Normal 3 2 3 2 6 3 2" xfId="24138" xr:uid="{4BF9C68C-9CA1-4679-A976-AB2FA1726ECB}"/>
    <cellStyle name="Normal 3 2 3 2 6 3 2 2" xfId="41032" xr:uid="{732AF202-FF6D-45AB-B783-F618CADAE30F}"/>
    <cellStyle name="Normal 3 2 3 2 6 3 3" xfId="15691" xr:uid="{9F42D4B6-AE30-4979-8FCF-3DA4CB3503A9}"/>
    <cellStyle name="Normal 3 2 3 2 6 3 4" xfId="32585" xr:uid="{94452129-BCD9-4F5D-A024-4CC56BF14234}"/>
    <cellStyle name="Normal 3 2 3 2 6 4" xfId="19921" xr:uid="{9BCFE2B9-03B3-4AED-B5CE-812629A47D53}"/>
    <cellStyle name="Normal 3 2 3 2 6 4 2" xfId="36815" xr:uid="{661F22D2-8F45-409E-A5BA-3DD5C2B1CF9D}"/>
    <cellStyle name="Normal 3 2 3 2 6 5" xfId="11474" xr:uid="{5667052E-81AE-44E0-8956-A66B69BB038E}"/>
    <cellStyle name="Normal 3 2 3 2 6 6" xfId="28368" xr:uid="{F118DC6A-2016-4C92-B782-426AFADE9494}"/>
    <cellStyle name="Normal 3 2 3 2 7" xfId="2495" xr:uid="{00000000-0005-0000-0000-0000A4110000}"/>
    <cellStyle name="Normal 3 2 3 2 7 2" xfId="6778" xr:uid="{00000000-0005-0000-0000-0000A5110000}"/>
    <cellStyle name="Normal 3 2 3 2 7 2 2" xfId="24551" xr:uid="{1A8BE11A-6838-484E-90CB-E2CA4A41C079}"/>
    <cellStyle name="Normal 3 2 3 2 7 2 2 2" xfId="41445" xr:uid="{1537D125-6E89-493F-9B53-B17F9F5942B0}"/>
    <cellStyle name="Normal 3 2 3 2 7 2 3" xfId="16104" xr:uid="{B0EBCAF8-37CB-462C-98CE-F4E2D1226C26}"/>
    <cellStyle name="Normal 3 2 3 2 7 2 4" xfId="32998" xr:uid="{6A80181A-6945-4A69-8016-B356A38FF6A3}"/>
    <cellStyle name="Normal 3 2 3 2 7 3" xfId="20334" xr:uid="{5ACBD0B4-B883-4673-9FAC-20519E3294C5}"/>
    <cellStyle name="Normal 3 2 3 2 7 3 2" xfId="37228" xr:uid="{B3608EFD-1C3D-4948-8A32-D7E1C84CA8A4}"/>
    <cellStyle name="Normal 3 2 3 2 7 4" xfId="11887" xr:uid="{028CFD36-36E1-4BCD-9B5B-59335628C32F}"/>
    <cellStyle name="Normal 3 2 3 2 7 5" xfId="28781" xr:uid="{53B8673B-6B4A-4B3C-9B17-FFE9B6E71E86}"/>
    <cellStyle name="Normal 3 2 3 2 8" xfId="4712" xr:uid="{00000000-0005-0000-0000-0000A6110000}"/>
    <cellStyle name="Normal 3 2 3 2 8 2" xfId="22485" xr:uid="{E2DADD13-CD45-4631-BC82-C75D45E2FB70}"/>
    <cellStyle name="Normal 3 2 3 2 8 2 2" xfId="39379" xr:uid="{8025B70E-CB61-4FDA-B69F-5124AFD6825E}"/>
    <cellStyle name="Normal 3 2 3 2 8 3" xfId="14038" xr:uid="{24143198-1993-4E7D-B1B3-69765C6C7947}"/>
    <cellStyle name="Normal 3 2 3 2 8 4" xfId="30932" xr:uid="{8A03F748-AFAF-4305-8BB2-5FAB6829C3E5}"/>
    <cellStyle name="Normal 3 2 3 2 9" xfId="8920" xr:uid="{D9E0825A-068A-435C-BDBE-2C0571A11FAF}"/>
    <cellStyle name="Normal 3 2 3 2 9 2" xfId="18268" xr:uid="{8DF1BA3D-DD98-4C2A-BEC4-A67A2ACD8D01}"/>
    <cellStyle name="Normal 3 2 3 2 9 3" xfId="35162" xr:uid="{CB454A1C-54E0-4AA2-9EB6-4CAFF1860371}"/>
    <cellStyle name="Normal 3 2 3 3" xfId="329" xr:uid="{00000000-0005-0000-0000-0000A7110000}"/>
    <cellStyle name="Normal 3 2 3 3 10" xfId="26717" xr:uid="{063A1F20-0019-4668-8ADD-BCD0989AF05E}"/>
    <cellStyle name="Normal 3 2 3 3 2" xfId="814" xr:uid="{00000000-0005-0000-0000-0000A8110000}"/>
    <cellStyle name="Normal 3 2 3 3 2 2" xfId="3051" xr:uid="{00000000-0005-0000-0000-0000A9110000}"/>
    <cellStyle name="Normal 3 2 3 3 2 2 2" xfId="7273" xr:uid="{00000000-0005-0000-0000-0000AA110000}"/>
    <cellStyle name="Normal 3 2 3 3 2 2 2 2" xfId="25046" xr:uid="{476F5AAA-EBD1-4902-A905-66234933E3EF}"/>
    <cellStyle name="Normal 3 2 3 3 2 2 2 2 2" xfId="41940" xr:uid="{E6931952-AC7F-471F-AA5F-B4ACA869269E}"/>
    <cellStyle name="Normal 3 2 3 3 2 2 2 3" xfId="16599" xr:uid="{993248EC-3B83-43BE-BF4B-AE310DE8C48E}"/>
    <cellStyle name="Normal 3 2 3 3 2 2 2 4" xfId="33493" xr:uid="{E72842F4-1135-468F-BEB1-54745A12DAF5}"/>
    <cellStyle name="Normal 3 2 3 3 2 2 3" xfId="20829" xr:uid="{D71BE22B-DDA7-4D4E-90D0-E4518EC50D71}"/>
    <cellStyle name="Normal 3 2 3 3 2 2 3 2" xfId="37723" xr:uid="{39B51AF8-DA99-4DCF-BB33-033BC3EA332F}"/>
    <cellStyle name="Normal 3 2 3 3 2 2 4" xfId="12382" xr:uid="{BFC510A9-BBE9-4816-BDB2-4B02A2035661}"/>
    <cellStyle name="Normal 3 2 3 3 2 2 5" xfId="29276" xr:uid="{171C7BC2-89A8-4916-8FB7-D0D431032D66}"/>
    <cellStyle name="Normal 3 2 3 3 2 3" xfId="5128" xr:uid="{00000000-0005-0000-0000-0000AB110000}"/>
    <cellStyle name="Normal 3 2 3 3 2 3 2" xfId="22901" xr:uid="{13C18767-782F-4682-A2EE-11F1D18626B8}"/>
    <cellStyle name="Normal 3 2 3 3 2 3 2 2" xfId="39795" xr:uid="{CA97E552-7C20-458A-AAC4-DFCDABDBDBCB}"/>
    <cellStyle name="Normal 3 2 3 3 2 3 3" xfId="14454" xr:uid="{0F113D75-BC39-4DD1-9F46-91CDF7A51F4C}"/>
    <cellStyle name="Normal 3 2 3 3 2 3 4" xfId="31348" xr:uid="{EF0985D8-4A33-4A6E-91F5-088553900172}"/>
    <cellStyle name="Normal 3 2 3 3 2 4" xfId="9449" xr:uid="{7F58A2DC-DF16-44D1-8D09-04DD41EF4468}"/>
    <cellStyle name="Normal 3 2 3 3 2 4 2" xfId="18684" xr:uid="{6413052C-739A-411C-9AC7-94E58D0C7F5B}"/>
    <cellStyle name="Normal 3 2 3 3 2 4 3" xfId="35578" xr:uid="{7277DE13-F58A-4350-ADF7-15EB3F8A01FB}"/>
    <cellStyle name="Normal 3 2 3 3 2 5" xfId="10237" xr:uid="{604F3110-E9F6-4E84-B948-324BE5D21654}"/>
    <cellStyle name="Normal 3 2 3 3 2 6" xfId="27131" xr:uid="{9BA3A268-9AD4-45E0-9553-DC14F16200B7}"/>
    <cellStyle name="Normal 3 2 3 3 3" xfId="1234" xr:uid="{00000000-0005-0000-0000-0000AC110000}"/>
    <cellStyle name="Normal 3 2 3 3 3 2" xfId="3464" xr:uid="{00000000-0005-0000-0000-0000AD110000}"/>
    <cellStyle name="Normal 3 2 3 3 3 2 2" xfId="7686" xr:uid="{00000000-0005-0000-0000-0000AE110000}"/>
    <cellStyle name="Normal 3 2 3 3 3 2 2 2" xfId="25459" xr:uid="{DFDBE212-10CC-4203-B64A-8420FB539E61}"/>
    <cellStyle name="Normal 3 2 3 3 3 2 2 2 2" xfId="42353" xr:uid="{35822B1F-FC67-4116-BF6C-EE64886EBC38}"/>
    <cellStyle name="Normal 3 2 3 3 3 2 2 3" xfId="17012" xr:uid="{D681CB82-EEF5-415D-94B7-EC6AC9628F4F}"/>
    <cellStyle name="Normal 3 2 3 3 3 2 2 4" xfId="33906" xr:uid="{C035C254-DF00-4019-9F70-193DA0C8F7F4}"/>
    <cellStyle name="Normal 3 2 3 3 3 2 3" xfId="21242" xr:uid="{155BD725-AFC0-4AE0-B2D6-F81C5DA635CA}"/>
    <cellStyle name="Normal 3 2 3 3 3 2 3 2" xfId="38136" xr:uid="{EFAA216F-EE24-4DF7-9BC8-B81ED00BA14A}"/>
    <cellStyle name="Normal 3 2 3 3 3 2 4" xfId="12795" xr:uid="{00F0FCD5-CFAE-4153-ADFF-37AE7F461693}"/>
    <cellStyle name="Normal 3 2 3 3 3 2 5" xfId="29689" xr:uid="{7774BD6C-1B71-4E3A-996B-EBD867D3B05E}"/>
    <cellStyle name="Normal 3 2 3 3 3 3" xfId="5541" xr:uid="{00000000-0005-0000-0000-0000AF110000}"/>
    <cellStyle name="Normal 3 2 3 3 3 3 2" xfId="23314" xr:uid="{16A48C5D-B3F5-45C5-8748-D702E777553B}"/>
    <cellStyle name="Normal 3 2 3 3 3 3 2 2" xfId="40208" xr:uid="{5F0B6327-050E-4EB2-867A-715A87B5ECF3}"/>
    <cellStyle name="Normal 3 2 3 3 3 3 3" xfId="14867" xr:uid="{FDA8A5F6-849A-4AFF-99C2-D9047778B82F}"/>
    <cellStyle name="Normal 3 2 3 3 3 3 4" xfId="31761" xr:uid="{1A6C32D3-35B1-4FA3-88AF-27C9A4613D24}"/>
    <cellStyle name="Normal 3 2 3 3 3 4" xfId="19097" xr:uid="{0B27B1DB-CADE-43E6-BE14-A0EF9821BBD1}"/>
    <cellStyle name="Normal 3 2 3 3 3 4 2" xfId="35991" xr:uid="{F45F027B-29A2-40AD-9F1C-FC0AEC2A1D58}"/>
    <cellStyle name="Normal 3 2 3 3 3 5" xfId="10650" xr:uid="{DC5F7E4E-24C0-44A4-A45E-D504E3CA40B1}"/>
    <cellStyle name="Normal 3 2 3 3 3 6" xfId="27544" xr:uid="{5A12088C-CD3D-4BCC-8AD4-9D009F978D23}"/>
    <cellStyle name="Normal 3 2 3 3 4" xfId="1647" xr:uid="{00000000-0005-0000-0000-0000B0110000}"/>
    <cellStyle name="Normal 3 2 3 3 4 2" xfId="3877" xr:uid="{00000000-0005-0000-0000-0000B1110000}"/>
    <cellStyle name="Normal 3 2 3 3 4 2 2" xfId="8099" xr:uid="{00000000-0005-0000-0000-0000B2110000}"/>
    <cellStyle name="Normal 3 2 3 3 4 2 2 2" xfId="25872" xr:uid="{CB094956-9425-427E-899F-89304F925D34}"/>
    <cellStyle name="Normal 3 2 3 3 4 2 2 2 2" xfId="42766" xr:uid="{9554B45E-D82D-43BD-85FA-5857AB2D312A}"/>
    <cellStyle name="Normal 3 2 3 3 4 2 2 3" xfId="17425" xr:uid="{F40E3B82-8956-4AC2-88BB-01DD67349033}"/>
    <cellStyle name="Normal 3 2 3 3 4 2 2 4" xfId="34319" xr:uid="{1B94F93E-FF1C-4B80-92A3-3491189C4A70}"/>
    <cellStyle name="Normal 3 2 3 3 4 2 3" xfId="21655" xr:uid="{34C5C964-E8E9-470E-90D5-8D8E3623DAD1}"/>
    <cellStyle name="Normal 3 2 3 3 4 2 3 2" xfId="38549" xr:uid="{FDA80933-EF98-4790-8FA3-EC66F55330C8}"/>
    <cellStyle name="Normal 3 2 3 3 4 2 4" xfId="13208" xr:uid="{3F582088-EA40-492B-AEDB-01D7A8D56FD0}"/>
    <cellStyle name="Normal 3 2 3 3 4 2 5" xfId="30102" xr:uid="{D1674B67-EE22-4948-99A0-EEBF0F57C14A}"/>
    <cellStyle name="Normal 3 2 3 3 4 3" xfId="5954" xr:uid="{00000000-0005-0000-0000-0000B3110000}"/>
    <cellStyle name="Normal 3 2 3 3 4 3 2" xfId="23727" xr:uid="{DDE7FF9A-8F40-4E39-AA8E-AE72DC42DE97}"/>
    <cellStyle name="Normal 3 2 3 3 4 3 2 2" xfId="40621" xr:uid="{AF8B4B3D-4DC0-43F4-B8FA-AEEB290593F7}"/>
    <cellStyle name="Normal 3 2 3 3 4 3 3" xfId="15280" xr:uid="{8A1F87C2-9188-4DCA-86C0-1D7C0E8A6560}"/>
    <cellStyle name="Normal 3 2 3 3 4 3 4" xfId="32174" xr:uid="{4CCB3121-15C7-4C85-A5AC-C9B1C5068CE9}"/>
    <cellStyle name="Normal 3 2 3 3 4 4" xfId="19510" xr:uid="{31E26DF5-9557-4D90-AC9C-96AE59314F0B}"/>
    <cellStyle name="Normal 3 2 3 3 4 4 2" xfId="36404" xr:uid="{427910E0-2CB6-4782-BA71-9CF2A396BF17}"/>
    <cellStyle name="Normal 3 2 3 3 4 5" xfId="11063" xr:uid="{5DFBE5D2-6862-4D12-A941-C83A90BD8C6D}"/>
    <cellStyle name="Normal 3 2 3 3 4 6" xfId="27957" xr:uid="{823BFF41-BEF6-41D4-9BA9-AE78A4DE3D1F}"/>
    <cellStyle name="Normal 3 2 3 3 5" xfId="2061" xr:uid="{00000000-0005-0000-0000-0000B4110000}"/>
    <cellStyle name="Normal 3 2 3 3 5 2" xfId="4290" xr:uid="{00000000-0005-0000-0000-0000B5110000}"/>
    <cellStyle name="Normal 3 2 3 3 5 2 2" xfId="8512" xr:uid="{00000000-0005-0000-0000-0000B6110000}"/>
    <cellStyle name="Normal 3 2 3 3 5 2 2 2" xfId="26285" xr:uid="{E1FC987A-C913-4DFD-A0FE-8BB743F55034}"/>
    <cellStyle name="Normal 3 2 3 3 5 2 2 2 2" xfId="43179" xr:uid="{623F2C5D-79F2-48F6-9B9A-2CC4E6A9BF78}"/>
    <cellStyle name="Normal 3 2 3 3 5 2 2 3" xfId="17838" xr:uid="{2186DC9B-9467-4183-927C-497808989FE3}"/>
    <cellStyle name="Normal 3 2 3 3 5 2 2 4" xfId="34732" xr:uid="{7017CE66-D9FD-4AFD-A3F4-1A8B0D328D91}"/>
    <cellStyle name="Normal 3 2 3 3 5 2 3" xfId="22068" xr:uid="{50E858BE-43C3-4EC2-92A8-CDFA393881EF}"/>
    <cellStyle name="Normal 3 2 3 3 5 2 3 2" xfId="38962" xr:uid="{2D72749A-D800-4C13-B98F-26C78EBAA786}"/>
    <cellStyle name="Normal 3 2 3 3 5 2 4" xfId="13621" xr:uid="{2F3F8EEF-9FEA-4E7C-B698-72B9DC94F818}"/>
    <cellStyle name="Normal 3 2 3 3 5 2 5" xfId="30515" xr:uid="{278A7CDB-C8AD-47E8-B67F-EB58F20AD87A}"/>
    <cellStyle name="Normal 3 2 3 3 5 3" xfId="6367" xr:uid="{00000000-0005-0000-0000-0000B7110000}"/>
    <cellStyle name="Normal 3 2 3 3 5 3 2" xfId="24140" xr:uid="{DDED9AB2-748A-41AC-95AA-AE25F2C3C3CA}"/>
    <cellStyle name="Normal 3 2 3 3 5 3 2 2" xfId="41034" xr:uid="{71D09640-21A9-49F1-A4A0-BAD8F5F57D6C}"/>
    <cellStyle name="Normal 3 2 3 3 5 3 3" xfId="15693" xr:uid="{AE0E2E27-42A2-4D14-A5A9-540A3B973BBA}"/>
    <cellStyle name="Normal 3 2 3 3 5 3 4" xfId="32587" xr:uid="{EC75B205-3196-447F-9EE6-BD86D8BA5D90}"/>
    <cellStyle name="Normal 3 2 3 3 5 4" xfId="19923" xr:uid="{FCFFBB3D-8B26-43B6-8189-4C3A62FFABBA}"/>
    <cellStyle name="Normal 3 2 3 3 5 4 2" xfId="36817" xr:uid="{837350A8-DD55-4045-B7B5-C554E27473AB}"/>
    <cellStyle name="Normal 3 2 3 3 5 5" xfId="11476" xr:uid="{7113B69C-1603-40DB-9C88-3B61E43B95CF}"/>
    <cellStyle name="Normal 3 2 3 3 5 6" xfId="28370" xr:uid="{0C932983-DF87-46C6-A1F6-219C2EB6B417}"/>
    <cellStyle name="Normal 3 2 3 3 6" xfId="2497" xr:uid="{00000000-0005-0000-0000-0000B8110000}"/>
    <cellStyle name="Normal 3 2 3 3 6 2" xfId="6780" xr:uid="{00000000-0005-0000-0000-0000B9110000}"/>
    <cellStyle name="Normal 3 2 3 3 6 2 2" xfId="24553" xr:uid="{2D2A15C2-4B87-4DED-9C8A-59F3A48C46B4}"/>
    <cellStyle name="Normal 3 2 3 3 6 2 2 2" xfId="41447" xr:uid="{520366BC-F877-4932-8EF9-73F2EDEDDEEC}"/>
    <cellStyle name="Normal 3 2 3 3 6 2 3" xfId="16106" xr:uid="{D235BDEA-A9EA-439B-8FB6-4297B3111241}"/>
    <cellStyle name="Normal 3 2 3 3 6 2 4" xfId="33000" xr:uid="{884004E0-4D3F-4175-96FA-3A9153A4A8FA}"/>
    <cellStyle name="Normal 3 2 3 3 6 3" xfId="20336" xr:uid="{FD220A57-32C3-420D-AB68-6A84516115B2}"/>
    <cellStyle name="Normal 3 2 3 3 6 3 2" xfId="37230" xr:uid="{D6354941-FE21-4A93-BB23-C4DE954EAD1D}"/>
    <cellStyle name="Normal 3 2 3 3 6 4" xfId="11889" xr:uid="{D2F64431-177E-447D-82DF-9458774FFB95}"/>
    <cellStyle name="Normal 3 2 3 3 6 5" xfId="28783" xr:uid="{3F212E86-DC4C-40FE-94DA-61B6E4E2C2C7}"/>
    <cellStyle name="Normal 3 2 3 3 7" xfId="4714" xr:uid="{00000000-0005-0000-0000-0000BA110000}"/>
    <cellStyle name="Normal 3 2 3 3 7 2" xfId="22487" xr:uid="{B8AE4070-10C2-4B26-8BF8-9DA293C71063}"/>
    <cellStyle name="Normal 3 2 3 3 7 2 2" xfId="39381" xr:uid="{AA48C8B5-A835-404A-A297-D2875D1CCD93}"/>
    <cellStyle name="Normal 3 2 3 3 7 3" xfId="14040" xr:uid="{B1855ABB-E3E9-49BB-A891-95DA14BB411F}"/>
    <cellStyle name="Normal 3 2 3 3 7 4" xfId="30934" xr:uid="{57D15C1E-7903-4795-BFD6-F3857E5BB98D}"/>
    <cellStyle name="Normal 3 2 3 3 8" xfId="9024" xr:uid="{AE2F680F-18A3-47B5-ADCF-6BEAD71D50CE}"/>
    <cellStyle name="Normal 3 2 3 3 8 2" xfId="18270" xr:uid="{436BED98-B2C6-4B4A-A87B-F35E8B0795EB}"/>
    <cellStyle name="Normal 3 2 3 3 8 3" xfId="35164" xr:uid="{F1170CAC-8226-4B8B-8D63-388624265CF3}"/>
    <cellStyle name="Normal 3 2 3 3 9" xfId="9823" xr:uid="{23B899B2-13A8-4204-A035-C4EFB0D66B3E}"/>
    <cellStyle name="Normal 3 2 3 4" xfId="811" xr:uid="{00000000-0005-0000-0000-0000BB110000}"/>
    <cellStyle name="Normal 3 2 3 4 2" xfId="3048" xr:uid="{00000000-0005-0000-0000-0000BC110000}"/>
    <cellStyle name="Normal 3 2 3 4 2 2" xfId="7270" xr:uid="{00000000-0005-0000-0000-0000BD110000}"/>
    <cellStyle name="Normal 3 2 3 4 2 2 2" xfId="25043" xr:uid="{1AD3FF82-B5FB-4717-817C-F6D9693AD8F9}"/>
    <cellStyle name="Normal 3 2 3 4 2 2 2 2" xfId="41937" xr:uid="{7DB036CB-45BA-4A62-8D73-0989788B5413}"/>
    <cellStyle name="Normal 3 2 3 4 2 2 3" xfId="16596" xr:uid="{E62982A7-921E-4E66-A60B-422E364BF698}"/>
    <cellStyle name="Normal 3 2 3 4 2 2 4" xfId="33490" xr:uid="{30ADBA43-B8E8-4138-8D1C-E01ACE30618F}"/>
    <cellStyle name="Normal 3 2 3 4 2 3" xfId="20826" xr:uid="{8E221C81-4DEF-45D4-B39D-615455741A5C}"/>
    <cellStyle name="Normal 3 2 3 4 2 3 2" xfId="37720" xr:uid="{797A9B09-F79E-4BB1-9F17-94C1038BA853}"/>
    <cellStyle name="Normal 3 2 3 4 2 4" xfId="12379" xr:uid="{74CDAAF7-011B-49F8-8313-47F45F8AC2D7}"/>
    <cellStyle name="Normal 3 2 3 4 2 5" xfId="29273" xr:uid="{C63441A5-D713-404E-AC05-1561CCAE8272}"/>
    <cellStyle name="Normal 3 2 3 4 3" xfId="5125" xr:uid="{00000000-0005-0000-0000-0000BE110000}"/>
    <cellStyle name="Normal 3 2 3 4 3 2" xfId="22898" xr:uid="{04A2F49B-7BD4-4CA9-9102-B3F0E5EBBFBD}"/>
    <cellStyle name="Normal 3 2 3 4 3 2 2" xfId="39792" xr:uid="{DC5B28CE-4567-49EC-9AE8-80A79AC3EBA4}"/>
    <cellStyle name="Normal 3 2 3 4 3 3" xfId="14451" xr:uid="{47156833-8569-4770-B59E-C8DC840BB5CF}"/>
    <cellStyle name="Normal 3 2 3 4 3 4" xfId="31345" xr:uid="{7F315D55-8875-4799-81A9-C6D50A0CD187}"/>
    <cellStyle name="Normal 3 2 3 4 4" xfId="9242" xr:uid="{05AEEDFF-7EEB-40DB-B13D-145C971A771B}"/>
    <cellStyle name="Normal 3 2 3 4 4 2" xfId="18681" xr:uid="{18C14699-361B-4F95-9781-D2CB89D4144E}"/>
    <cellStyle name="Normal 3 2 3 4 4 3" xfId="35575" xr:uid="{AA51816F-5D03-47E1-920B-14A13B4B69E4}"/>
    <cellStyle name="Normal 3 2 3 4 5" xfId="10234" xr:uid="{B897F065-1B45-4F78-89E5-FD3B33A7BF44}"/>
    <cellStyle name="Normal 3 2 3 4 6" xfId="27128" xr:uid="{C0A50E77-DF2B-40FD-9972-FDD285AC01A6}"/>
    <cellStyle name="Normal 3 2 3 5" xfId="1231" xr:uid="{00000000-0005-0000-0000-0000BF110000}"/>
    <cellStyle name="Normal 3 2 3 5 2" xfId="3461" xr:uid="{00000000-0005-0000-0000-0000C0110000}"/>
    <cellStyle name="Normal 3 2 3 5 2 2" xfId="7683" xr:uid="{00000000-0005-0000-0000-0000C1110000}"/>
    <cellStyle name="Normal 3 2 3 5 2 2 2" xfId="25456" xr:uid="{E484B42F-F5DB-4B77-B908-69F8AAF584A3}"/>
    <cellStyle name="Normal 3 2 3 5 2 2 2 2" xfId="42350" xr:uid="{76688DD2-223E-4D3E-9566-85A134832339}"/>
    <cellStyle name="Normal 3 2 3 5 2 2 3" xfId="17009" xr:uid="{F23518D4-C622-4748-82CA-E55B1E99A1BC}"/>
    <cellStyle name="Normal 3 2 3 5 2 2 4" xfId="33903" xr:uid="{AB504AFE-FFC7-4E82-9C1D-DD0D9F5626DE}"/>
    <cellStyle name="Normal 3 2 3 5 2 3" xfId="21239" xr:uid="{7388D326-B306-47F6-B69C-5890631157B0}"/>
    <cellStyle name="Normal 3 2 3 5 2 3 2" xfId="38133" xr:uid="{3790CB4E-C970-4825-AAF1-5C9A8CF78728}"/>
    <cellStyle name="Normal 3 2 3 5 2 4" xfId="12792" xr:uid="{62DEC28E-299B-4972-AC3C-79338977667C}"/>
    <cellStyle name="Normal 3 2 3 5 2 5" xfId="29686" xr:uid="{3B41698B-4847-479D-BD61-34ECD3F47227}"/>
    <cellStyle name="Normal 3 2 3 5 3" xfId="5538" xr:uid="{00000000-0005-0000-0000-0000C2110000}"/>
    <cellStyle name="Normal 3 2 3 5 3 2" xfId="23311" xr:uid="{28EA6F03-56B9-4AB3-8A76-B62B378508AA}"/>
    <cellStyle name="Normal 3 2 3 5 3 2 2" xfId="40205" xr:uid="{378174CB-BBE0-4EC9-8642-5EEC60A1FA45}"/>
    <cellStyle name="Normal 3 2 3 5 3 3" xfId="14864" xr:uid="{CDD76471-1C51-4282-B350-E63C7E3FB6B3}"/>
    <cellStyle name="Normal 3 2 3 5 3 4" xfId="31758" xr:uid="{D911EFD6-C218-464E-BF3E-0FA939B12BEC}"/>
    <cellStyle name="Normal 3 2 3 5 4" xfId="19094" xr:uid="{573E08ED-70FC-4136-ACED-941B77CCA910}"/>
    <cellStyle name="Normal 3 2 3 5 4 2" xfId="35988" xr:uid="{E105E5C0-B104-49CA-8AD1-08407F077BA9}"/>
    <cellStyle name="Normal 3 2 3 5 5" xfId="10647" xr:uid="{1B0B458F-BF3F-45A9-876E-082977244BD3}"/>
    <cellStyle name="Normal 3 2 3 5 6" xfId="27541" xr:uid="{17583BAB-9114-4F5F-A427-ACB871FD68DE}"/>
    <cellStyle name="Normal 3 2 3 6" xfId="1644" xr:uid="{00000000-0005-0000-0000-0000C3110000}"/>
    <cellStyle name="Normal 3 2 3 6 2" xfId="3874" xr:uid="{00000000-0005-0000-0000-0000C4110000}"/>
    <cellStyle name="Normal 3 2 3 6 2 2" xfId="8096" xr:uid="{00000000-0005-0000-0000-0000C5110000}"/>
    <cellStyle name="Normal 3 2 3 6 2 2 2" xfId="25869" xr:uid="{A373BC70-9423-42F9-9333-23127F9DB763}"/>
    <cellStyle name="Normal 3 2 3 6 2 2 2 2" xfId="42763" xr:uid="{A657F5FC-F25A-4C75-88A3-B619D64B7570}"/>
    <cellStyle name="Normal 3 2 3 6 2 2 3" xfId="17422" xr:uid="{DD01B3AE-19CE-4D8D-87E5-2B284AEDB920}"/>
    <cellStyle name="Normal 3 2 3 6 2 2 4" xfId="34316" xr:uid="{97C7D5BE-65CC-456B-A4A6-DB38BFD8BEF3}"/>
    <cellStyle name="Normal 3 2 3 6 2 3" xfId="21652" xr:uid="{26E54FB1-ECD0-4349-8DA4-D4EDF9677A89}"/>
    <cellStyle name="Normal 3 2 3 6 2 3 2" xfId="38546" xr:uid="{820E91C4-73DE-44C2-96B9-7C393A435AD2}"/>
    <cellStyle name="Normal 3 2 3 6 2 4" xfId="13205" xr:uid="{8506A1B8-56A9-4BE9-A4F3-43B1356F7DEC}"/>
    <cellStyle name="Normal 3 2 3 6 2 5" xfId="30099" xr:uid="{6ABBB639-10AE-4264-90DF-5FD5AD9FC9CE}"/>
    <cellStyle name="Normal 3 2 3 6 3" xfId="5951" xr:uid="{00000000-0005-0000-0000-0000C6110000}"/>
    <cellStyle name="Normal 3 2 3 6 3 2" xfId="23724" xr:uid="{73E98CB2-8C32-4F18-AFEA-2A9D2D036B66}"/>
    <cellStyle name="Normal 3 2 3 6 3 2 2" xfId="40618" xr:uid="{165E294B-02C2-402B-B17A-2C94C3D015E7}"/>
    <cellStyle name="Normal 3 2 3 6 3 3" xfId="15277" xr:uid="{B558549B-4557-4867-9DB6-5C8358FABC56}"/>
    <cellStyle name="Normal 3 2 3 6 3 4" xfId="32171" xr:uid="{DBD8B28E-404B-4469-8CC8-340BE2F28D57}"/>
    <cellStyle name="Normal 3 2 3 6 4" xfId="19507" xr:uid="{267DF4BA-4AC3-423F-BB5E-ED58629BF996}"/>
    <cellStyle name="Normal 3 2 3 6 4 2" xfId="36401" xr:uid="{CE427CE1-EB44-4B77-8190-855817CCB444}"/>
    <cellStyle name="Normal 3 2 3 6 5" xfId="11060" xr:uid="{0CA900ED-1094-4346-BFB2-287795FE793B}"/>
    <cellStyle name="Normal 3 2 3 6 6" xfId="27954" xr:uid="{2255829E-C54D-4C1E-A422-8D5A8F86D53B}"/>
    <cellStyle name="Normal 3 2 3 7" xfId="2058" xr:uid="{00000000-0005-0000-0000-0000C7110000}"/>
    <cellStyle name="Normal 3 2 3 7 2" xfId="4287" xr:uid="{00000000-0005-0000-0000-0000C8110000}"/>
    <cellStyle name="Normal 3 2 3 7 2 2" xfId="8509" xr:uid="{00000000-0005-0000-0000-0000C9110000}"/>
    <cellStyle name="Normal 3 2 3 7 2 2 2" xfId="26282" xr:uid="{44BAEEF0-D2F2-4029-A8E4-9182F49609F2}"/>
    <cellStyle name="Normal 3 2 3 7 2 2 2 2" xfId="43176" xr:uid="{87C8A819-B322-4BF4-A2F1-E653A2C83221}"/>
    <cellStyle name="Normal 3 2 3 7 2 2 3" xfId="17835" xr:uid="{4FCEC1AB-0A77-4B88-8DF1-D26CECB06B09}"/>
    <cellStyle name="Normal 3 2 3 7 2 2 4" xfId="34729" xr:uid="{DB9B093D-3D21-445E-8297-C1F938B99C90}"/>
    <cellStyle name="Normal 3 2 3 7 2 3" xfId="22065" xr:uid="{D03BB0C1-C468-4BB5-9717-A671207007FF}"/>
    <cellStyle name="Normal 3 2 3 7 2 3 2" xfId="38959" xr:uid="{0507F98C-DA39-43E7-8DA0-D7473054B699}"/>
    <cellStyle name="Normal 3 2 3 7 2 4" xfId="13618" xr:uid="{F6F02E7D-68F7-43FA-961B-A8425FCED63F}"/>
    <cellStyle name="Normal 3 2 3 7 2 5" xfId="30512" xr:uid="{94B4261C-0142-4B52-A2A9-B0516DA5BA0F}"/>
    <cellStyle name="Normal 3 2 3 7 3" xfId="6364" xr:uid="{00000000-0005-0000-0000-0000CA110000}"/>
    <cellStyle name="Normal 3 2 3 7 3 2" xfId="24137" xr:uid="{A4DB91CE-F804-4D6B-A14B-6BE6AB7A7D6E}"/>
    <cellStyle name="Normal 3 2 3 7 3 2 2" xfId="41031" xr:uid="{8570D067-21C8-4CCC-B344-42C302C5367C}"/>
    <cellStyle name="Normal 3 2 3 7 3 3" xfId="15690" xr:uid="{A31F3FD0-C52E-4601-B2EA-CC166EA72C05}"/>
    <cellStyle name="Normal 3 2 3 7 3 4" xfId="32584" xr:uid="{E0DB03C0-5C10-48FA-B8CF-0841FF9C8F0B}"/>
    <cellStyle name="Normal 3 2 3 7 4" xfId="19920" xr:uid="{FA09B75E-4EAA-4607-854F-9F8595AC48AA}"/>
    <cellStyle name="Normal 3 2 3 7 4 2" xfId="36814" xr:uid="{BCC6452A-F50E-4C46-AD93-D3DA1B8447C3}"/>
    <cellStyle name="Normal 3 2 3 7 5" xfId="11473" xr:uid="{968DF2D0-7D6B-4DBD-B962-8E2FA8CF9DC1}"/>
    <cellStyle name="Normal 3 2 3 7 6" xfId="28367" xr:uid="{0D229E77-3687-472C-AD61-6122C5B0E812}"/>
    <cellStyle name="Normal 3 2 3 8" xfId="2494" xr:uid="{00000000-0005-0000-0000-0000CB110000}"/>
    <cellStyle name="Normal 3 2 3 8 2" xfId="6777" xr:uid="{00000000-0005-0000-0000-0000CC110000}"/>
    <cellStyle name="Normal 3 2 3 8 2 2" xfId="24550" xr:uid="{03270AA7-EFC7-4E76-AC0C-E531A6C0895F}"/>
    <cellStyle name="Normal 3 2 3 8 2 2 2" xfId="41444" xr:uid="{397237ED-F7E5-4E6E-AF2C-D3CF37A3F546}"/>
    <cellStyle name="Normal 3 2 3 8 2 3" xfId="16103" xr:uid="{6E02F9AC-3FD3-455C-811E-FED046FA9A4D}"/>
    <cellStyle name="Normal 3 2 3 8 2 4" xfId="32997" xr:uid="{1E0F73FF-00C9-42BC-8617-9A9D5D0D303E}"/>
    <cellStyle name="Normal 3 2 3 8 3" xfId="20333" xr:uid="{A8595840-C15D-4604-A46F-6524DB7B0BAA}"/>
    <cellStyle name="Normal 3 2 3 8 3 2" xfId="37227" xr:uid="{81810BBF-91C1-4033-9689-F6F033D7846A}"/>
    <cellStyle name="Normal 3 2 3 8 4" xfId="11886" xr:uid="{178C1B8B-FE1F-4527-B2C4-64081436CDB2}"/>
    <cellStyle name="Normal 3 2 3 8 5" xfId="28780" xr:uid="{3B72C003-AE39-4673-9B5D-46BEAFEAD026}"/>
    <cellStyle name="Normal 3 2 3 9" xfId="4711" xr:uid="{00000000-0005-0000-0000-0000CD110000}"/>
    <cellStyle name="Normal 3 2 3 9 2" xfId="22484" xr:uid="{FC241DB3-EF72-4E42-B0B5-567D4F70E9D3}"/>
    <cellStyle name="Normal 3 2 3 9 2 2" xfId="39378" xr:uid="{5269D39D-972F-4E17-89CB-A5B6FFBF4B2D}"/>
    <cellStyle name="Normal 3 2 3 9 3" xfId="14037" xr:uid="{6E6879EF-0A1B-4778-A317-C07CCCB427F8}"/>
    <cellStyle name="Normal 3 2 3 9 4" xfId="30931" xr:uid="{362B1389-E64A-419A-8881-43E07EF724B6}"/>
    <cellStyle name="Normal 3 2 4" xfId="809" xr:uid="{00000000-0005-0000-0000-0000CE110000}"/>
    <cellStyle name="Normal 3 2 4 2" xfId="3047" xr:uid="{00000000-0005-0000-0000-0000CF110000}"/>
    <cellStyle name="Normal 3 2 4 2 2" xfId="7269" xr:uid="{00000000-0005-0000-0000-0000D0110000}"/>
    <cellStyle name="Normal 3 2 4 2 2 2" xfId="25042" xr:uid="{FBF7C3E5-A995-4951-BDB2-75EFA31FD9ED}"/>
    <cellStyle name="Normal 3 2 4 2 2 2 2" xfId="41936" xr:uid="{1DC55267-1972-4E1F-862B-55E1E3250A73}"/>
    <cellStyle name="Normal 3 2 4 2 2 3" xfId="16595" xr:uid="{7C6DF9D4-D092-4346-9404-478F0FB4DB1C}"/>
    <cellStyle name="Normal 3 2 4 2 2 4" xfId="33489" xr:uid="{72D2DC75-D62E-4E82-907A-BFAFFE3CF696}"/>
    <cellStyle name="Normal 3 2 4 2 3" xfId="20825" xr:uid="{78BDFC44-EF84-4F4E-BA63-E8773B949619}"/>
    <cellStyle name="Normal 3 2 4 2 3 2" xfId="37719" xr:uid="{CF9C3058-B147-423A-9740-D0135BEE2DCC}"/>
    <cellStyle name="Normal 3 2 4 2 4" xfId="12378" xr:uid="{ACD0C103-E6C5-4A42-8D70-D5FAF43155AC}"/>
    <cellStyle name="Normal 3 2 4 2 5" xfId="29272" xr:uid="{3482B13E-7E01-48C5-A322-2E2B0C7D220E}"/>
    <cellStyle name="Normal 3 2 4 3" xfId="5124" xr:uid="{00000000-0005-0000-0000-0000D1110000}"/>
    <cellStyle name="Normal 3 2 4 3 2" xfId="22897" xr:uid="{4000D3BD-C137-4B59-BA3E-921141FF53AC}"/>
    <cellStyle name="Normal 3 2 4 3 2 2" xfId="39791" xr:uid="{B7660D43-308A-4CC8-B5ED-87A12AA0B037}"/>
    <cellStyle name="Normal 3 2 4 3 3" xfId="14450" xr:uid="{7B761300-AE18-42D3-8FF5-182B0331C81D}"/>
    <cellStyle name="Normal 3 2 4 3 4" xfId="31344" xr:uid="{FE9747D5-695B-4BAB-9BF8-224C562DA713}"/>
    <cellStyle name="Normal 3 2 4 4" xfId="9607" xr:uid="{7D769806-7069-4B8D-8CAC-B3B91BBA8D64}"/>
    <cellStyle name="Normal 3 2 4 4 2" xfId="18680" xr:uid="{DD25C5E4-9414-4D5A-907A-32E0B0B0F8CC}"/>
    <cellStyle name="Normal 3 2 4 4 3" xfId="35574" xr:uid="{01725958-7F0F-40E5-88F7-4EA1A7FFB06F}"/>
    <cellStyle name="Normal 3 2 4 5" xfId="10233" xr:uid="{F259BD81-A7E3-484E-AF6F-8FB635B347C4}"/>
    <cellStyle name="Normal 3 2 4 6" xfId="27127" xr:uid="{D80E1634-953C-4569-AFBE-420E55329E0A}"/>
    <cellStyle name="Normal 3 2 5" xfId="1230" xr:uid="{00000000-0005-0000-0000-0000D2110000}"/>
    <cellStyle name="Normal 3 2 5 2" xfId="3460" xr:uid="{00000000-0005-0000-0000-0000D3110000}"/>
    <cellStyle name="Normal 3 2 5 2 2" xfId="7682" xr:uid="{00000000-0005-0000-0000-0000D4110000}"/>
    <cellStyle name="Normal 3 2 5 2 2 2" xfId="25455" xr:uid="{31ADAA63-538C-4EF0-B54D-B4B1A4FD85BC}"/>
    <cellStyle name="Normal 3 2 5 2 2 2 2" xfId="42349" xr:uid="{FED56EF4-0F6A-41DB-8C95-E589FDC1B454}"/>
    <cellStyle name="Normal 3 2 5 2 2 3" xfId="17008" xr:uid="{9EEF163F-3217-40E0-BFB0-BA68761E2882}"/>
    <cellStyle name="Normal 3 2 5 2 2 4" xfId="33902" xr:uid="{A476B301-3538-476F-882D-9005610AA366}"/>
    <cellStyle name="Normal 3 2 5 2 3" xfId="21238" xr:uid="{837D216D-AD1B-4665-A8B2-143411D74C8E}"/>
    <cellStyle name="Normal 3 2 5 2 3 2" xfId="38132" xr:uid="{7EC81E95-6041-4751-A431-5610FDA763FE}"/>
    <cellStyle name="Normal 3 2 5 2 4" xfId="12791" xr:uid="{1CD0FAD7-F4C3-4A2C-8283-A60CC73634F5}"/>
    <cellStyle name="Normal 3 2 5 2 5" xfId="29685" xr:uid="{EC6FD28A-8C91-4E4E-99E8-4E479EE1D6AF}"/>
    <cellStyle name="Normal 3 2 5 3" xfId="5537" xr:uid="{00000000-0005-0000-0000-0000D5110000}"/>
    <cellStyle name="Normal 3 2 5 3 2" xfId="23310" xr:uid="{783D9138-8882-44BB-A261-7F72AE4B2E14}"/>
    <cellStyle name="Normal 3 2 5 3 2 2" xfId="40204" xr:uid="{FBA58F59-B259-47A3-88CE-C50910B8FD17}"/>
    <cellStyle name="Normal 3 2 5 3 3" xfId="14863" xr:uid="{96587CEF-7301-40AD-A39B-08BAE91225DD}"/>
    <cellStyle name="Normal 3 2 5 3 4" xfId="31757" xr:uid="{AC215D9D-C43D-417D-9853-648861A9BA5F}"/>
    <cellStyle name="Normal 3 2 5 4" xfId="19093" xr:uid="{419C558C-282B-4210-B745-AB521698D2DF}"/>
    <cellStyle name="Normal 3 2 5 4 2" xfId="35987" xr:uid="{5ED9014C-2E9C-491F-B2A4-5E9DBF0A684A}"/>
    <cellStyle name="Normal 3 2 5 5" xfId="10646" xr:uid="{DF2C5801-7972-4948-A55C-C7E8F9912A07}"/>
    <cellStyle name="Normal 3 2 5 6" xfId="27540" xr:uid="{27CBF6B9-DE7C-4D98-9A08-4E250952F169}"/>
    <cellStyle name="Normal 3 2 6" xfId="1643" xr:uid="{00000000-0005-0000-0000-0000D6110000}"/>
    <cellStyle name="Normal 3 2 6 2" xfId="3873" xr:uid="{00000000-0005-0000-0000-0000D7110000}"/>
    <cellStyle name="Normal 3 2 6 2 2" xfId="8095" xr:uid="{00000000-0005-0000-0000-0000D8110000}"/>
    <cellStyle name="Normal 3 2 6 2 2 2" xfId="25868" xr:uid="{6ED102F5-731D-4360-8DDB-592EC675BA6D}"/>
    <cellStyle name="Normal 3 2 6 2 2 2 2" xfId="42762" xr:uid="{D013655F-29BF-43D9-A83A-332D788FB268}"/>
    <cellStyle name="Normal 3 2 6 2 2 3" xfId="17421" xr:uid="{D4FF06C3-EF18-472B-B6A0-28B472C32020}"/>
    <cellStyle name="Normal 3 2 6 2 2 4" xfId="34315" xr:uid="{891F7328-F29F-4202-8701-6CF42B76FDBF}"/>
    <cellStyle name="Normal 3 2 6 2 3" xfId="21651" xr:uid="{98BE7151-6483-466A-AF76-1C5DB5098454}"/>
    <cellStyle name="Normal 3 2 6 2 3 2" xfId="38545" xr:uid="{47658BFF-97CD-4FD9-8515-51BB51F1E41E}"/>
    <cellStyle name="Normal 3 2 6 2 4" xfId="13204" xr:uid="{518739E7-A3FA-4213-BC1E-3822A9C75049}"/>
    <cellStyle name="Normal 3 2 6 2 5" xfId="30098" xr:uid="{3B24919B-835F-4BCB-B98A-54B8CD5FE0FC}"/>
    <cellStyle name="Normal 3 2 6 3" xfId="5950" xr:uid="{00000000-0005-0000-0000-0000D9110000}"/>
    <cellStyle name="Normal 3 2 6 3 2" xfId="23723" xr:uid="{3CEDCF65-64C1-4A88-A8F4-C8DE71071455}"/>
    <cellStyle name="Normal 3 2 6 3 2 2" xfId="40617" xr:uid="{CB064885-46E9-46DE-9EE6-115503538C79}"/>
    <cellStyle name="Normal 3 2 6 3 3" xfId="15276" xr:uid="{DB2C722C-D394-4BD2-B30C-7F2C89281DF3}"/>
    <cellStyle name="Normal 3 2 6 3 4" xfId="32170" xr:uid="{7B3F2B7B-BA8C-4BB1-8439-215842C8F7EB}"/>
    <cellStyle name="Normal 3 2 6 4" xfId="19506" xr:uid="{D6CA8371-14A6-489A-8D99-FF7C5C72EBBB}"/>
    <cellStyle name="Normal 3 2 6 4 2" xfId="36400" xr:uid="{11B95617-75A0-4D6C-8E5D-E333672429E7}"/>
    <cellStyle name="Normal 3 2 6 5" xfId="11059" xr:uid="{75712546-95A8-42AA-B31C-F337DE536769}"/>
    <cellStyle name="Normal 3 2 6 6" xfId="27953" xr:uid="{A5F82D59-0B9B-4302-AB4C-D42B8E9A1093}"/>
    <cellStyle name="Normal 3 2 7" xfId="2057" xr:uid="{00000000-0005-0000-0000-0000DA110000}"/>
    <cellStyle name="Normal 3 2 7 2" xfId="4286" xr:uid="{00000000-0005-0000-0000-0000DB110000}"/>
    <cellStyle name="Normal 3 2 7 2 2" xfId="8508" xr:uid="{00000000-0005-0000-0000-0000DC110000}"/>
    <cellStyle name="Normal 3 2 7 2 2 2" xfId="26281" xr:uid="{26507A2B-6CA0-45B3-AD5D-59D7DE29C943}"/>
    <cellStyle name="Normal 3 2 7 2 2 2 2" xfId="43175" xr:uid="{7E632284-0A27-4CF2-B115-31880D55D29E}"/>
    <cellStyle name="Normal 3 2 7 2 2 3" xfId="17834" xr:uid="{64C68DFC-99A1-4831-85B5-1CB67271BE1B}"/>
    <cellStyle name="Normal 3 2 7 2 2 4" xfId="34728" xr:uid="{051D368B-FF60-454A-8590-FB1A4D68CB14}"/>
    <cellStyle name="Normal 3 2 7 2 3" xfId="22064" xr:uid="{26869785-DC3E-4CF8-8746-9A5548661319}"/>
    <cellStyle name="Normal 3 2 7 2 3 2" xfId="38958" xr:uid="{02F726F8-D99E-4FD7-8D74-0B703588E040}"/>
    <cellStyle name="Normal 3 2 7 2 4" xfId="13617" xr:uid="{1A3DA01E-07EA-4189-BCA0-8B1119F4AB79}"/>
    <cellStyle name="Normal 3 2 7 2 5" xfId="30511" xr:uid="{63120AF9-84E4-4B89-9E75-751B7F79246F}"/>
    <cellStyle name="Normal 3 2 7 3" xfId="6363" xr:uid="{00000000-0005-0000-0000-0000DD110000}"/>
    <cellStyle name="Normal 3 2 7 3 2" xfId="24136" xr:uid="{FB2F254D-19EC-462C-8CF3-9B9109552CF1}"/>
    <cellStyle name="Normal 3 2 7 3 2 2" xfId="41030" xr:uid="{BE3DCE51-B0CA-49E7-8F57-DED75C55A49B}"/>
    <cellStyle name="Normal 3 2 7 3 3" xfId="15689" xr:uid="{2DEABC50-B981-4F3F-BB75-80325E2C161E}"/>
    <cellStyle name="Normal 3 2 7 3 4" xfId="32583" xr:uid="{55E355C6-A969-4C72-9488-C5435FD86623}"/>
    <cellStyle name="Normal 3 2 7 4" xfId="19919" xr:uid="{BF35EC99-F62C-45D0-AF85-B104B1E8947D}"/>
    <cellStyle name="Normal 3 2 7 4 2" xfId="36813" xr:uid="{D1308A42-E7DB-4351-89B3-502DE66205CC}"/>
    <cellStyle name="Normal 3 2 7 5" xfId="11472" xr:uid="{51875A9D-DF0D-4F21-AF28-DADF0C9A8BDD}"/>
    <cellStyle name="Normal 3 2 7 6" xfId="28366" xr:uid="{B268CA0B-7C28-4A1F-83E2-519EB49FE6E0}"/>
    <cellStyle name="Normal 3 2 8" xfId="2493" xr:uid="{00000000-0005-0000-0000-0000DE110000}"/>
    <cellStyle name="Normal 3 2 8 2" xfId="6776" xr:uid="{00000000-0005-0000-0000-0000DF110000}"/>
    <cellStyle name="Normal 3 2 8 2 2" xfId="24549" xr:uid="{7F13875B-0D8F-4C23-A540-1CBDD8A88C3F}"/>
    <cellStyle name="Normal 3 2 8 2 2 2" xfId="41443" xr:uid="{13D96DEA-FC30-4CDB-B2A4-37EA06B1542B}"/>
    <cellStyle name="Normal 3 2 8 2 3" xfId="16102" xr:uid="{965C11A5-BC21-4748-BA74-1A9158183725}"/>
    <cellStyle name="Normal 3 2 8 2 4" xfId="32996" xr:uid="{5C4469C0-E69D-44FD-A7A4-995CE862A7C1}"/>
    <cellStyle name="Normal 3 2 8 3" xfId="20332" xr:uid="{D9832A34-79EA-4E3A-AB7F-3C9F3B794B93}"/>
    <cellStyle name="Normal 3 2 8 3 2" xfId="37226" xr:uid="{BCF2B08E-9BA2-4C7C-AABE-0C68DCEB85D7}"/>
    <cellStyle name="Normal 3 2 8 4" xfId="11885" xr:uid="{9D74C422-061C-49D0-8DFA-722BA04BBF59}"/>
    <cellStyle name="Normal 3 2 8 5" xfId="28779" xr:uid="{A85ABEBD-912C-49AE-B67E-0B325DD2513D}"/>
    <cellStyle name="Normal 3 2 9" xfId="4710" xr:uid="{00000000-0005-0000-0000-0000E0110000}"/>
    <cellStyle name="Normal 3 2 9 2" xfId="22483" xr:uid="{270735BD-E5D1-41F0-AD0E-CF77BED3FEBB}"/>
    <cellStyle name="Normal 3 2 9 2 2" xfId="39377" xr:uid="{6159FC07-E96B-4575-A2B9-FC61F9454CF8}"/>
    <cellStyle name="Normal 3 2 9 3" xfId="14036" xr:uid="{F57171C3-8FB6-426B-AD4E-E6B1EBA6AD6E}"/>
    <cellStyle name="Normal 3 2 9 4" xfId="30930" xr:uid="{2B24E0CF-853C-4F79-8DE1-DD061E2EEE11}"/>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10 2" xfId="18271" xr:uid="{42871BAB-7F7B-49D7-BCF1-013BAB28309C}"/>
    <cellStyle name="Normal 4 10 3" xfId="35165" xr:uid="{DDFC82B1-7122-4986-9C61-C69F6D3ACE4A}"/>
    <cellStyle name="Normal 4 11" xfId="9824" xr:uid="{C8A67573-8DEC-4E38-BC4D-F5D5C552D834}"/>
    <cellStyle name="Normal 4 12" xfId="26718" xr:uid="{31BA3B97-9BF6-4BBE-9629-7A17AA7D7A12}"/>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2 2 2" xfId="26286" xr:uid="{0303B74F-1BD9-4C9F-A830-5FFCE5A71C41}"/>
    <cellStyle name="Normal 4 2 2 10 2 2 2 2" xfId="43180" xr:uid="{D56F5E9E-A7D3-4C5A-B00E-EC435FABAE91}"/>
    <cellStyle name="Normal 4 2 2 10 2 2 3" xfId="17839" xr:uid="{B18457DD-412A-4F39-BD31-E83D6C296A19}"/>
    <cellStyle name="Normal 4 2 2 10 2 2 4" xfId="34733" xr:uid="{8A913202-E9EE-4496-837E-16538F0CA3F0}"/>
    <cellStyle name="Normal 4 2 2 10 2 3" xfId="22069" xr:uid="{9E46B243-9465-4EA3-B28D-096CC82812E1}"/>
    <cellStyle name="Normal 4 2 2 10 2 3 2" xfId="38963" xr:uid="{8241D75E-F914-4A0B-9CA5-EF6A1C8221BC}"/>
    <cellStyle name="Normal 4 2 2 10 2 4" xfId="13622" xr:uid="{FF83E5CD-7DCB-4A15-948D-96624DB49840}"/>
    <cellStyle name="Normal 4 2 2 10 2 5" xfId="30516" xr:uid="{2AFE8AB5-3D63-4644-9868-2AE38E9C3EE2}"/>
    <cellStyle name="Normal 4 2 2 10 3" xfId="6368" xr:uid="{00000000-0005-0000-0000-0000ED110000}"/>
    <cellStyle name="Normal 4 2 2 10 3 2" xfId="24141" xr:uid="{845692ED-3E58-4DF2-8B11-1E1F690DB9D4}"/>
    <cellStyle name="Normal 4 2 2 10 3 2 2" xfId="41035" xr:uid="{7B4D2B09-6ACC-4AAC-941D-85F624054EF3}"/>
    <cellStyle name="Normal 4 2 2 10 3 3" xfId="15694" xr:uid="{95F7E8A6-7448-4C0A-9746-C4EA62E7EF3C}"/>
    <cellStyle name="Normal 4 2 2 10 3 4" xfId="32588" xr:uid="{1899DDE7-C071-4E79-84BE-C6AD1AB53BA1}"/>
    <cellStyle name="Normal 4 2 2 10 4" xfId="19924" xr:uid="{AB0F00BC-F2FA-403A-8B0D-E7A369D18F2D}"/>
    <cellStyle name="Normal 4 2 2 10 4 2" xfId="36818" xr:uid="{B9253DD8-87FA-4F0C-892C-7BFAFDEE7CC5}"/>
    <cellStyle name="Normal 4 2 2 10 5" xfId="11477" xr:uid="{7A0EB28A-D90A-4ADB-B679-9D77856928D1}"/>
    <cellStyle name="Normal 4 2 2 10 6" xfId="28371" xr:uid="{BEFE7375-A1F4-48B9-9879-AC44FF3E1354}"/>
    <cellStyle name="Normal 4 2 2 11" xfId="2498" xr:uid="{00000000-0005-0000-0000-0000EE110000}"/>
    <cellStyle name="Normal 4 2 2 11 2" xfId="6781" xr:uid="{00000000-0005-0000-0000-0000EF110000}"/>
    <cellStyle name="Normal 4 2 2 11 2 2" xfId="24554" xr:uid="{9AA30E0E-7917-4654-9520-46BC056D2C86}"/>
    <cellStyle name="Normal 4 2 2 11 2 2 2" xfId="41448" xr:uid="{37DD582D-7434-4EC0-B624-89AAB22EBFD0}"/>
    <cellStyle name="Normal 4 2 2 11 2 3" xfId="16107" xr:uid="{1B3962CD-291C-48BA-9568-394643601863}"/>
    <cellStyle name="Normal 4 2 2 11 2 4" xfId="33001" xr:uid="{7D6E02FA-CD2E-4742-82D5-4FD20FFB792E}"/>
    <cellStyle name="Normal 4 2 2 11 3" xfId="20337" xr:uid="{D430D4A3-6ED8-4224-93AC-62373E646002}"/>
    <cellStyle name="Normal 4 2 2 11 3 2" xfId="37231" xr:uid="{5FF1F502-C6A4-4E49-9532-42B8A6241807}"/>
    <cellStyle name="Normal 4 2 2 11 4" xfId="11890" xr:uid="{0779197C-F962-4EE6-BF14-86C1FF7094D7}"/>
    <cellStyle name="Normal 4 2 2 11 5" xfId="28784" xr:uid="{4C8618D2-E4B7-4A38-B8A9-634634A9228D}"/>
    <cellStyle name="Normal 4 2 2 12" xfId="4716" xr:uid="{00000000-0005-0000-0000-0000F0110000}"/>
    <cellStyle name="Normal 4 2 2 12 2" xfId="22489" xr:uid="{26DCC798-23AB-4F6B-B2C7-E8183346A0CB}"/>
    <cellStyle name="Normal 4 2 2 12 2 2" xfId="39383" xr:uid="{EE7D8211-8430-437E-BCC8-B302787121EF}"/>
    <cellStyle name="Normal 4 2 2 12 3" xfId="14042" xr:uid="{488C56B6-25D7-4F70-AB2A-4B65306B7FF9}"/>
    <cellStyle name="Normal 4 2 2 12 4" xfId="30936" xr:uid="{65C3EC97-35B1-4E35-810C-5753DBB0102D}"/>
    <cellStyle name="Normal 4 2 2 13" xfId="8752" xr:uid="{7B61EFAC-4165-4615-9A47-7AF5DAE027C9}"/>
    <cellStyle name="Normal 4 2 2 13 2" xfId="18272" xr:uid="{4A0C3CF3-FB6E-4945-AC73-D43DC153C359}"/>
    <cellStyle name="Normal 4 2 2 13 3" xfId="35166" xr:uid="{9E56879E-B987-45C4-8B59-0EFCA1A4AD00}"/>
    <cellStyle name="Normal 4 2 2 14" xfId="9825" xr:uid="{DE168738-2DEA-4948-885E-F7C7CC5A2A8D}"/>
    <cellStyle name="Normal 4 2 2 15" xfId="26719" xr:uid="{049338F2-BA34-4F4E-9D69-9EECAA81BB79}"/>
    <cellStyle name="Normal 4 2 2 2" xfId="338" xr:uid="{00000000-0005-0000-0000-0000F1110000}"/>
    <cellStyle name="Normal 4 2 2 3" xfId="339" xr:uid="{00000000-0005-0000-0000-0000F2110000}"/>
    <cellStyle name="Normal 4 2 2 3 10" xfId="4717" xr:uid="{00000000-0005-0000-0000-0000F3110000}"/>
    <cellStyle name="Normal 4 2 2 3 10 2" xfId="22490" xr:uid="{E1237789-ADF4-4863-A338-0DB5CD8F98C2}"/>
    <cellStyle name="Normal 4 2 2 3 10 2 2" xfId="39384" xr:uid="{6D6B3E01-40A7-4D87-BA2F-0513543B2CE1}"/>
    <cellStyle name="Normal 4 2 2 3 10 3" xfId="14043" xr:uid="{6F18A2F5-E533-4F72-8D1C-92525C44C465}"/>
    <cellStyle name="Normal 4 2 2 3 10 4" xfId="30937" xr:uid="{3E078F74-1CEB-4492-8523-D68CD19EF660}"/>
    <cellStyle name="Normal 4 2 2 3 11" xfId="8784" xr:uid="{8AA3A883-811C-4C4A-AFFF-9AAED56BF228}"/>
    <cellStyle name="Normal 4 2 2 3 11 2" xfId="18273" xr:uid="{B130F984-1CCF-436B-B632-9B30BBE43D47}"/>
    <cellStyle name="Normal 4 2 2 3 11 3" xfId="35167" xr:uid="{FA2D1373-A47C-43E8-ABD6-A5C734A081BA}"/>
    <cellStyle name="Normal 4 2 2 3 12" xfId="9826" xr:uid="{4A1F2DB6-6301-4F95-A5CD-266586B2D624}"/>
    <cellStyle name="Normal 4 2 2 3 13" xfId="26720" xr:uid="{545A6C88-670F-4290-91EF-6516BEF32C06}"/>
    <cellStyle name="Normal 4 2 2 3 2" xfId="340" xr:uid="{00000000-0005-0000-0000-0000F4110000}"/>
    <cellStyle name="Normal 4 2 2 3 2 10" xfId="8819" xr:uid="{16629302-3759-4242-B07E-BB5D034B10E8}"/>
    <cellStyle name="Normal 4 2 2 3 2 10 2" xfId="18274" xr:uid="{23C71949-1975-431A-817E-1398F97A2940}"/>
    <cellStyle name="Normal 4 2 2 3 2 10 3" xfId="35168" xr:uid="{85C0EA09-8ECD-468B-AB71-E3337545D409}"/>
    <cellStyle name="Normal 4 2 2 3 2 11" xfId="9827" xr:uid="{D1693C0F-3281-455C-94F8-1DBA925DB2A8}"/>
    <cellStyle name="Normal 4 2 2 3 2 12" xfId="26721" xr:uid="{88C38E2E-A971-465F-A6A4-12F462C0FEB1}"/>
    <cellStyle name="Normal 4 2 2 3 2 2" xfId="341" xr:uid="{00000000-0005-0000-0000-0000F5110000}"/>
    <cellStyle name="Normal 4 2 2 3 2 2 10" xfId="9828" xr:uid="{9860F98B-5B1C-4D42-94CC-93E1E40CCD6D}"/>
    <cellStyle name="Normal 4 2 2 3 2 2 11" xfId="26722" xr:uid="{F30B6063-FF3A-4ECB-841E-B2393D2D670B}"/>
    <cellStyle name="Normal 4 2 2 3 2 2 2" xfId="342" xr:uid="{00000000-0005-0000-0000-0000F6110000}"/>
    <cellStyle name="Normal 4 2 2 3 2 2 2 10" xfId="26723" xr:uid="{5BAE5171-FC98-43B6-B9DA-E0CEC24C757E}"/>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2 2 2" xfId="25051" xr:uid="{3C141B8F-A06F-41EA-8B71-3D7E7A1FE822}"/>
    <cellStyle name="Normal 4 2 2 3 2 2 2 2 2 2 2 2" xfId="41945" xr:uid="{978EA024-71CE-4547-8067-C47A7F166732}"/>
    <cellStyle name="Normal 4 2 2 3 2 2 2 2 2 2 3" xfId="16604" xr:uid="{438CBE31-C81F-4514-AD27-6B4AEA93A233}"/>
    <cellStyle name="Normal 4 2 2 3 2 2 2 2 2 2 4" xfId="33498" xr:uid="{42D1076D-A90B-421C-8223-6EF68F75754C}"/>
    <cellStyle name="Normal 4 2 2 3 2 2 2 2 2 3" xfId="20834" xr:uid="{BB5CF3E8-CE5C-44CE-A92C-5F9C2EC5B76A}"/>
    <cellStyle name="Normal 4 2 2 3 2 2 2 2 2 3 2" xfId="37728" xr:uid="{F2C6EEDF-F55B-424F-A1DB-E4620D760FC9}"/>
    <cellStyle name="Normal 4 2 2 3 2 2 2 2 2 4" xfId="12387" xr:uid="{0BE2CA6B-7230-4058-A78A-F5E21D8F9667}"/>
    <cellStyle name="Normal 4 2 2 3 2 2 2 2 2 5" xfId="29281" xr:uid="{F071D786-9148-425D-AE1B-DD639740939F}"/>
    <cellStyle name="Normal 4 2 2 3 2 2 2 2 3" xfId="5133" xr:uid="{00000000-0005-0000-0000-0000FA110000}"/>
    <cellStyle name="Normal 4 2 2 3 2 2 2 2 3 2" xfId="22906" xr:uid="{D9EDD0E2-2A6F-4592-874D-2ADEFC5C7A2A}"/>
    <cellStyle name="Normal 4 2 2 3 2 2 2 2 3 2 2" xfId="39800" xr:uid="{1DCD81C8-939E-4B78-AA34-4AFDF3B7BF05}"/>
    <cellStyle name="Normal 4 2 2 3 2 2 2 2 3 3" xfId="14459" xr:uid="{018A1753-99D4-469A-8DC9-3011D8929985}"/>
    <cellStyle name="Normal 4 2 2 3 2 2 2 2 3 4" xfId="31353" xr:uid="{57FED49A-D051-4829-BDB0-21A093ECA6AE}"/>
    <cellStyle name="Normal 4 2 2 3 2 2 2 2 4" xfId="9554" xr:uid="{BAC669EC-8948-4716-90C3-0688F03300CE}"/>
    <cellStyle name="Normal 4 2 2 3 2 2 2 2 4 2" xfId="18689" xr:uid="{71871A1D-ADA7-48C7-9745-1E0D44CC2844}"/>
    <cellStyle name="Normal 4 2 2 3 2 2 2 2 4 3" xfId="35583" xr:uid="{5A67DC7B-F07B-4FA4-95BF-EC7E4FBFFF75}"/>
    <cellStyle name="Normal 4 2 2 3 2 2 2 2 5" xfId="10242" xr:uid="{37505F43-E2A4-4DC8-B82F-6CD78FF207B1}"/>
    <cellStyle name="Normal 4 2 2 3 2 2 2 2 6" xfId="27136" xr:uid="{467F6C1E-C541-489F-9A5E-65C0A2BC0FD1}"/>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2 2 2" xfId="25464" xr:uid="{4006BBEE-20B1-4CDF-9191-8F778C963390}"/>
    <cellStyle name="Normal 4 2 2 3 2 2 2 3 2 2 2 2" xfId="42358" xr:uid="{AEC98C3D-8B32-4AF7-AB7E-0D68C1F54AD4}"/>
    <cellStyle name="Normal 4 2 2 3 2 2 2 3 2 2 3" xfId="17017" xr:uid="{C0F3020E-699A-4E21-B265-3D07C7FD7831}"/>
    <cellStyle name="Normal 4 2 2 3 2 2 2 3 2 2 4" xfId="33911" xr:uid="{F2A569D2-560E-4399-879F-01039643578A}"/>
    <cellStyle name="Normal 4 2 2 3 2 2 2 3 2 3" xfId="21247" xr:uid="{72DA01B9-CC68-4957-A45A-DD36FFAAB792}"/>
    <cellStyle name="Normal 4 2 2 3 2 2 2 3 2 3 2" xfId="38141" xr:uid="{93DE75F8-1295-4857-A161-039D3AA7C5D3}"/>
    <cellStyle name="Normal 4 2 2 3 2 2 2 3 2 4" xfId="12800" xr:uid="{1EF467F3-A0B2-404E-A8BF-4481BE2E2062}"/>
    <cellStyle name="Normal 4 2 2 3 2 2 2 3 2 5" xfId="29694" xr:uid="{8FF4AF9E-6BC7-4CD1-9115-1525D3A4A8E0}"/>
    <cellStyle name="Normal 4 2 2 3 2 2 2 3 3" xfId="5546" xr:uid="{00000000-0005-0000-0000-0000FE110000}"/>
    <cellStyle name="Normal 4 2 2 3 2 2 2 3 3 2" xfId="23319" xr:uid="{3E543B5F-CA14-4C4C-B745-593AFFB6BDE3}"/>
    <cellStyle name="Normal 4 2 2 3 2 2 2 3 3 2 2" xfId="40213" xr:uid="{5A5B7420-2AF8-42A5-8FF6-68EF50ABC7EC}"/>
    <cellStyle name="Normal 4 2 2 3 2 2 2 3 3 3" xfId="14872" xr:uid="{D8185D33-B420-4251-BE01-D3D09673CE1C}"/>
    <cellStyle name="Normal 4 2 2 3 2 2 2 3 3 4" xfId="31766" xr:uid="{EFCE8804-C6BB-43FC-B17B-F1302E85CAF5}"/>
    <cellStyle name="Normal 4 2 2 3 2 2 2 3 4" xfId="19102" xr:uid="{700DF3E9-3B5B-4B43-BFE4-BE8B95A0D548}"/>
    <cellStyle name="Normal 4 2 2 3 2 2 2 3 4 2" xfId="35996" xr:uid="{8B69B7C4-5652-4DF6-9556-B80D369A4641}"/>
    <cellStyle name="Normal 4 2 2 3 2 2 2 3 5" xfId="10655" xr:uid="{4B3C126C-1D5F-4DAE-A2FC-1FC20C671153}"/>
    <cellStyle name="Normal 4 2 2 3 2 2 2 3 6" xfId="27549" xr:uid="{9E5C9AFC-97DD-45C9-8CB6-6DFECD011A5C}"/>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2 2 2" xfId="25877" xr:uid="{A4FF8DCC-AFC6-48D1-9545-84693DCFD8F5}"/>
    <cellStyle name="Normal 4 2 2 3 2 2 2 4 2 2 2 2" xfId="42771" xr:uid="{5E728700-9C0F-48A4-A68E-F7F9A1274590}"/>
    <cellStyle name="Normal 4 2 2 3 2 2 2 4 2 2 3" xfId="17430" xr:uid="{9AFFDA6D-AC38-4A19-A47F-AD27F047AC2C}"/>
    <cellStyle name="Normal 4 2 2 3 2 2 2 4 2 2 4" xfId="34324" xr:uid="{77302422-7627-4B67-8CE8-5515F00E2863}"/>
    <cellStyle name="Normal 4 2 2 3 2 2 2 4 2 3" xfId="21660" xr:uid="{20CAA2F0-CC0E-4E17-A753-C685D795C4D9}"/>
    <cellStyle name="Normal 4 2 2 3 2 2 2 4 2 3 2" xfId="38554" xr:uid="{A44F7F7D-5895-409B-9856-B10FB5A4FA97}"/>
    <cellStyle name="Normal 4 2 2 3 2 2 2 4 2 4" xfId="13213" xr:uid="{DC7A9ACA-2119-43FA-967B-36BA61969EAF}"/>
    <cellStyle name="Normal 4 2 2 3 2 2 2 4 2 5" xfId="30107" xr:uid="{48FD5BF6-BE2A-4A26-A55D-A3F50328CB2D}"/>
    <cellStyle name="Normal 4 2 2 3 2 2 2 4 3" xfId="5959" xr:uid="{00000000-0005-0000-0000-000002120000}"/>
    <cellStyle name="Normal 4 2 2 3 2 2 2 4 3 2" xfId="23732" xr:uid="{D3B44DA7-BF25-4474-A2DE-5C1E034649AF}"/>
    <cellStyle name="Normal 4 2 2 3 2 2 2 4 3 2 2" xfId="40626" xr:uid="{2518856F-2395-48FC-A6DA-932DF0015D8B}"/>
    <cellStyle name="Normal 4 2 2 3 2 2 2 4 3 3" xfId="15285" xr:uid="{3F843D7E-24F0-4CC1-BD31-A79BD91EDF7C}"/>
    <cellStyle name="Normal 4 2 2 3 2 2 2 4 3 4" xfId="32179" xr:uid="{71AAE6E4-F00A-43B7-9BFD-3BADFA7325D8}"/>
    <cellStyle name="Normal 4 2 2 3 2 2 2 4 4" xfId="19515" xr:uid="{9F45414C-FDB5-4DBF-836A-362789806B28}"/>
    <cellStyle name="Normal 4 2 2 3 2 2 2 4 4 2" xfId="36409" xr:uid="{236134C1-5DF2-49DC-94DE-50CB8D5C57D2}"/>
    <cellStyle name="Normal 4 2 2 3 2 2 2 4 5" xfId="11068" xr:uid="{5F6843E0-ABD0-4B12-8760-A135F20C7CA5}"/>
    <cellStyle name="Normal 4 2 2 3 2 2 2 4 6" xfId="27962" xr:uid="{077E2CFE-BC18-4D75-BBD7-D6FB2B2ED2EC}"/>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2 2 2" xfId="26290" xr:uid="{62A3C88D-9C77-448E-A939-57EDE040ABD7}"/>
    <cellStyle name="Normal 4 2 2 3 2 2 2 5 2 2 2 2" xfId="43184" xr:uid="{5CB743D8-D81B-403E-839C-FB04D6C99692}"/>
    <cellStyle name="Normal 4 2 2 3 2 2 2 5 2 2 3" xfId="17843" xr:uid="{AA89E653-C374-4C9B-81EB-86A85EB5CD43}"/>
    <cellStyle name="Normal 4 2 2 3 2 2 2 5 2 2 4" xfId="34737" xr:uid="{54B3BE65-AB07-4914-A427-4013C7E4A203}"/>
    <cellStyle name="Normal 4 2 2 3 2 2 2 5 2 3" xfId="22073" xr:uid="{EF3E85CD-4BF3-4394-99C5-DDFDDD2624B3}"/>
    <cellStyle name="Normal 4 2 2 3 2 2 2 5 2 3 2" xfId="38967" xr:uid="{77623201-DB0F-4CDB-BAA9-654DDDD49C7D}"/>
    <cellStyle name="Normal 4 2 2 3 2 2 2 5 2 4" xfId="13626" xr:uid="{7E35ACF4-C08A-4D8A-A95C-49838B4D72E8}"/>
    <cellStyle name="Normal 4 2 2 3 2 2 2 5 2 5" xfId="30520" xr:uid="{A2D6047D-F641-41F8-BE6A-873E30AE0BE7}"/>
    <cellStyle name="Normal 4 2 2 3 2 2 2 5 3" xfId="6372" xr:uid="{00000000-0005-0000-0000-000006120000}"/>
    <cellStyle name="Normal 4 2 2 3 2 2 2 5 3 2" xfId="24145" xr:uid="{E50F1A87-5ACF-44BB-8D0A-7153BD3C0D96}"/>
    <cellStyle name="Normal 4 2 2 3 2 2 2 5 3 2 2" xfId="41039" xr:uid="{1C6D6B26-567A-4852-A7A5-3BB869F73312}"/>
    <cellStyle name="Normal 4 2 2 3 2 2 2 5 3 3" xfId="15698" xr:uid="{BD33B342-AC02-444A-A314-492525BAD11A}"/>
    <cellStyle name="Normal 4 2 2 3 2 2 2 5 3 4" xfId="32592" xr:uid="{E202E8CA-8045-4766-85E7-2AB9936A6F88}"/>
    <cellStyle name="Normal 4 2 2 3 2 2 2 5 4" xfId="19928" xr:uid="{F4634A11-0E9E-4E0B-9DFA-C335C3C30489}"/>
    <cellStyle name="Normal 4 2 2 3 2 2 2 5 4 2" xfId="36822" xr:uid="{EC8D0FC1-8503-4D3F-8E95-F1B26D9F093A}"/>
    <cellStyle name="Normal 4 2 2 3 2 2 2 5 5" xfId="11481" xr:uid="{7872993B-3056-4868-850B-1273876D07C9}"/>
    <cellStyle name="Normal 4 2 2 3 2 2 2 5 6" xfId="28375" xr:uid="{D0F59EEE-ADEB-4D1E-B4D6-5952BA617881}"/>
    <cellStyle name="Normal 4 2 2 3 2 2 2 6" xfId="2502" xr:uid="{00000000-0005-0000-0000-000007120000}"/>
    <cellStyle name="Normal 4 2 2 3 2 2 2 6 2" xfId="6785" xr:uid="{00000000-0005-0000-0000-000008120000}"/>
    <cellStyle name="Normal 4 2 2 3 2 2 2 6 2 2" xfId="24558" xr:uid="{7C70D248-80A7-4D65-955C-0F92043B2763}"/>
    <cellStyle name="Normal 4 2 2 3 2 2 2 6 2 2 2" xfId="41452" xr:uid="{D3685A2E-1DB0-4D9F-82A4-ED89FCA800C3}"/>
    <cellStyle name="Normal 4 2 2 3 2 2 2 6 2 3" xfId="16111" xr:uid="{1AF825DA-BF3E-4E16-BEC3-5CA0EC4B16FB}"/>
    <cellStyle name="Normal 4 2 2 3 2 2 2 6 2 4" xfId="33005" xr:uid="{5A0E983B-6570-4238-A564-959F5DACC60B}"/>
    <cellStyle name="Normal 4 2 2 3 2 2 2 6 3" xfId="20341" xr:uid="{1F90B97F-02B0-45C7-8540-AC118FE96565}"/>
    <cellStyle name="Normal 4 2 2 3 2 2 2 6 3 2" xfId="37235" xr:uid="{96B7C356-36A7-4730-92BB-3460198EBC78}"/>
    <cellStyle name="Normal 4 2 2 3 2 2 2 6 4" xfId="11894" xr:uid="{A3067E55-3323-4FB3-8618-82C9A39A7F55}"/>
    <cellStyle name="Normal 4 2 2 3 2 2 2 6 5" xfId="28788" xr:uid="{F61CD260-199F-451F-8E78-D44A0F16E6F6}"/>
    <cellStyle name="Normal 4 2 2 3 2 2 2 7" xfId="4720" xr:uid="{00000000-0005-0000-0000-000009120000}"/>
    <cellStyle name="Normal 4 2 2 3 2 2 2 7 2" xfId="22493" xr:uid="{D56E33B1-338B-4D95-AB75-C20A2A8A3073}"/>
    <cellStyle name="Normal 4 2 2 3 2 2 2 7 2 2" xfId="39387" xr:uid="{7654BB8F-508D-4990-B579-813F855A08C8}"/>
    <cellStyle name="Normal 4 2 2 3 2 2 2 7 3" xfId="14046" xr:uid="{EE0A55D0-07DF-4640-800F-FBF73ECCA2B7}"/>
    <cellStyle name="Normal 4 2 2 3 2 2 2 7 4" xfId="30940" xr:uid="{08501062-6181-4E77-BAC1-F2E7415C3C5C}"/>
    <cellStyle name="Normal 4 2 2 3 2 2 2 8" xfId="9129" xr:uid="{970F8072-C8D6-4D17-95D6-EBF431EAD262}"/>
    <cellStyle name="Normal 4 2 2 3 2 2 2 8 2" xfId="18276" xr:uid="{4F0DDD27-34EC-49CD-87DD-475D54535A47}"/>
    <cellStyle name="Normal 4 2 2 3 2 2 2 8 3" xfId="35170" xr:uid="{541743CD-06A0-4D74-A8BE-E190105D9F61}"/>
    <cellStyle name="Normal 4 2 2 3 2 2 2 9" xfId="9829" xr:uid="{EE6271F2-CE49-4122-8E46-9307D06173FC}"/>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2 2 2" xfId="25050" xr:uid="{6A4F10A7-2F9D-4C71-B6A8-8D24478EBC09}"/>
    <cellStyle name="Normal 4 2 2 3 2 2 3 2 2 2 2" xfId="41944" xr:uid="{D724A93F-33B3-4447-A868-1E3A825FA59B}"/>
    <cellStyle name="Normal 4 2 2 3 2 2 3 2 2 3" xfId="16603" xr:uid="{B3E4B64A-B4AC-41FA-A854-F6A4BFEE4004}"/>
    <cellStyle name="Normal 4 2 2 3 2 2 3 2 2 4" xfId="33497" xr:uid="{76CC3176-7A5F-484D-B5BF-19803E94983D}"/>
    <cellStyle name="Normal 4 2 2 3 2 2 3 2 3" xfId="20833" xr:uid="{CFE8ED28-3345-4D32-9B68-F43B85F46A38}"/>
    <cellStyle name="Normal 4 2 2 3 2 2 3 2 3 2" xfId="37727" xr:uid="{BB433181-43D1-4C94-8FB3-0B97111F7A48}"/>
    <cellStyle name="Normal 4 2 2 3 2 2 3 2 4" xfId="12386" xr:uid="{5B7BDD8F-D76E-4165-ACA9-A8B12EB56F38}"/>
    <cellStyle name="Normal 4 2 2 3 2 2 3 2 5" xfId="29280" xr:uid="{D2EB1906-2AE0-4E95-9504-334E86562032}"/>
    <cellStyle name="Normal 4 2 2 3 2 2 3 3" xfId="5132" xr:uid="{00000000-0005-0000-0000-00000D120000}"/>
    <cellStyle name="Normal 4 2 2 3 2 2 3 3 2" xfId="22905" xr:uid="{3A80181B-5312-488A-B09C-E35E5AD6845D}"/>
    <cellStyle name="Normal 4 2 2 3 2 2 3 3 2 2" xfId="39799" xr:uid="{1328DC2D-94C0-4D9D-8CCA-B637ADCD9324}"/>
    <cellStyle name="Normal 4 2 2 3 2 2 3 3 3" xfId="14458" xr:uid="{50D086B6-CC2F-4566-B127-B1CF907A43EF}"/>
    <cellStyle name="Normal 4 2 2 3 2 2 3 3 4" xfId="31352" xr:uid="{35BA83A9-3EF0-44AB-84E0-E19A278FF8A7}"/>
    <cellStyle name="Normal 4 2 2 3 2 2 3 4" xfId="9347" xr:uid="{8C9012CB-19BB-4242-9F43-373358B13B52}"/>
    <cellStyle name="Normal 4 2 2 3 2 2 3 4 2" xfId="18688" xr:uid="{8D8D2DFF-5B56-4027-B4EE-E229B25B3349}"/>
    <cellStyle name="Normal 4 2 2 3 2 2 3 4 3" xfId="35582" xr:uid="{4CAB8BBE-A0DE-4F65-811B-6A3C5489F858}"/>
    <cellStyle name="Normal 4 2 2 3 2 2 3 5" xfId="10241" xr:uid="{B34CE93C-0C26-4EDC-A0D6-BCF0EFB4A31F}"/>
    <cellStyle name="Normal 4 2 2 3 2 2 3 6" xfId="27135" xr:uid="{B32FC511-6BF6-4E09-B485-C0FE8C871345}"/>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2 2 2" xfId="25463" xr:uid="{0750EE97-5585-4388-B496-2F04589B433C}"/>
    <cellStyle name="Normal 4 2 2 3 2 2 4 2 2 2 2" xfId="42357" xr:uid="{019D794C-7E24-4C0D-8AAE-57D46656FEC1}"/>
    <cellStyle name="Normal 4 2 2 3 2 2 4 2 2 3" xfId="17016" xr:uid="{0D9E3068-625B-49E5-8D92-2128B06AA1D0}"/>
    <cellStyle name="Normal 4 2 2 3 2 2 4 2 2 4" xfId="33910" xr:uid="{E3F8C21F-B58A-41BB-8E94-CACA01FF1D77}"/>
    <cellStyle name="Normal 4 2 2 3 2 2 4 2 3" xfId="21246" xr:uid="{093A8AAB-4759-44AB-BA5A-F7071852BA9C}"/>
    <cellStyle name="Normal 4 2 2 3 2 2 4 2 3 2" xfId="38140" xr:uid="{D905CDC3-6A1E-46E4-9908-A31C6228FAD7}"/>
    <cellStyle name="Normal 4 2 2 3 2 2 4 2 4" xfId="12799" xr:uid="{6881F3D9-3585-4B2B-B94C-A0E47FB4BF8B}"/>
    <cellStyle name="Normal 4 2 2 3 2 2 4 2 5" xfId="29693" xr:uid="{CC51D33A-CC02-4428-958F-86450DB87AAB}"/>
    <cellStyle name="Normal 4 2 2 3 2 2 4 3" xfId="5545" xr:uid="{00000000-0005-0000-0000-000011120000}"/>
    <cellStyle name="Normal 4 2 2 3 2 2 4 3 2" xfId="23318" xr:uid="{38C87108-6DDE-4E85-A728-0D181A4C86E8}"/>
    <cellStyle name="Normal 4 2 2 3 2 2 4 3 2 2" xfId="40212" xr:uid="{059E5B38-54BB-42A8-9319-CBC50BAF1F7A}"/>
    <cellStyle name="Normal 4 2 2 3 2 2 4 3 3" xfId="14871" xr:uid="{0F5D1D06-1745-4BDE-874E-90074D9DFAE3}"/>
    <cellStyle name="Normal 4 2 2 3 2 2 4 3 4" xfId="31765" xr:uid="{458D5F59-3300-4D77-AAEE-5D52CB956CE2}"/>
    <cellStyle name="Normal 4 2 2 3 2 2 4 4" xfId="19101" xr:uid="{98A8E67A-5571-40F7-87FF-1C2A6530CDD6}"/>
    <cellStyle name="Normal 4 2 2 3 2 2 4 4 2" xfId="35995" xr:uid="{3FD54B85-C0FC-48ED-9597-ABB5939F93DC}"/>
    <cellStyle name="Normal 4 2 2 3 2 2 4 5" xfId="10654" xr:uid="{B62C661E-9619-4932-B662-B1E02D947254}"/>
    <cellStyle name="Normal 4 2 2 3 2 2 4 6" xfId="27548" xr:uid="{57339F0D-F361-4ABC-8BAB-175EFB208556}"/>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2 2 2" xfId="25876" xr:uid="{B045E399-47C9-45A5-86C4-D706D717D97F}"/>
    <cellStyle name="Normal 4 2 2 3 2 2 5 2 2 2 2" xfId="42770" xr:uid="{7F19378E-E1CA-4567-A31C-ED1AC78EA58E}"/>
    <cellStyle name="Normal 4 2 2 3 2 2 5 2 2 3" xfId="17429" xr:uid="{AECD8266-6061-4879-8B7B-AEB8F64E5617}"/>
    <cellStyle name="Normal 4 2 2 3 2 2 5 2 2 4" xfId="34323" xr:uid="{68C0113B-76A1-46E0-B0BC-6C3A2865DB5E}"/>
    <cellStyle name="Normal 4 2 2 3 2 2 5 2 3" xfId="21659" xr:uid="{03B4962E-EF8F-44D2-A378-E873E77578DF}"/>
    <cellStyle name="Normal 4 2 2 3 2 2 5 2 3 2" xfId="38553" xr:uid="{0F5A32B3-1CC0-44EF-A747-0C42568B5059}"/>
    <cellStyle name="Normal 4 2 2 3 2 2 5 2 4" xfId="13212" xr:uid="{614F7642-F0F6-4184-99E9-849F4F386C6E}"/>
    <cellStyle name="Normal 4 2 2 3 2 2 5 2 5" xfId="30106" xr:uid="{7F001A85-9AA9-43B5-BB4B-F65FCB69EDB1}"/>
    <cellStyle name="Normal 4 2 2 3 2 2 5 3" xfId="5958" xr:uid="{00000000-0005-0000-0000-000015120000}"/>
    <cellStyle name="Normal 4 2 2 3 2 2 5 3 2" xfId="23731" xr:uid="{392DECF0-2E0D-4DC8-8D3F-5F1FA2E96A59}"/>
    <cellStyle name="Normal 4 2 2 3 2 2 5 3 2 2" xfId="40625" xr:uid="{FEA082D1-8D17-4DA8-82E0-554B5B38526B}"/>
    <cellStyle name="Normal 4 2 2 3 2 2 5 3 3" xfId="15284" xr:uid="{65B8CB60-2A62-4AAC-8ED4-2E9C555222CE}"/>
    <cellStyle name="Normal 4 2 2 3 2 2 5 3 4" xfId="32178" xr:uid="{0AC7EF1D-2B44-410A-8E52-4AD4C94CD01A}"/>
    <cellStyle name="Normal 4 2 2 3 2 2 5 4" xfId="19514" xr:uid="{45BCA895-C92E-4CE4-91A6-D0E562FFD157}"/>
    <cellStyle name="Normal 4 2 2 3 2 2 5 4 2" xfId="36408" xr:uid="{1DB6F5B0-E92C-4199-A14D-973ABBDFB761}"/>
    <cellStyle name="Normal 4 2 2 3 2 2 5 5" xfId="11067" xr:uid="{920A726C-B568-41C0-BFEC-CC30FE9F5441}"/>
    <cellStyle name="Normal 4 2 2 3 2 2 5 6" xfId="27961" xr:uid="{99C2C887-BD9F-467F-9778-98A20E80A659}"/>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2 2 2" xfId="26289" xr:uid="{95AB96ED-593B-421C-833E-5D13DA3433E0}"/>
    <cellStyle name="Normal 4 2 2 3 2 2 6 2 2 2 2" xfId="43183" xr:uid="{9BB9E021-3BFC-4E8E-A3C9-E1CBAD2700A5}"/>
    <cellStyle name="Normal 4 2 2 3 2 2 6 2 2 3" xfId="17842" xr:uid="{36D3DC3E-A9D4-475D-8123-460B9B0973B1}"/>
    <cellStyle name="Normal 4 2 2 3 2 2 6 2 2 4" xfId="34736" xr:uid="{1B5B2313-202C-4890-96C3-40E4D4BAD762}"/>
    <cellStyle name="Normal 4 2 2 3 2 2 6 2 3" xfId="22072" xr:uid="{565A5054-2D75-4F8D-AA7B-A3882F814865}"/>
    <cellStyle name="Normal 4 2 2 3 2 2 6 2 3 2" xfId="38966" xr:uid="{F5F81D09-6B49-4D58-BDEE-3BFF3CCAD85B}"/>
    <cellStyle name="Normal 4 2 2 3 2 2 6 2 4" xfId="13625" xr:uid="{56874CAE-2EA6-4367-B342-303834FE8142}"/>
    <cellStyle name="Normal 4 2 2 3 2 2 6 2 5" xfId="30519" xr:uid="{6FE2192B-614B-4A6F-9F8B-82552AA5D4BE}"/>
    <cellStyle name="Normal 4 2 2 3 2 2 6 3" xfId="6371" xr:uid="{00000000-0005-0000-0000-000019120000}"/>
    <cellStyle name="Normal 4 2 2 3 2 2 6 3 2" xfId="24144" xr:uid="{1DA12907-A1BB-4A33-B42E-AA05EAF65541}"/>
    <cellStyle name="Normal 4 2 2 3 2 2 6 3 2 2" xfId="41038" xr:uid="{DCA77907-7CE0-4EDB-91CD-AF2CC1B0D742}"/>
    <cellStyle name="Normal 4 2 2 3 2 2 6 3 3" xfId="15697" xr:uid="{80C97713-2270-4C4A-834C-4C70DA13938A}"/>
    <cellStyle name="Normal 4 2 2 3 2 2 6 3 4" xfId="32591" xr:uid="{4A16D01F-FFE1-40F4-9AC6-B3E0864C8245}"/>
    <cellStyle name="Normal 4 2 2 3 2 2 6 4" xfId="19927" xr:uid="{2A86F66F-72D4-46C2-B369-A681C7CBE6A7}"/>
    <cellStyle name="Normal 4 2 2 3 2 2 6 4 2" xfId="36821" xr:uid="{39B3F6DA-764B-4976-B89C-92F0622B0774}"/>
    <cellStyle name="Normal 4 2 2 3 2 2 6 5" xfId="11480" xr:uid="{99FA0563-409D-4372-984C-40C37B9B2180}"/>
    <cellStyle name="Normal 4 2 2 3 2 2 6 6" xfId="28374" xr:uid="{1644E6B6-4DCB-4D1C-9B00-363ED4DB59EB}"/>
    <cellStyle name="Normal 4 2 2 3 2 2 7" xfId="2501" xr:uid="{00000000-0005-0000-0000-00001A120000}"/>
    <cellStyle name="Normal 4 2 2 3 2 2 7 2" xfId="6784" xr:uid="{00000000-0005-0000-0000-00001B120000}"/>
    <cellStyle name="Normal 4 2 2 3 2 2 7 2 2" xfId="24557" xr:uid="{F50A765A-EF58-4EA7-9D8C-0C1570AA2C72}"/>
    <cellStyle name="Normal 4 2 2 3 2 2 7 2 2 2" xfId="41451" xr:uid="{DD2874B7-AD0E-4FEB-897A-A8E97E8FB77D}"/>
    <cellStyle name="Normal 4 2 2 3 2 2 7 2 3" xfId="16110" xr:uid="{7E979758-187D-41D9-BF71-AA83EBDC0431}"/>
    <cellStyle name="Normal 4 2 2 3 2 2 7 2 4" xfId="33004" xr:uid="{BAAA1DB4-2F90-4E48-B901-BA94232D096B}"/>
    <cellStyle name="Normal 4 2 2 3 2 2 7 3" xfId="20340" xr:uid="{21272D90-0A23-4298-91D4-CCC0BB162CC5}"/>
    <cellStyle name="Normal 4 2 2 3 2 2 7 3 2" xfId="37234" xr:uid="{F6B913E1-0796-4F14-8F20-F0F7D73DFC3E}"/>
    <cellStyle name="Normal 4 2 2 3 2 2 7 4" xfId="11893" xr:uid="{8BBB17B7-D3A2-4EFA-8F45-89D8341C7F06}"/>
    <cellStyle name="Normal 4 2 2 3 2 2 7 5" xfId="28787" xr:uid="{4E196D8C-CE95-4A47-AB87-1A41913E05E9}"/>
    <cellStyle name="Normal 4 2 2 3 2 2 8" xfId="4719" xr:uid="{00000000-0005-0000-0000-00001C120000}"/>
    <cellStyle name="Normal 4 2 2 3 2 2 8 2" xfId="22492" xr:uid="{779D75F6-5251-443D-928F-933E3C16E984}"/>
    <cellStyle name="Normal 4 2 2 3 2 2 8 2 2" xfId="39386" xr:uid="{25090825-7EE5-4CE0-B94B-B97B134E6264}"/>
    <cellStyle name="Normal 4 2 2 3 2 2 8 3" xfId="14045" xr:uid="{C0D4F149-9F9F-4CD3-BC99-AFF1637DACE2}"/>
    <cellStyle name="Normal 4 2 2 3 2 2 8 4" xfId="30939" xr:uid="{FB8370E7-D897-49E8-AF4A-69E09BE1B8C3}"/>
    <cellStyle name="Normal 4 2 2 3 2 2 9" xfId="8922" xr:uid="{32C9E21B-8C85-4874-B28C-82BF39BA84E2}"/>
    <cellStyle name="Normal 4 2 2 3 2 2 9 2" xfId="18275" xr:uid="{C8673EB1-9002-4B70-99A1-3EC01CBEFA56}"/>
    <cellStyle name="Normal 4 2 2 3 2 2 9 3" xfId="35169" xr:uid="{E73E4386-9FDC-455A-B267-3A3277FEBAF1}"/>
    <cellStyle name="Normal 4 2 2 3 2 3" xfId="343" xr:uid="{00000000-0005-0000-0000-00001D120000}"/>
    <cellStyle name="Normal 4 2 2 3 2 3 10" xfId="26724" xr:uid="{740D128D-FA99-44A2-BEB6-FD7FCF018859}"/>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2 2 2" xfId="25052" xr:uid="{FAA88402-12BA-440F-8549-74C7AA78E22E}"/>
    <cellStyle name="Normal 4 2 2 3 2 3 2 2 2 2 2" xfId="41946" xr:uid="{ADC7287C-F24F-46FA-8445-012CFF8B3C21}"/>
    <cellStyle name="Normal 4 2 2 3 2 3 2 2 2 3" xfId="16605" xr:uid="{89F4D6D5-AD54-427E-9879-9CE37C3275B2}"/>
    <cellStyle name="Normal 4 2 2 3 2 3 2 2 2 4" xfId="33499" xr:uid="{964E0FC1-6277-4CB6-A076-94FC32A60D04}"/>
    <cellStyle name="Normal 4 2 2 3 2 3 2 2 3" xfId="20835" xr:uid="{A1F3213A-149E-485B-9FCA-86D0B9B7D4F9}"/>
    <cellStyle name="Normal 4 2 2 3 2 3 2 2 3 2" xfId="37729" xr:uid="{D1571761-4D9C-42F1-9149-F8E3294D12FB}"/>
    <cellStyle name="Normal 4 2 2 3 2 3 2 2 4" xfId="12388" xr:uid="{5610877C-49F9-4598-8334-A406DC3F2679}"/>
    <cellStyle name="Normal 4 2 2 3 2 3 2 2 5" xfId="29282" xr:uid="{90AA6067-EA14-484D-A27F-F2AD160628B0}"/>
    <cellStyle name="Normal 4 2 2 3 2 3 2 3" xfId="5134" xr:uid="{00000000-0005-0000-0000-000021120000}"/>
    <cellStyle name="Normal 4 2 2 3 2 3 2 3 2" xfId="22907" xr:uid="{0E0B3ACB-08F9-4FC9-8B67-3CBA495954AD}"/>
    <cellStyle name="Normal 4 2 2 3 2 3 2 3 2 2" xfId="39801" xr:uid="{E3221B95-AAD4-4018-A83B-F8D1D67E0DEF}"/>
    <cellStyle name="Normal 4 2 2 3 2 3 2 3 3" xfId="14460" xr:uid="{D8B99891-B0D7-41E2-B298-5089A8FFE1CC}"/>
    <cellStyle name="Normal 4 2 2 3 2 3 2 3 4" xfId="31354" xr:uid="{CFB89F7D-3C8F-4454-BEF3-BE384FB0EDA6}"/>
    <cellStyle name="Normal 4 2 2 3 2 3 2 4" xfId="9451" xr:uid="{85AA9164-95F1-48F2-907A-54AD445D074F}"/>
    <cellStyle name="Normal 4 2 2 3 2 3 2 4 2" xfId="18690" xr:uid="{50D34F56-3FBD-4B78-9CF3-CA57480D9ACF}"/>
    <cellStyle name="Normal 4 2 2 3 2 3 2 4 3" xfId="35584" xr:uid="{183A7BCC-13E5-4EBC-9A67-D5B72DCA0C40}"/>
    <cellStyle name="Normal 4 2 2 3 2 3 2 5" xfId="10243" xr:uid="{7A9B2823-C84D-43DD-9B04-189121C7F73A}"/>
    <cellStyle name="Normal 4 2 2 3 2 3 2 6" xfId="27137" xr:uid="{92F7E9F1-C223-4029-B400-F12C0A8B5E26}"/>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2 2 2" xfId="25465" xr:uid="{A30A78F6-A0F5-4C84-A0C7-FC50EDE676BA}"/>
    <cellStyle name="Normal 4 2 2 3 2 3 3 2 2 2 2" xfId="42359" xr:uid="{4265A7F9-BF9E-46AB-91DE-0C2142355707}"/>
    <cellStyle name="Normal 4 2 2 3 2 3 3 2 2 3" xfId="17018" xr:uid="{2C69693E-71FC-454E-9559-79755D793C3D}"/>
    <cellStyle name="Normal 4 2 2 3 2 3 3 2 2 4" xfId="33912" xr:uid="{500C4012-3CA0-4770-A285-196074EA3460}"/>
    <cellStyle name="Normal 4 2 2 3 2 3 3 2 3" xfId="21248" xr:uid="{A7A5C1FB-E737-4056-8746-616851B126E7}"/>
    <cellStyle name="Normal 4 2 2 3 2 3 3 2 3 2" xfId="38142" xr:uid="{47DE6CE0-5973-48AB-8E4C-4FBD5C3F4210}"/>
    <cellStyle name="Normal 4 2 2 3 2 3 3 2 4" xfId="12801" xr:uid="{F9885C9A-289D-4109-9D53-5E38FB8F74D8}"/>
    <cellStyle name="Normal 4 2 2 3 2 3 3 2 5" xfId="29695" xr:uid="{23AA6903-ACA1-404F-8F87-520FA19EE8C7}"/>
    <cellStyle name="Normal 4 2 2 3 2 3 3 3" xfId="5547" xr:uid="{00000000-0005-0000-0000-000025120000}"/>
    <cellStyle name="Normal 4 2 2 3 2 3 3 3 2" xfId="23320" xr:uid="{B5FC67DB-2032-4A0A-8357-DEF36F9D5300}"/>
    <cellStyle name="Normal 4 2 2 3 2 3 3 3 2 2" xfId="40214" xr:uid="{A4BE7BD2-B281-44A4-998F-643FEF472252}"/>
    <cellStyle name="Normal 4 2 2 3 2 3 3 3 3" xfId="14873" xr:uid="{0AB53FFB-35E8-47BD-A5BE-550AC26A505F}"/>
    <cellStyle name="Normal 4 2 2 3 2 3 3 3 4" xfId="31767" xr:uid="{17E90E42-1E91-42C6-80C6-0257C23C6689}"/>
    <cellStyle name="Normal 4 2 2 3 2 3 3 4" xfId="19103" xr:uid="{910E4A52-B6B6-4205-AF5B-006F0852A8B1}"/>
    <cellStyle name="Normal 4 2 2 3 2 3 3 4 2" xfId="35997" xr:uid="{5EA9FA48-2A60-456C-94B7-272BEBC6A668}"/>
    <cellStyle name="Normal 4 2 2 3 2 3 3 5" xfId="10656" xr:uid="{54071692-7A9F-42BF-AE0F-884B618058B1}"/>
    <cellStyle name="Normal 4 2 2 3 2 3 3 6" xfId="27550" xr:uid="{D8E72229-4689-42A2-9EE5-AD3E69C1193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2 2 2" xfId="25878" xr:uid="{9A8A008D-1073-467A-8078-81A99C65BD68}"/>
    <cellStyle name="Normal 4 2 2 3 2 3 4 2 2 2 2" xfId="42772" xr:uid="{F93EFA45-B4C0-4535-8701-3DCF1BA0E5CE}"/>
    <cellStyle name="Normal 4 2 2 3 2 3 4 2 2 3" xfId="17431" xr:uid="{937F5108-A2C4-427E-9146-0A556D5D3E4F}"/>
    <cellStyle name="Normal 4 2 2 3 2 3 4 2 2 4" xfId="34325" xr:uid="{C4CCCB57-1645-414B-8136-10200B0CD82F}"/>
    <cellStyle name="Normal 4 2 2 3 2 3 4 2 3" xfId="21661" xr:uid="{F08BA423-3BBA-450A-BFBF-6E78DA784315}"/>
    <cellStyle name="Normal 4 2 2 3 2 3 4 2 3 2" xfId="38555" xr:uid="{118A9B63-1597-40EC-A75E-E4940DA8682C}"/>
    <cellStyle name="Normal 4 2 2 3 2 3 4 2 4" xfId="13214" xr:uid="{427CBA8E-6F2B-4273-8B87-EBC5BCFC616E}"/>
    <cellStyle name="Normal 4 2 2 3 2 3 4 2 5" xfId="30108" xr:uid="{4FF25365-78FA-4AF8-9858-1864648E7EA1}"/>
    <cellStyle name="Normal 4 2 2 3 2 3 4 3" xfId="5960" xr:uid="{00000000-0005-0000-0000-000029120000}"/>
    <cellStyle name="Normal 4 2 2 3 2 3 4 3 2" xfId="23733" xr:uid="{0719D20E-B657-4044-8721-82803FA1A10E}"/>
    <cellStyle name="Normal 4 2 2 3 2 3 4 3 2 2" xfId="40627" xr:uid="{07ECB6FC-A3A7-47FD-A27D-0D10E19A4E65}"/>
    <cellStyle name="Normal 4 2 2 3 2 3 4 3 3" xfId="15286" xr:uid="{401C74C6-F398-4510-8DD1-8760371012CA}"/>
    <cellStyle name="Normal 4 2 2 3 2 3 4 3 4" xfId="32180" xr:uid="{05A1E6B8-5C4F-4579-931A-89DFED0C619F}"/>
    <cellStyle name="Normal 4 2 2 3 2 3 4 4" xfId="19516" xr:uid="{CAD42E39-2424-4ED0-91E7-D0D4E2236FBC}"/>
    <cellStyle name="Normal 4 2 2 3 2 3 4 4 2" xfId="36410" xr:uid="{2E7A0F87-1840-49DB-A4B4-CFFDF3EC3F00}"/>
    <cellStyle name="Normal 4 2 2 3 2 3 4 5" xfId="11069" xr:uid="{102A6DF3-670A-41A1-95F8-7FFE98F7727F}"/>
    <cellStyle name="Normal 4 2 2 3 2 3 4 6" xfId="27963" xr:uid="{9D59E9E6-77E8-4154-85EC-1437B8973B32}"/>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2 2 2" xfId="26291" xr:uid="{584D550B-5869-4AC9-860E-CA86C4415F1F}"/>
    <cellStyle name="Normal 4 2 2 3 2 3 5 2 2 2 2" xfId="43185" xr:uid="{77E3508B-38D5-4DE4-A6D9-6FC23B59932B}"/>
    <cellStyle name="Normal 4 2 2 3 2 3 5 2 2 3" xfId="17844" xr:uid="{3A3DFE0B-7C1E-4E86-B785-BCDA87CA7336}"/>
    <cellStyle name="Normal 4 2 2 3 2 3 5 2 2 4" xfId="34738" xr:uid="{26452254-1333-4D2E-9016-ACB891E59CD9}"/>
    <cellStyle name="Normal 4 2 2 3 2 3 5 2 3" xfId="22074" xr:uid="{358432C5-0245-42CB-9D88-E8BBFC6BD1A1}"/>
    <cellStyle name="Normal 4 2 2 3 2 3 5 2 3 2" xfId="38968" xr:uid="{30F2A65A-53B6-41D1-82C3-1B4558316F74}"/>
    <cellStyle name="Normal 4 2 2 3 2 3 5 2 4" xfId="13627" xr:uid="{2F65F283-984E-4CD3-BB6F-960D0FA44189}"/>
    <cellStyle name="Normal 4 2 2 3 2 3 5 2 5" xfId="30521" xr:uid="{5C90A0F0-1961-4D88-AEEC-F7B93A33739D}"/>
    <cellStyle name="Normal 4 2 2 3 2 3 5 3" xfId="6373" xr:uid="{00000000-0005-0000-0000-00002D120000}"/>
    <cellStyle name="Normal 4 2 2 3 2 3 5 3 2" xfId="24146" xr:uid="{15BB9A78-BA4B-499A-AA59-D47001077260}"/>
    <cellStyle name="Normal 4 2 2 3 2 3 5 3 2 2" xfId="41040" xr:uid="{22169AB9-7284-496A-B7E1-DED2D360E996}"/>
    <cellStyle name="Normal 4 2 2 3 2 3 5 3 3" xfId="15699" xr:uid="{AB4ACB51-261B-4469-ABFB-92714CA4E550}"/>
    <cellStyle name="Normal 4 2 2 3 2 3 5 3 4" xfId="32593" xr:uid="{F7666F0F-2AFB-4B51-91CC-84E4B649C238}"/>
    <cellStyle name="Normal 4 2 2 3 2 3 5 4" xfId="19929" xr:uid="{FD47996A-3974-4955-A121-FE22C7E0B8D0}"/>
    <cellStyle name="Normal 4 2 2 3 2 3 5 4 2" xfId="36823" xr:uid="{8A66D4B3-D80A-49C9-874F-4511A7684014}"/>
    <cellStyle name="Normal 4 2 2 3 2 3 5 5" xfId="11482" xr:uid="{E04A867E-F26B-4E87-B77A-2A51565BD983}"/>
    <cellStyle name="Normal 4 2 2 3 2 3 5 6" xfId="28376" xr:uid="{0A17FAE3-E244-4FEF-836E-8CD8022F7B09}"/>
    <cellStyle name="Normal 4 2 2 3 2 3 6" xfId="2503" xr:uid="{00000000-0005-0000-0000-00002E120000}"/>
    <cellStyle name="Normal 4 2 2 3 2 3 6 2" xfId="6786" xr:uid="{00000000-0005-0000-0000-00002F120000}"/>
    <cellStyle name="Normal 4 2 2 3 2 3 6 2 2" xfId="24559" xr:uid="{F0F3058D-EDB7-4B23-BE4E-48312907999C}"/>
    <cellStyle name="Normal 4 2 2 3 2 3 6 2 2 2" xfId="41453" xr:uid="{934424FE-5A34-49B7-8070-D0EF82AC210C}"/>
    <cellStyle name="Normal 4 2 2 3 2 3 6 2 3" xfId="16112" xr:uid="{22629CCA-F7A6-4988-8464-E8B889D03F16}"/>
    <cellStyle name="Normal 4 2 2 3 2 3 6 2 4" xfId="33006" xr:uid="{E0CC771B-140A-42CB-8985-0083B9481B52}"/>
    <cellStyle name="Normal 4 2 2 3 2 3 6 3" xfId="20342" xr:uid="{8A491A69-9A60-4562-B32B-86AF268AF831}"/>
    <cellStyle name="Normal 4 2 2 3 2 3 6 3 2" xfId="37236" xr:uid="{FE07BF6C-AB49-4DB0-878E-AFD309E9F681}"/>
    <cellStyle name="Normal 4 2 2 3 2 3 6 4" xfId="11895" xr:uid="{860F20EE-A774-47D9-A434-FF0C906E150D}"/>
    <cellStyle name="Normal 4 2 2 3 2 3 6 5" xfId="28789" xr:uid="{6368A444-12AC-43FC-B157-EFF44D8E002E}"/>
    <cellStyle name="Normal 4 2 2 3 2 3 7" xfId="4721" xr:uid="{00000000-0005-0000-0000-000030120000}"/>
    <cellStyle name="Normal 4 2 2 3 2 3 7 2" xfId="22494" xr:uid="{CFD9DF6B-4856-44D1-90C6-8C35FE267238}"/>
    <cellStyle name="Normal 4 2 2 3 2 3 7 2 2" xfId="39388" xr:uid="{C3418C5D-D99D-4E79-BC2C-DB454CBDB314}"/>
    <cellStyle name="Normal 4 2 2 3 2 3 7 3" xfId="14047" xr:uid="{9B9AF992-C304-44D9-8E07-B467A46FF154}"/>
    <cellStyle name="Normal 4 2 2 3 2 3 7 4" xfId="30941" xr:uid="{2675EA3B-20A4-4108-A44A-B9E66AF9B05D}"/>
    <cellStyle name="Normal 4 2 2 3 2 3 8" xfId="9026" xr:uid="{319D63D3-F71C-4F99-9FD1-E3D0665567E8}"/>
    <cellStyle name="Normal 4 2 2 3 2 3 8 2" xfId="18277" xr:uid="{8BAF025E-F384-45B3-B97D-A047E3E57866}"/>
    <cellStyle name="Normal 4 2 2 3 2 3 8 3" xfId="35171" xr:uid="{9EBB0152-E56C-4032-9752-917660C320FF}"/>
    <cellStyle name="Normal 4 2 2 3 2 3 9" xfId="9830" xr:uid="{7DCDCF0A-E446-4F14-A94D-FB211DEBD6AC}"/>
    <cellStyle name="Normal 4 2 2 3 2 4" xfId="817" xr:uid="{00000000-0005-0000-0000-000031120000}"/>
    <cellStyle name="Normal 4 2 2 3 2 4 2" xfId="3054" xr:uid="{00000000-0005-0000-0000-000032120000}"/>
    <cellStyle name="Normal 4 2 2 3 2 4 2 2" xfId="7276" xr:uid="{00000000-0005-0000-0000-000033120000}"/>
    <cellStyle name="Normal 4 2 2 3 2 4 2 2 2" xfId="25049" xr:uid="{64DB5B00-1ED0-4FA8-9813-A2D3D05BC0CB}"/>
    <cellStyle name="Normal 4 2 2 3 2 4 2 2 2 2" xfId="41943" xr:uid="{BAAEF5FF-2607-4C86-AAC2-D902B0B0BF07}"/>
    <cellStyle name="Normal 4 2 2 3 2 4 2 2 3" xfId="16602" xr:uid="{DEFA6DAC-8746-4A19-A445-C37AC947B55F}"/>
    <cellStyle name="Normal 4 2 2 3 2 4 2 2 4" xfId="33496" xr:uid="{0E9440F0-BE3E-4E95-A9AD-1D5FE6F52731}"/>
    <cellStyle name="Normal 4 2 2 3 2 4 2 3" xfId="20832" xr:uid="{78148F81-F853-4EDE-927D-EF3BD9D921EF}"/>
    <cellStyle name="Normal 4 2 2 3 2 4 2 3 2" xfId="37726" xr:uid="{0532D6E4-3065-499E-A617-4364F4ADC119}"/>
    <cellStyle name="Normal 4 2 2 3 2 4 2 4" xfId="12385" xr:uid="{D5FDDB44-3FB1-47D5-AC26-70D48C1D605A}"/>
    <cellStyle name="Normal 4 2 2 3 2 4 2 5" xfId="29279" xr:uid="{6CA4AE44-9B10-447C-8EA7-40E3F7DD96DA}"/>
    <cellStyle name="Normal 4 2 2 3 2 4 3" xfId="5131" xr:uid="{00000000-0005-0000-0000-000034120000}"/>
    <cellStyle name="Normal 4 2 2 3 2 4 3 2" xfId="22904" xr:uid="{17379A88-2B2F-4F07-A55B-BFF47A217A6C}"/>
    <cellStyle name="Normal 4 2 2 3 2 4 3 2 2" xfId="39798" xr:uid="{A74F8552-1668-4790-B185-003D2AE34C3A}"/>
    <cellStyle name="Normal 4 2 2 3 2 4 3 3" xfId="14457" xr:uid="{E03EB60C-51CD-4FFB-8C50-FCD82B7985FF}"/>
    <cellStyle name="Normal 4 2 2 3 2 4 3 4" xfId="31351" xr:uid="{AAF190A5-DFD0-4CD0-A027-B3ABFA4392A2}"/>
    <cellStyle name="Normal 4 2 2 3 2 4 4" xfId="9244" xr:uid="{98623F27-324A-40DE-AA2B-56E1FCE087EE}"/>
    <cellStyle name="Normal 4 2 2 3 2 4 4 2" xfId="18687" xr:uid="{BFD88C36-0189-45F5-87C1-93E677A35839}"/>
    <cellStyle name="Normal 4 2 2 3 2 4 4 3" xfId="35581" xr:uid="{F8408036-4B44-4A89-A300-F06AA39AA3AA}"/>
    <cellStyle name="Normal 4 2 2 3 2 4 5" xfId="10240" xr:uid="{96EECF3C-6539-42F2-9827-AD063B21079A}"/>
    <cellStyle name="Normal 4 2 2 3 2 4 6" xfId="27134" xr:uid="{8CB8FAB3-CF23-4E6E-9A1D-B544CF9AFDF4}"/>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2 2 2" xfId="25462" xr:uid="{AA4A15B8-AAEE-4188-8617-D84D11AEB20E}"/>
    <cellStyle name="Normal 4 2 2 3 2 5 2 2 2 2" xfId="42356" xr:uid="{92DCF633-57F5-44BD-ABF5-BD2F44D7F400}"/>
    <cellStyle name="Normal 4 2 2 3 2 5 2 2 3" xfId="17015" xr:uid="{624D0E8C-9391-4F77-B287-566CAA34FF98}"/>
    <cellStyle name="Normal 4 2 2 3 2 5 2 2 4" xfId="33909" xr:uid="{A0A3BCF3-63BE-4D3E-B971-B42382FA27C6}"/>
    <cellStyle name="Normal 4 2 2 3 2 5 2 3" xfId="21245" xr:uid="{2D32DA84-A614-4DAA-93F0-EF16BE22301E}"/>
    <cellStyle name="Normal 4 2 2 3 2 5 2 3 2" xfId="38139" xr:uid="{361F1239-939C-4993-A92F-19A4CD13EF22}"/>
    <cellStyle name="Normal 4 2 2 3 2 5 2 4" xfId="12798" xr:uid="{6A0D14DF-4F3C-459A-AD06-592881E3ED24}"/>
    <cellStyle name="Normal 4 2 2 3 2 5 2 5" xfId="29692" xr:uid="{BDE27EE7-9CA8-41EC-9955-D7398B383075}"/>
    <cellStyle name="Normal 4 2 2 3 2 5 3" xfId="5544" xr:uid="{00000000-0005-0000-0000-000038120000}"/>
    <cellStyle name="Normal 4 2 2 3 2 5 3 2" xfId="23317" xr:uid="{174062E7-E053-45A7-8307-2AAD58B661FC}"/>
    <cellStyle name="Normal 4 2 2 3 2 5 3 2 2" xfId="40211" xr:uid="{8CFF08D8-F3A4-47C0-8445-257E53AA75B9}"/>
    <cellStyle name="Normal 4 2 2 3 2 5 3 3" xfId="14870" xr:uid="{49DA110D-63E4-4041-8E9C-527AA07545D9}"/>
    <cellStyle name="Normal 4 2 2 3 2 5 3 4" xfId="31764" xr:uid="{308877DA-DF03-4326-8EB3-52AAD93953D7}"/>
    <cellStyle name="Normal 4 2 2 3 2 5 4" xfId="19100" xr:uid="{AB9BE3D8-AC86-4F09-B40D-5AAA8722047B}"/>
    <cellStyle name="Normal 4 2 2 3 2 5 4 2" xfId="35994" xr:uid="{25A2C9D5-9CC2-4E96-9F60-9B51DD3D8274}"/>
    <cellStyle name="Normal 4 2 2 3 2 5 5" xfId="10653" xr:uid="{7CECACF5-EFFF-48D4-B70E-964E5FD590D3}"/>
    <cellStyle name="Normal 4 2 2 3 2 5 6" xfId="27547" xr:uid="{1022D15B-3431-41D3-AADC-40CA70255551}"/>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2 2 2" xfId="25875" xr:uid="{021DB79E-A3F1-4A38-B33F-AE3894B5C237}"/>
    <cellStyle name="Normal 4 2 2 3 2 6 2 2 2 2" xfId="42769" xr:uid="{868718FD-1DFF-4F5A-92DE-33B7A81C6590}"/>
    <cellStyle name="Normal 4 2 2 3 2 6 2 2 3" xfId="17428" xr:uid="{0F6058CD-5FF4-4BF4-82EF-87F39FA39566}"/>
    <cellStyle name="Normal 4 2 2 3 2 6 2 2 4" xfId="34322" xr:uid="{368D50A2-B8A7-4AFB-A51B-47B3E5BF161B}"/>
    <cellStyle name="Normal 4 2 2 3 2 6 2 3" xfId="21658" xr:uid="{FB90A482-E3AA-4A8C-B86A-DF259ED8E722}"/>
    <cellStyle name="Normal 4 2 2 3 2 6 2 3 2" xfId="38552" xr:uid="{9495DE18-76EF-4D4C-B5B6-750DA9FFFFAD}"/>
    <cellStyle name="Normal 4 2 2 3 2 6 2 4" xfId="13211" xr:uid="{AF73CB8A-013F-4712-A8F1-E0862638CCC2}"/>
    <cellStyle name="Normal 4 2 2 3 2 6 2 5" xfId="30105" xr:uid="{C42E473C-7DFE-4E93-893D-18FBEBF6C333}"/>
    <cellStyle name="Normal 4 2 2 3 2 6 3" xfId="5957" xr:uid="{00000000-0005-0000-0000-00003C120000}"/>
    <cellStyle name="Normal 4 2 2 3 2 6 3 2" xfId="23730" xr:uid="{B60B242C-1C1A-4316-B262-FAD7146AB6A2}"/>
    <cellStyle name="Normal 4 2 2 3 2 6 3 2 2" xfId="40624" xr:uid="{C9E24703-DE22-4508-85D7-8091BEE0584D}"/>
    <cellStyle name="Normal 4 2 2 3 2 6 3 3" xfId="15283" xr:uid="{28F52BA9-68CF-41D9-83E5-545115C362BE}"/>
    <cellStyle name="Normal 4 2 2 3 2 6 3 4" xfId="32177" xr:uid="{647D9914-B2ED-4701-9CC4-E91EA294D891}"/>
    <cellStyle name="Normal 4 2 2 3 2 6 4" xfId="19513" xr:uid="{6AB5C888-218E-43B0-AC80-12DA1B72AFC6}"/>
    <cellStyle name="Normal 4 2 2 3 2 6 4 2" xfId="36407" xr:uid="{13EBF120-7E5A-4A0C-AE28-0074D3E926DF}"/>
    <cellStyle name="Normal 4 2 2 3 2 6 5" xfId="11066" xr:uid="{727A61BF-E1BC-4947-96DB-72B77ED3A47B}"/>
    <cellStyle name="Normal 4 2 2 3 2 6 6" xfId="27960" xr:uid="{9E732C1E-A75C-4014-A8AB-6FA015111A3B}"/>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2 2 2" xfId="26288" xr:uid="{42F1AFD7-4DB7-404D-A69D-560CB03F5243}"/>
    <cellStyle name="Normal 4 2 2 3 2 7 2 2 2 2" xfId="43182" xr:uid="{3B2A0E3D-EDFF-4A90-B14F-BBDD9D7A1DB8}"/>
    <cellStyle name="Normal 4 2 2 3 2 7 2 2 3" xfId="17841" xr:uid="{BF1028F9-DC97-4897-B5FD-CAF73E929D47}"/>
    <cellStyle name="Normal 4 2 2 3 2 7 2 2 4" xfId="34735" xr:uid="{FAE9B939-E851-433D-A25A-7FF95E9CFDA8}"/>
    <cellStyle name="Normal 4 2 2 3 2 7 2 3" xfId="22071" xr:uid="{2232A63F-08C0-4BFA-BA08-E122572E27A8}"/>
    <cellStyle name="Normal 4 2 2 3 2 7 2 3 2" xfId="38965" xr:uid="{7E360EA0-FE09-40DB-8997-7388E1A47E4E}"/>
    <cellStyle name="Normal 4 2 2 3 2 7 2 4" xfId="13624" xr:uid="{64813C23-44F6-4524-9360-7417BCA054D0}"/>
    <cellStyle name="Normal 4 2 2 3 2 7 2 5" xfId="30518" xr:uid="{248951A9-274E-440A-AE16-0374C3239BD7}"/>
    <cellStyle name="Normal 4 2 2 3 2 7 3" xfId="6370" xr:uid="{00000000-0005-0000-0000-000040120000}"/>
    <cellStyle name="Normal 4 2 2 3 2 7 3 2" xfId="24143" xr:uid="{B46D7D3D-1EA5-4984-9669-E99AA9B122D7}"/>
    <cellStyle name="Normal 4 2 2 3 2 7 3 2 2" xfId="41037" xr:uid="{D9CE5E2D-4A2A-449A-891E-9CEA8ABA8075}"/>
    <cellStyle name="Normal 4 2 2 3 2 7 3 3" xfId="15696" xr:uid="{D0370F57-4439-4DD7-82E3-71997A00FBDD}"/>
    <cellStyle name="Normal 4 2 2 3 2 7 3 4" xfId="32590" xr:uid="{CCFE2269-06F6-408A-B4BA-6D5F0947D32A}"/>
    <cellStyle name="Normal 4 2 2 3 2 7 4" xfId="19926" xr:uid="{209BF7F7-9421-40CF-B995-76EEF898AEEB}"/>
    <cellStyle name="Normal 4 2 2 3 2 7 4 2" xfId="36820" xr:uid="{EBFFFFA0-BEDB-4DF0-9348-BB26276BB115}"/>
    <cellStyle name="Normal 4 2 2 3 2 7 5" xfId="11479" xr:uid="{831E9A45-A088-4796-B39B-650A9D69D4E0}"/>
    <cellStyle name="Normal 4 2 2 3 2 7 6" xfId="28373" xr:uid="{8EDF5977-DD9D-42FD-BAB5-2203549F9C5B}"/>
    <cellStyle name="Normal 4 2 2 3 2 8" xfId="2500" xr:uid="{00000000-0005-0000-0000-000041120000}"/>
    <cellStyle name="Normal 4 2 2 3 2 8 2" xfId="6783" xr:uid="{00000000-0005-0000-0000-000042120000}"/>
    <cellStyle name="Normal 4 2 2 3 2 8 2 2" xfId="24556" xr:uid="{CCE5C67E-7196-42F0-855C-52E631DBB637}"/>
    <cellStyle name="Normal 4 2 2 3 2 8 2 2 2" xfId="41450" xr:uid="{D63E8F55-240C-4DC6-807E-7AFE8124050F}"/>
    <cellStyle name="Normal 4 2 2 3 2 8 2 3" xfId="16109" xr:uid="{47C789B1-F07E-4752-B28F-79081519B38F}"/>
    <cellStyle name="Normal 4 2 2 3 2 8 2 4" xfId="33003" xr:uid="{A7D6D039-951F-47F7-A666-0F9FC006B9AF}"/>
    <cellStyle name="Normal 4 2 2 3 2 8 3" xfId="20339" xr:uid="{8EA0ADA2-DF95-448C-9346-B70DB19E1594}"/>
    <cellStyle name="Normal 4 2 2 3 2 8 3 2" xfId="37233" xr:uid="{592969DA-F0AF-42DC-ABA6-894573DC488C}"/>
    <cellStyle name="Normal 4 2 2 3 2 8 4" xfId="11892" xr:uid="{7F8DEEEC-AC51-4CB8-BA5D-7BA3802B7382}"/>
    <cellStyle name="Normal 4 2 2 3 2 8 5" xfId="28786" xr:uid="{CF934265-BCBD-4620-BAF4-66EBC642A2B2}"/>
    <cellStyle name="Normal 4 2 2 3 2 9" xfId="4718" xr:uid="{00000000-0005-0000-0000-000043120000}"/>
    <cellStyle name="Normal 4 2 2 3 2 9 2" xfId="22491" xr:uid="{ED7DE92F-9314-450A-A85B-DAC99DFFA84C}"/>
    <cellStyle name="Normal 4 2 2 3 2 9 2 2" xfId="39385" xr:uid="{8EBB5CC0-5213-4FEC-A0C8-F3180B400CA6}"/>
    <cellStyle name="Normal 4 2 2 3 2 9 3" xfId="14044" xr:uid="{3A33D07A-1321-4C27-B80E-9AC9EEFE6217}"/>
    <cellStyle name="Normal 4 2 2 3 2 9 4" xfId="30938" xr:uid="{72556726-2871-4717-BA00-5C7AD87DC2A0}"/>
    <cellStyle name="Normal 4 2 2 3 3" xfId="344" xr:uid="{00000000-0005-0000-0000-000044120000}"/>
    <cellStyle name="Normal 4 2 2 3 3 10" xfId="9831" xr:uid="{348AA62B-AE1A-4C82-841D-B928AE5BDCE6}"/>
    <cellStyle name="Normal 4 2 2 3 3 11" xfId="26725" xr:uid="{E2695A19-AA73-4203-8105-35B0867452C4}"/>
    <cellStyle name="Normal 4 2 2 3 3 2" xfId="345" xr:uid="{00000000-0005-0000-0000-000045120000}"/>
    <cellStyle name="Normal 4 2 2 3 3 2 10" xfId="26726" xr:uid="{E705F6A9-3154-4F6D-AD8E-EBD33AC878F1}"/>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2 2 2" xfId="25054" xr:uid="{F306C84A-77B1-4AB1-A1B4-410B7088E382}"/>
    <cellStyle name="Normal 4 2 2 3 3 2 2 2 2 2 2" xfId="41948" xr:uid="{B7ABAEBB-5800-4B7F-93AC-5D8B15E4F4EC}"/>
    <cellStyle name="Normal 4 2 2 3 3 2 2 2 2 3" xfId="16607" xr:uid="{8BEE9352-ADC6-435D-8D75-C43B317946ED}"/>
    <cellStyle name="Normal 4 2 2 3 3 2 2 2 2 4" xfId="33501" xr:uid="{AE8008D4-1E79-4708-A816-F8A56F2A3DF8}"/>
    <cellStyle name="Normal 4 2 2 3 3 2 2 2 3" xfId="20837" xr:uid="{E8D1BA4A-5E4F-4249-9508-C8EC87F1CC20}"/>
    <cellStyle name="Normal 4 2 2 3 3 2 2 2 3 2" xfId="37731" xr:uid="{BDC452B9-3183-43F4-BF67-C6F7B002F2A7}"/>
    <cellStyle name="Normal 4 2 2 3 3 2 2 2 4" xfId="12390" xr:uid="{09AC9477-A063-49B3-9B47-C0C27BCC370B}"/>
    <cellStyle name="Normal 4 2 2 3 3 2 2 2 5" xfId="29284" xr:uid="{E8F26F0B-389D-4121-8B85-57015ADB49FD}"/>
    <cellStyle name="Normal 4 2 2 3 3 2 2 3" xfId="5136" xr:uid="{00000000-0005-0000-0000-000049120000}"/>
    <cellStyle name="Normal 4 2 2 3 3 2 2 3 2" xfId="22909" xr:uid="{10892E0D-97E7-4B6A-A029-BCDF535D9E71}"/>
    <cellStyle name="Normal 4 2 2 3 3 2 2 3 2 2" xfId="39803" xr:uid="{EA7EDB71-7660-46C9-89CE-89A6F3F4EB5E}"/>
    <cellStyle name="Normal 4 2 2 3 3 2 2 3 3" xfId="14462" xr:uid="{22350E4E-70E4-49F3-A66D-3C6EF49D30B4}"/>
    <cellStyle name="Normal 4 2 2 3 3 2 2 3 4" xfId="31356" xr:uid="{6A468706-F117-4747-AEA2-AA74AA5D38EC}"/>
    <cellStyle name="Normal 4 2 2 3 3 2 2 4" xfId="9519" xr:uid="{FB4BBD6E-D73B-4ABD-8656-6C15D7932E02}"/>
    <cellStyle name="Normal 4 2 2 3 3 2 2 4 2" xfId="18692" xr:uid="{6D02F2B7-3373-41B1-9702-4AD2D2638873}"/>
    <cellStyle name="Normal 4 2 2 3 3 2 2 4 3" xfId="35586" xr:uid="{823580AF-1EFA-4531-83B7-A61C9878B0F0}"/>
    <cellStyle name="Normal 4 2 2 3 3 2 2 5" xfId="10245" xr:uid="{F5A10126-59BC-45AC-95E2-DCAD1620333C}"/>
    <cellStyle name="Normal 4 2 2 3 3 2 2 6" xfId="27139" xr:uid="{BADA9034-B13E-4D09-A778-5DA7CF7AB639}"/>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2 2 2" xfId="25467" xr:uid="{4DA07FCB-C46B-42B9-90A0-641A4500ADF4}"/>
    <cellStyle name="Normal 4 2 2 3 3 2 3 2 2 2 2" xfId="42361" xr:uid="{E2744C51-00B7-4AD8-9545-9A18CF4A5ABD}"/>
    <cellStyle name="Normal 4 2 2 3 3 2 3 2 2 3" xfId="17020" xr:uid="{AB54C2CA-94CE-4251-A0CD-EED1F18CB45D}"/>
    <cellStyle name="Normal 4 2 2 3 3 2 3 2 2 4" xfId="33914" xr:uid="{5C32AAB7-A8CD-45D1-A4E4-C4F9A3A089F2}"/>
    <cellStyle name="Normal 4 2 2 3 3 2 3 2 3" xfId="21250" xr:uid="{30091343-842B-4BA8-9CC0-D4CD868C80DD}"/>
    <cellStyle name="Normal 4 2 2 3 3 2 3 2 3 2" xfId="38144" xr:uid="{83347D8E-E91A-4276-87D4-CEC0F5C2E3FB}"/>
    <cellStyle name="Normal 4 2 2 3 3 2 3 2 4" xfId="12803" xr:uid="{2A790558-0177-4078-8828-31D8A61973E8}"/>
    <cellStyle name="Normal 4 2 2 3 3 2 3 2 5" xfId="29697" xr:uid="{166BC85C-5804-460F-A207-9C30F6FBE549}"/>
    <cellStyle name="Normal 4 2 2 3 3 2 3 3" xfId="5549" xr:uid="{00000000-0005-0000-0000-00004D120000}"/>
    <cellStyle name="Normal 4 2 2 3 3 2 3 3 2" xfId="23322" xr:uid="{FD8A1629-7A86-4EB1-BB56-037842E1F187}"/>
    <cellStyle name="Normal 4 2 2 3 3 2 3 3 2 2" xfId="40216" xr:uid="{566D77F3-E997-43DB-B497-3843E1638E12}"/>
    <cellStyle name="Normal 4 2 2 3 3 2 3 3 3" xfId="14875" xr:uid="{5196DFE4-4968-44D3-A390-4F6C3B597063}"/>
    <cellStyle name="Normal 4 2 2 3 3 2 3 3 4" xfId="31769" xr:uid="{BBC3806C-756F-48B2-8EFD-E8105BCB066E}"/>
    <cellStyle name="Normal 4 2 2 3 3 2 3 4" xfId="19105" xr:uid="{89AD97D8-5FC9-4FA9-9320-724142185E1B}"/>
    <cellStyle name="Normal 4 2 2 3 3 2 3 4 2" xfId="35999" xr:uid="{BFA07357-6CF6-4B7F-8BDA-1D53399F6EBA}"/>
    <cellStyle name="Normal 4 2 2 3 3 2 3 5" xfId="10658" xr:uid="{A7241DF0-21CE-408B-B30A-90DC8F1F47FA}"/>
    <cellStyle name="Normal 4 2 2 3 3 2 3 6" xfId="27552" xr:uid="{3B6FF66F-CE4B-4623-AF00-4F049307F854}"/>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2 2 2" xfId="25880" xr:uid="{028C5A37-6A9D-4C01-B832-BC924555873C}"/>
    <cellStyle name="Normal 4 2 2 3 3 2 4 2 2 2 2" xfId="42774" xr:uid="{78DE86C6-D3CA-4E5D-91AB-688C60906A9B}"/>
    <cellStyle name="Normal 4 2 2 3 3 2 4 2 2 3" xfId="17433" xr:uid="{09B57821-4AA6-4365-A310-404C58E61563}"/>
    <cellStyle name="Normal 4 2 2 3 3 2 4 2 2 4" xfId="34327" xr:uid="{85B14200-5D0D-46F5-AD55-DE79DC3F0053}"/>
    <cellStyle name="Normal 4 2 2 3 3 2 4 2 3" xfId="21663" xr:uid="{99D89B0B-042C-4FF6-87BF-3B0FF37B76D5}"/>
    <cellStyle name="Normal 4 2 2 3 3 2 4 2 3 2" xfId="38557" xr:uid="{2AF48571-1BED-40DD-9890-55B3150DED0C}"/>
    <cellStyle name="Normal 4 2 2 3 3 2 4 2 4" xfId="13216" xr:uid="{D7D3F2C0-1757-4135-B122-28F945154816}"/>
    <cellStyle name="Normal 4 2 2 3 3 2 4 2 5" xfId="30110" xr:uid="{362B7FD7-6882-4466-952E-75ED07CD7765}"/>
    <cellStyle name="Normal 4 2 2 3 3 2 4 3" xfId="5962" xr:uid="{00000000-0005-0000-0000-000051120000}"/>
    <cellStyle name="Normal 4 2 2 3 3 2 4 3 2" xfId="23735" xr:uid="{62F9ADA9-1072-47FA-ABBE-1C89D3999BDC}"/>
    <cellStyle name="Normal 4 2 2 3 3 2 4 3 2 2" xfId="40629" xr:uid="{74B4951D-13AC-4DAB-A04B-F7C3DF19CD61}"/>
    <cellStyle name="Normal 4 2 2 3 3 2 4 3 3" xfId="15288" xr:uid="{3DE0753C-C8BA-4430-83B3-B79D82BC7FF3}"/>
    <cellStyle name="Normal 4 2 2 3 3 2 4 3 4" xfId="32182" xr:uid="{B4CEA58B-65B4-4AC7-86DA-24EF39EFD2F3}"/>
    <cellStyle name="Normal 4 2 2 3 3 2 4 4" xfId="19518" xr:uid="{4D94DC5C-4E01-4288-B55C-C6631AF03EDE}"/>
    <cellStyle name="Normal 4 2 2 3 3 2 4 4 2" xfId="36412" xr:uid="{5E625B65-7804-45EA-80AE-C84C7FBA8411}"/>
    <cellStyle name="Normal 4 2 2 3 3 2 4 5" xfId="11071" xr:uid="{12339B2F-479E-4B0A-B466-171F0BBC0F90}"/>
    <cellStyle name="Normal 4 2 2 3 3 2 4 6" xfId="27965" xr:uid="{04B980C3-3D86-4DD4-90BD-5F6385F27278}"/>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2 2 2" xfId="26293" xr:uid="{315DB461-C084-4848-838F-B660B9113117}"/>
    <cellStyle name="Normal 4 2 2 3 3 2 5 2 2 2 2" xfId="43187" xr:uid="{540A086D-446C-401C-947A-2DDB08C60091}"/>
    <cellStyle name="Normal 4 2 2 3 3 2 5 2 2 3" xfId="17846" xr:uid="{EFD4A43E-1AD3-4229-9655-D3AB36A16AA5}"/>
    <cellStyle name="Normal 4 2 2 3 3 2 5 2 2 4" xfId="34740" xr:uid="{0FC74C13-6ADB-4F8E-A66E-BB6B23D24DB1}"/>
    <cellStyle name="Normal 4 2 2 3 3 2 5 2 3" xfId="22076" xr:uid="{94A30FC1-95C1-4E63-9D6A-EAA0A2DA21DF}"/>
    <cellStyle name="Normal 4 2 2 3 3 2 5 2 3 2" xfId="38970" xr:uid="{EFAFE042-AD69-4EEA-A300-A8BEDF39C2A0}"/>
    <cellStyle name="Normal 4 2 2 3 3 2 5 2 4" xfId="13629" xr:uid="{D439C833-6515-46D0-8BD5-004C7CC78DAC}"/>
    <cellStyle name="Normal 4 2 2 3 3 2 5 2 5" xfId="30523" xr:uid="{7F7E137E-25D8-4B19-A081-FD36A58D4D96}"/>
    <cellStyle name="Normal 4 2 2 3 3 2 5 3" xfId="6375" xr:uid="{00000000-0005-0000-0000-000055120000}"/>
    <cellStyle name="Normal 4 2 2 3 3 2 5 3 2" xfId="24148" xr:uid="{A8848B46-ECE3-49DC-9A8C-0B7655615C97}"/>
    <cellStyle name="Normal 4 2 2 3 3 2 5 3 2 2" xfId="41042" xr:uid="{5AF4C057-B523-45DE-86A2-B985D2F191AA}"/>
    <cellStyle name="Normal 4 2 2 3 3 2 5 3 3" xfId="15701" xr:uid="{4C20A71B-496B-4D3E-93A7-B906CFF1575A}"/>
    <cellStyle name="Normal 4 2 2 3 3 2 5 3 4" xfId="32595" xr:uid="{01289E57-55BD-40E5-9429-2DE9C283808E}"/>
    <cellStyle name="Normal 4 2 2 3 3 2 5 4" xfId="19931" xr:uid="{411D9834-291F-42B1-ACF1-9A18079D2C8F}"/>
    <cellStyle name="Normal 4 2 2 3 3 2 5 4 2" xfId="36825" xr:uid="{ECB64C42-C56D-4C15-8BC6-F4C009E3D264}"/>
    <cellStyle name="Normal 4 2 2 3 3 2 5 5" xfId="11484" xr:uid="{E553F47B-2DF6-439F-BD86-BDCE4FD8435C}"/>
    <cellStyle name="Normal 4 2 2 3 3 2 5 6" xfId="28378" xr:uid="{27556CEE-60C4-4190-BB64-0EDCD585BABC}"/>
    <cellStyle name="Normal 4 2 2 3 3 2 6" xfId="2505" xr:uid="{00000000-0005-0000-0000-000056120000}"/>
    <cellStyle name="Normal 4 2 2 3 3 2 6 2" xfId="6788" xr:uid="{00000000-0005-0000-0000-000057120000}"/>
    <cellStyle name="Normal 4 2 2 3 3 2 6 2 2" xfId="24561" xr:uid="{342D7876-EAC6-4AD3-9B36-096735B30D33}"/>
    <cellStyle name="Normal 4 2 2 3 3 2 6 2 2 2" xfId="41455" xr:uid="{38476204-236C-4CE0-A9F5-0F6027E31504}"/>
    <cellStyle name="Normal 4 2 2 3 3 2 6 2 3" xfId="16114" xr:uid="{6717D33C-272D-4529-A1B6-716021060CA4}"/>
    <cellStyle name="Normal 4 2 2 3 3 2 6 2 4" xfId="33008" xr:uid="{29DF0B8A-DEC3-408E-AD9D-B18D8B8086C0}"/>
    <cellStyle name="Normal 4 2 2 3 3 2 6 3" xfId="20344" xr:uid="{CE7C5BE3-F6FB-4D56-9ABE-09D40F0BA812}"/>
    <cellStyle name="Normal 4 2 2 3 3 2 6 3 2" xfId="37238" xr:uid="{EDC1F6F2-593D-42E3-BF60-582128444BCE}"/>
    <cellStyle name="Normal 4 2 2 3 3 2 6 4" xfId="11897" xr:uid="{ED561870-4EC2-4F02-B79C-DDE3D17E967A}"/>
    <cellStyle name="Normal 4 2 2 3 3 2 6 5" xfId="28791" xr:uid="{F505A986-6004-40F9-B631-6475C49F1C7D}"/>
    <cellStyle name="Normal 4 2 2 3 3 2 7" xfId="4723" xr:uid="{00000000-0005-0000-0000-000058120000}"/>
    <cellStyle name="Normal 4 2 2 3 3 2 7 2" xfId="22496" xr:uid="{C7F8F164-B701-4C61-A436-CB79F5B1A8B9}"/>
    <cellStyle name="Normal 4 2 2 3 3 2 7 2 2" xfId="39390" xr:uid="{FC3111B4-49AD-4CAD-885D-E5F11C889A7E}"/>
    <cellStyle name="Normal 4 2 2 3 3 2 7 3" xfId="14049" xr:uid="{A8DD286E-DE89-4D9A-A313-93707ED01063}"/>
    <cellStyle name="Normal 4 2 2 3 3 2 7 4" xfId="30943" xr:uid="{F2BF7AAF-0A70-48A9-A46D-003EEE39D024}"/>
    <cellStyle name="Normal 4 2 2 3 3 2 8" xfId="9094" xr:uid="{1333D468-E252-4686-88C1-38A56B910A8E}"/>
    <cellStyle name="Normal 4 2 2 3 3 2 8 2" xfId="18279" xr:uid="{7CBE2020-5818-4E57-973D-66063F244394}"/>
    <cellStyle name="Normal 4 2 2 3 3 2 8 3" xfId="35173" xr:uid="{6D3A7D7D-1767-4406-AE68-BD752BB97E9E}"/>
    <cellStyle name="Normal 4 2 2 3 3 2 9" xfId="9832" xr:uid="{B9CB47CA-E362-4AC1-8652-C6522C864612}"/>
    <cellStyle name="Normal 4 2 2 3 3 3" xfId="821" xr:uid="{00000000-0005-0000-0000-000059120000}"/>
    <cellStyle name="Normal 4 2 2 3 3 3 2" xfId="3058" xr:uid="{00000000-0005-0000-0000-00005A120000}"/>
    <cellStyle name="Normal 4 2 2 3 3 3 2 2" xfId="7280" xr:uid="{00000000-0005-0000-0000-00005B120000}"/>
    <cellStyle name="Normal 4 2 2 3 3 3 2 2 2" xfId="25053" xr:uid="{EC1B4B55-4549-4667-AECB-C8E2599895D3}"/>
    <cellStyle name="Normal 4 2 2 3 3 3 2 2 2 2" xfId="41947" xr:uid="{638661AD-3F48-47A0-B435-0939EFD951D7}"/>
    <cellStyle name="Normal 4 2 2 3 3 3 2 2 3" xfId="16606" xr:uid="{50F877C6-5CC9-4005-9B35-E478279710F6}"/>
    <cellStyle name="Normal 4 2 2 3 3 3 2 2 4" xfId="33500" xr:uid="{B3BA06A7-BF8A-43D5-B879-A96B5BCAF559}"/>
    <cellStyle name="Normal 4 2 2 3 3 3 2 3" xfId="20836" xr:uid="{6F1F5513-D859-402B-935F-7A180E548698}"/>
    <cellStyle name="Normal 4 2 2 3 3 3 2 3 2" xfId="37730" xr:uid="{6A864180-93B5-440A-9F67-154F01D10A7E}"/>
    <cellStyle name="Normal 4 2 2 3 3 3 2 4" xfId="12389" xr:uid="{BEF47B66-090A-4C8C-BE5F-790173FCF16A}"/>
    <cellStyle name="Normal 4 2 2 3 3 3 2 5" xfId="29283" xr:uid="{F8B15D6F-6BB6-4A88-94E4-23232A078648}"/>
    <cellStyle name="Normal 4 2 2 3 3 3 3" xfId="5135" xr:uid="{00000000-0005-0000-0000-00005C120000}"/>
    <cellStyle name="Normal 4 2 2 3 3 3 3 2" xfId="22908" xr:uid="{16F30DCB-8921-4111-B938-2C484AE54274}"/>
    <cellStyle name="Normal 4 2 2 3 3 3 3 2 2" xfId="39802" xr:uid="{0894A77A-C47E-4137-AEBA-DCD4C827E68C}"/>
    <cellStyle name="Normal 4 2 2 3 3 3 3 3" xfId="14461" xr:uid="{A1F7789D-EBF5-4F78-8AC8-C696BB8CB301}"/>
    <cellStyle name="Normal 4 2 2 3 3 3 3 4" xfId="31355" xr:uid="{5A05B4F1-378F-4940-A184-FC34100918F6}"/>
    <cellStyle name="Normal 4 2 2 3 3 3 4" xfId="9312" xr:uid="{0065946C-778C-4913-8F8B-68BBB1A30769}"/>
    <cellStyle name="Normal 4 2 2 3 3 3 4 2" xfId="18691" xr:uid="{36C66FCE-3954-4C33-B2F1-A4CCD7CE7184}"/>
    <cellStyle name="Normal 4 2 2 3 3 3 4 3" xfId="35585" xr:uid="{C5102589-44E2-49AF-A705-5FBAE1AFD3EB}"/>
    <cellStyle name="Normal 4 2 2 3 3 3 5" xfId="10244" xr:uid="{86E14BF2-F95F-4ED5-A054-DDAE5D3C2217}"/>
    <cellStyle name="Normal 4 2 2 3 3 3 6" xfId="27138" xr:uid="{F6F80D8F-BA6D-4C5E-AF3C-E148FA93E422}"/>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2 2 2" xfId="25466" xr:uid="{60A9EE2D-F2D1-4520-9613-8F039E7ADFDE}"/>
    <cellStyle name="Normal 4 2 2 3 3 4 2 2 2 2" xfId="42360" xr:uid="{09FF6331-5890-49B8-95C3-E75E44DF6E1C}"/>
    <cellStyle name="Normal 4 2 2 3 3 4 2 2 3" xfId="17019" xr:uid="{785CB0D4-316E-4745-B786-B3C28F9DAB4E}"/>
    <cellStyle name="Normal 4 2 2 3 3 4 2 2 4" xfId="33913" xr:uid="{9A2A3A6C-D717-40D9-9A19-998419D15478}"/>
    <cellStyle name="Normal 4 2 2 3 3 4 2 3" xfId="21249" xr:uid="{72EB2332-B6B8-4743-86E4-0E4EBAC6E14E}"/>
    <cellStyle name="Normal 4 2 2 3 3 4 2 3 2" xfId="38143" xr:uid="{AC35CCEF-538D-4CE0-A421-DDA42E624158}"/>
    <cellStyle name="Normal 4 2 2 3 3 4 2 4" xfId="12802" xr:uid="{7C7A9CEA-8D2E-4396-AE3F-52D5C8339F71}"/>
    <cellStyle name="Normal 4 2 2 3 3 4 2 5" xfId="29696" xr:uid="{0B814551-E738-4F37-A204-4FC5944A58EF}"/>
    <cellStyle name="Normal 4 2 2 3 3 4 3" xfId="5548" xr:uid="{00000000-0005-0000-0000-000060120000}"/>
    <cellStyle name="Normal 4 2 2 3 3 4 3 2" xfId="23321" xr:uid="{7C594B2B-3242-4EB1-850C-E0A4AF3578FC}"/>
    <cellStyle name="Normal 4 2 2 3 3 4 3 2 2" xfId="40215" xr:uid="{F2DCFC3B-6E9B-4C85-B262-70891FCDB1F5}"/>
    <cellStyle name="Normal 4 2 2 3 3 4 3 3" xfId="14874" xr:uid="{FD713EC0-FE22-43BA-A77B-C8E342BC5D0A}"/>
    <cellStyle name="Normal 4 2 2 3 3 4 3 4" xfId="31768" xr:uid="{A60BC755-E96F-4482-B58E-9AD8F1A79E4C}"/>
    <cellStyle name="Normal 4 2 2 3 3 4 4" xfId="19104" xr:uid="{DF7479ED-C53B-4385-A843-2EC82A378B8F}"/>
    <cellStyle name="Normal 4 2 2 3 3 4 4 2" xfId="35998" xr:uid="{CA398ACA-50DF-40F9-87AC-9A53676B642D}"/>
    <cellStyle name="Normal 4 2 2 3 3 4 5" xfId="10657" xr:uid="{876E3699-62DD-49A1-927B-90FA97E8935A}"/>
    <cellStyle name="Normal 4 2 2 3 3 4 6" xfId="27551" xr:uid="{07B0B928-FF39-44B1-BA38-DD37D76C6D49}"/>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2 2 2" xfId="25879" xr:uid="{E1CFF5DB-ABF4-42FB-9F3F-1BB709B57C97}"/>
    <cellStyle name="Normal 4 2 2 3 3 5 2 2 2 2" xfId="42773" xr:uid="{C6CF3102-BB32-4039-89C3-D43302F00655}"/>
    <cellStyle name="Normal 4 2 2 3 3 5 2 2 3" xfId="17432" xr:uid="{3046F32B-C35E-4775-BC96-C0D3AAD2EC26}"/>
    <cellStyle name="Normal 4 2 2 3 3 5 2 2 4" xfId="34326" xr:uid="{440318AE-948E-4F6A-86DC-195A28EAE5B1}"/>
    <cellStyle name="Normal 4 2 2 3 3 5 2 3" xfId="21662" xr:uid="{DC51A9BC-D0FE-4DC8-93DC-762BFDB79852}"/>
    <cellStyle name="Normal 4 2 2 3 3 5 2 3 2" xfId="38556" xr:uid="{F43C1F33-09A6-4B3C-A690-B60D5C29E76E}"/>
    <cellStyle name="Normal 4 2 2 3 3 5 2 4" xfId="13215" xr:uid="{6B4376CD-825D-4D2C-8F77-E3466F8EC48E}"/>
    <cellStyle name="Normal 4 2 2 3 3 5 2 5" xfId="30109" xr:uid="{D0778150-0D41-43D6-B35B-126B0661045E}"/>
    <cellStyle name="Normal 4 2 2 3 3 5 3" xfId="5961" xr:uid="{00000000-0005-0000-0000-000064120000}"/>
    <cellStyle name="Normal 4 2 2 3 3 5 3 2" xfId="23734" xr:uid="{1DC22B8A-353A-4DCA-8375-FB19AA2DDEA4}"/>
    <cellStyle name="Normal 4 2 2 3 3 5 3 2 2" xfId="40628" xr:uid="{37F8D9A2-D122-4604-BBA7-E0DEE761CBAB}"/>
    <cellStyle name="Normal 4 2 2 3 3 5 3 3" xfId="15287" xr:uid="{62969DA2-084A-4F2A-8E84-A7A1BBACC570}"/>
    <cellStyle name="Normal 4 2 2 3 3 5 3 4" xfId="32181" xr:uid="{0261107B-CB20-46E0-9DB6-911A8AF0D330}"/>
    <cellStyle name="Normal 4 2 2 3 3 5 4" xfId="19517" xr:uid="{3A4FE6E8-31D1-4B8C-A1D6-55CF3D6D6DC9}"/>
    <cellStyle name="Normal 4 2 2 3 3 5 4 2" xfId="36411" xr:uid="{95551892-75FA-4BA6-A8CC-383919DEDEE5}"/>
    <cellStyle name="Normal 4 2 2 3 3 5 5" xfId="11070" xr:uid="{96C20420-D67C-4FE4-950D-C989CEC61826}"/>
    <cellStyle name="Normal 4 2 2 3 3 5 6" xfId="27964" xr:uid="{46D65B45-91E7-4F5D-98E8-8B223357E965}"/>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2 2 2" xfId="26292" xr:uid="{B0721701-DA64-41E4-8424-B1AA65FF9469}"/>
    <cellStyle name="Normal 4 2 2 3 3 6 2 2 2 2" xfId="43186" xr:uid="{D8C45BF2-8273-4874-AC93-FC025F52B1F5}"/>
    <cellStyle name="Normal 4 2 2 3 3 6 2 2 3" xfId="17845" xr:uid="{07525F69-6652-44CC-A850-27B359F74910}"/>
    <cellStyle name="Normal 4 2 2 3 3 6 2 2 4" xfId="34739" xr:uid="{1172033F-3199-49F5-95FE-A1E932BCEEB2}"/>
    <cellStyle name="Normal 4 2 2 3 3 6 2 3" xfId="22075" xr:uid="{8F7F499E-B917-4DA7-B929-A2615A9DB2C5}"/>
    <cellStyle name="Normal 4 2 2 3 3 6 2 3 2" xfId="38969" xr:uid="{48DC350B-4C9C-4864-A9F5-5B199AC416E4}"/>
    <cellStyle name="Normal 4 2 2 3 3 6 2 4" xfId="13628" xr:uid="{4AA11A08-5D8D-4A04-B321-9527E027F9EA}"/>
    <cellStyle name="Normal 4 2 2 3 3 6 2 5" xfId="30522" xr:uid="{F9D643EB-4648-46B2-BA0D-2EE739C2EAB3}"/>
    <cellStyle name="Normal 4 2 2 3 3 6 3" xfId="6374" xr:uid="{00000000-0005-0000-0000-000068120000}"/>
    <cellStyle name="Normal 4 2 2 3 3 6 3 2" xfId="24147" xr:uid="{DCA0B455-CC2C-48B7-BD90-5CEA401D3EB6}"/>
    <cellStyle name="Normal 4 2 2 3 3 6 3 2 2" xfId="41041" xr:uid="{A5D914BE-8E47-4CE5-84B1-C63969FABCD0}"/>
    <cellStyle name="Normal 4 2 2 3 3 6 3 3" xfId="15700" xr:uid="{C27FDEAF-D433-434D-9438-EAD17FA8F518}"/>
    <cellStyle name="Normal 4 2 2 3 3 6 3 4" xfId="32594" xr:uid="{643DC127-74FC-4DDE-A59D-D420A18BE130}"/>
    <cellStyle name="Normal 4 2 2 3 3 6 4" xfId="19930" xr:uid="{199353EA-5008-4CC0-B474-B1A37F4AEAA3}"/>
    <cellStyle name="Normal 4 2 2 3 3 6 4 2" xfId="36824" xr:uid="{FD6FAA85-1C01-40DF-B1B1-AF6ECE9F5403}"/>
    <cellStyle name="Normal 4 2 2 3 3 6 5" xfId="11483" xr:uid="{76A20ED1-34A4-410F-BB6F-FC5AC6388771}"/>
    <cellStyle name="Normal 4 2 2 3 3 6 6" xfId="28377" xr:uid="{9E23A536-05F8-4957-857A-953626F5E63B}"/>
    <cellStyle name="Normal 4 2 2 3 3 7" xfId="2504" xr:uid="{00000000-0005-0000-0000-000069120000}"/>
    <cellStyle name="Normal 4 2 2 3 3 7 2" xfId="6787" xr:uid="{00000000-0005-0000-0000-00006A120000}"/>
    <cellStyle name="Normal 4 2 2 3 3 7 2 2" xfId="24560" xr:uid="{DFCAAE86-11EB-4846-8371-929BEFA691D3}"/>
    <cellStyle name="Normal 4 2 2 3 3 7 2 2 2" xfId="41454" xr:uid="{78A07A01-2612-442C-8C6D-1EEDE1436973}"/>
    <cellStyle name="Normal 4 2 2 3 3 7 2 3" xfId="16113" xr:uid="{0E83D576-F6D0-442F-A5FA-4A37A6DBC95C}"/>
    <cellStyle name="Normal 4 2 2 3 3 7 2 4" xfId="33007" xr:uid="{55ED1439-85A1-45A6-B586-12D912E2E01E}"/>
    <cellStyle name="Normal 4 2 2 3 3 7 3" xfId="20343" xr:uid="{24DC07CA-357F-4108-8000-A2D9F531CA95}"/>
    <cellStyle name="Normal 4 2 2 3 3 7 3 2" xfId="37237" xr:uid="{4FF62408-C4BF-4B34-B1B3-4227DF49644C}"/>
    <cellStyle name="Normal 4 2 2 3 3 7 4" xfId="11896" xr:uid="{668395C6-1F8D-459A-A7CA-5552CE86D94D}"/>
    <cellStyle name="Normal 4 2 2 3 3 7 5" xfId="28790" xr:uid="{5FC571CD-F8BC-411E-9813-636D2556DB0D}"/>
    <cellStyle name="Normal 4 2 2 3 3 8" xfId="4722" xr:uid="{00000000-0005-0000-0000-00006B120000}"/>
    <cellStyle name="Normal 4 2 2 3 3 8 2" xfId="22495" xr:uid="{C2C92624-0A58-41DD-9B74-D8880038D75F}"/>
    <cellStyle name="Normal 4 2 2 3 3 8 2 2" xfId="39389" xr:uid="{5F9E8720-2A02-4322-A342-389C64F60AE3}"/>
    <cellStyle name="Normal 4 2 2 3 3 8 3" xfId="14048" xr:uid="{328965F2-86B3-4E5B-8A40-D40C50E60AEF}"/>
    <cellStyle name="Normal 4 2 2 3 3 8 4" xfId="30942" xr:uid="{D456B832-8674-49D8-BA98-7AF868E0882F}"/>
    <cellStyle name="Normal 4 2 2 3 3 9" xfId="8887" xr:uid="{FD79599D-FD4F-44F4-A7A6-B948A2C15DD2}"/>
    <cellStyle name="Normal 4 2 2 3 3 9 2" xfId="18278" xr:uid="{4BE4A7E8-ED22-4B92-B6C9-86F63B72EEE4}"/>
    <cellStyle name="Normal 4 2 2 3 3 9 3" xfId="35172" xr:uid="{34B9A384-8DC7-49D2-A1B0-C9947D0E857A}"/>
    <cellStyle name="Normal 4 2 2 3 4" xfId="346" xr:uid="{00000000-0005-0000-0000-00006C120000}"/>
    <cellStyle name="Normal 4 2 2 3 4 10" xfId="26727" xr:uid="{2E2167F3-3909-47B5-8E36-FFFE3A6021BA}"/>
    <cellStyle name="Normal 4 2 2 3 4 2" xfId="823" xr:uid="{00000000-0005-0000-0000-00006D120000}"/>
    <cellStyle name="Normal 4 2 2 3 4 2 2" xfId="3060" xr:uid="{00000000-0005-0000-0000-00006E120000}"/>
    <cellStyle name="Normal 4 2 2 3 4 2 2 2" xfId="7282" xr:uid="{00000000-0005-0000-0000-00006F120000}"/>
    <cellStyle name="Normal 4 2 2 3 4 2 2 2 2" xfId="25055" xr:uid="{94249E39-6201-4425-9E20-283C03CF3B1A}"/>
    <cellStyle name="Normal 4 2 2 3 4 2 2 2 2 2" xfId="41949" xr:uid="{F6EE4F3C-9643-4642-8B00-B733403A7F00}"/>
    <cellStyle name="Normal 4 2 2 3 4 2 2 2 3" xfId="16608" xr:uid="{93B6ECE3-FE26-4FE2-A1D9-CA0220358C1B}"/>
    <cellStyle name="Normal 4 2 2 3 4 2 2 2 4" xfId="33502" xr:uid="{9E491239-C1C7-4D94-AFA7-C596DBE030AB}"/>
    <cellStyle name="Normal 4 2 2 3 4 2 2 3" xfId="20838" xr:uid="{8C73F7F7-FF93-4F10-AD51-3019DDD45AEE}"/>
    <cellStyle name="Normal 4 2 2 3 4 2 2 3 2" xfId="37732" xr:uid="{FD631B05-89D3-4109-A046-47610021EF22}"/>
    <cellStyle name="Normal 4 2 2 3 4 2 2 4" xfId="12391" xr:uid="{853D324D-9F65-4B83-9376-47DC36CA67FC}"/>
    <cellStyle name="Normal 4 2 2 3 4 2 2 5" xfId="29285" xr:uid="{A8904D18-4ABC-48D0-8EC6-6613AE6213FF}"/>
    <cellStyle name="Normal 4 2 2 3 4 2 3" xfId="5137" xr:uid="{00000000-0005-0000-0000-000070120000}"/>
    <cellStyle name="Normal 4 2 2 3 4 2 3 2" xfId="22910" xr:uid="{F2000761-78E6-40DF-A5AF-F773AEF33CEE}"/>
    <cellStyle name="Normal 4 2 2 3 4 2 3 2 2" xfId="39804" xr:uid="{1FCC003B-B6D4-4C36-A633-5A261870DBB3}"/>
    <cellStyle name="Normal 4 2 2 3 4 2 3 3" xfId="14463" xr:uid="{66A7786C-A4E0-40F1-B963-7C93885669F5}"/>
    <cellStyle name="Normal 4 2 2 3 4 2 3 4" xfId="31357" xr:uid="{238A29EF-4EDC-47BC-8F1D-AAE3E046FA82}"/>
    <cellStyle name="Normal 4 2 2 3 4 2 4" xfId="9416" xr:uid="{B0F1A5CD-0EDE-48A7-9669-6902681F696C}"/>
    <cellStyle name="Normal 4 2 2 3 4 2 4 2" xfId="18693" xr:uid="{4B4396F4-A643-4DB2-B2E5-BE59074A207E}"/>
    <cellStyle name="Normal 4 2 2 3 4 2 4 3" xfId="35587" xr:uid="{84C2588A-3912-4328-8869-119CE345DDBC}"/>
    <cellStyle name="Normal 4 2 2 3 4 2 5" xfId="10246" xr:uid="{D22E7563-C541-4D4B-800B-5B743833EE1E}"/>
    <cellStyle name="Normal 4 2 2 3 4 2 6" xfId="27140" xr:uid="{BC28EFAB-9861-41EF-ADA3-6934851B0D0E}"/>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2 2 2" xfId="25468" xr:uid="{8EE5B372-1C7A-4852-A762-A5A35E5AEF19}"/>
    <cellStyle name="Normal 4 2 2 3 4 3 2 2 2 2" xfId="42362" xr:uid="{CBF9E4D0-B068-4534-9ECC-E3C7C0F49F03}"/>
    <cellStyle name="Normal 4 2 2 3 4 3 2 2 3" xfId="17021" xr:uid="{B9ED3C28-92F9-4256-AFC2-DAE6FF3E1EDB}"/>
    <cellStyle name="Normal 4 2 2 3 4 3 2 2 4" xfId="33915" xr:uid="{2103A8E6-1A9D-4D80-9C9B-18143D32D578}"/>
    <cellStyle name="Normal 4 2 2 3 4 3 2 3" xfId="21251" xr:uid="{D1948EF4-8A7B-4F4C-A081-C29C8B2C2FB5}"/>
    <cellStyle name="Normal 4 2 2 3 4 3 2 3 2" xfId="38145" xr:uid="{72379F9B-D79A-42E2-9C2D-E1EDEA3C7D27}"/>
    <cellStyle name="Normal 4 2 2 3 4 3 2 4" xfId="12804" xr:uid="{44DC5515-CD73-481B-A07E-1AF3F80E4649}"/>
    <cellStyle name="Normal 4 2 2 3 4 3 2 5" xfId="29698" xr:uid="{CF970529-21F9-46B5-835C-424146AB4774}"/>
    <cellStyle name="Normal 4 2 2 3 4 3 3" xfId="5550" xr:uid="{00000000-0005-0000-0000-000074120000}"/>
    <cellStyle name="Normal 4 2 2 3 4 3 3 2" xfId="23323" xr:uid="{D9BE8449-5125-419C-9DD7-F5AE3DB42C01}"/>
    <cellStyle name="Normal 4 2 2 3 4 3 3 2 2" xfId="40217" xr:uid="{C56CEA1B-4263-4C02-BC36-98C44CA8F88F}"/>
    <cellStyle name="Normal 4 2 2 3 4 3 3 3" xfId="14876" xr:uid="{FA1258BC-3090-4917-9711-26DD496CFD47}"/>
    <cellStyle name="Normal 4 2 2 3 4 3 3 4" xfId="31770" xr:uid="{239B8D26-569B-4CF3-862A-19AA1FC2EC0D}"/>
    <cellStyle name="Normal 4 2 2 3 4 3 4" xfId="19106" xr:uid="{F5692B78-2D84-47A1-BDE1-EE9D538B4E3D}"/>
    <cellStyle name="Normal 4 2 2 3 4 3 4 2" xfId="36000" xr:uid="{2CB27C01-A02B-47E5-8BCD-BA93C9BE1D14}"/>
    <cellStyle name="Normal 4 2 2 3 4 3 5" xfId="10659" xr:uid="{2D34E847-D32F-4AFC-9774-0F60F5D7B6EA}"/>
    <cellStyle name="Normal 4 2 2 3 4 3 6" xfId="27553" xr:uid="{960C0924-B2F6-4DC1-A117-05B1CC89419F}"/>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2 2 2" xfId="25881" xr:uid="{7E4E77BD-6DAF-479B-8AA5-AE10929EFF33}"/>
    <cellStyle name="Normal 4 2 2 3 4 4 2 2 2 2" xfId="42775" xr:uid="{08D40902-E928-4F14-B165-9114F6000289}"/>
    <cellStyle name="Normal 4 2 2 3 4 4 2 2 3" xfId="17434" xr:uid="{48EE9146-076F-4264-AFFB-98613BA12D32}"/>
    <cellStyle name="Normal 4 2 2 3 4 4 2 2 4" xfId="34328" xr:uid="{CEE95187-1169-4239-A044-D45C195A256A}"/>
    <cellStyle name="Normal 4 2 2 3 4 4 2 3" xfId="21664" xr:uid="{FBEFEE76-48E4-4A5D-A98D-C8A86EDF39C1}"/>
    <cellStyle name="Normal 4 2 2 3 4 4 2 3 2" xfId="38558" xr:uid="{A9C3F453-3F36-409E-B49E-28EA601B5741}"/>
    <cellStyle name="Normal 4 2 2 3 4 4 2 4" xfId="13217" xr:uid="{DFA652EA-7DF9-4CB0-83AB-4E090E841A9D}"/>
    <cellStyle name="Normal 4 2 2 3 4 4 2 5" xfId="30111" xr:uid="{7FB01C40-44B2-44B6-A7C4-D1F32CBC5407}"/>
    <cellStyle name="Normal 4 2 2 3 4 4 3" xfId="5963" xr:uid="{00000000-0005-0000-0000-000078120000}"/>
    <cellStyle name="Normal 4 2 2 3 4 4 3 2" xfId="23736" xr:uid="{05574BD9-7626-4CC5-9C4D-8F3A773BC49C}"/>
    <cellStyle name="Normal 4 2 2 3 4 4 3 2 2" xfId="40630" xr:uid="{80776B71-2491-4491-9A94-93DD2A90553F}"/>
    <cellStyle name="Normal 4 2 2 3 4 4 3 3" xfId="15289" xr:uid="{F1CE6671-8184-40D7-BC57-3C053F6834A1}"/>
    <cellStyle name="Normal 4 2 2 3 4 4 3 4" xfId="32183" xr:uid="{882C6C24-A773-4103-BA1F-57DF29F3903C}"/>
    <cellStyle name="Normal 4 2 2 3 4 4 4" xfId="19519" xr:uid="{5AACF915-A89D-4CF5-AF31-3F2F8963C928}"/>
    <cellStyle name="Normal 4 2 2 3 4 4 4 2" xfId="36413" xr:uid="{53C9AA9E-E11B-426C-A31A-941DC7E6E7D0}"/>
    <cellStyle name="Normal 4 2 2 3 4 4 5" xfId="11072" xr:uid="{9C44DC58-CEAE-4BEF-8938-EC5E9EF55388}"/>
    <cellStyle name="Normal 4 2 2 3 4 4 6" xfId="27966" xr:uid="{7C07CBD9-68F6-4FC0-93AC-04C8EF602E2F}"/>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2 2 2" xfId="26294" xr:uid="{9B76E8EB-9A7B-431A-BE0B-C5100C5AD35C}"/>
    <cellStyle name="Normal 4 2 2 3 4 5 2 2 2 2" xfId="43188" xr:uid="{3D462CA6-1DB0-4E5D-BF39-48BBB67B9988}"/>
    <cellStyle name="Normal 4 2 2 3 4 5 2 2 3" xfId="17847" xr:uid="{AD989CEB-1CE8-4ADC-9258-83335ED5FAC3}"/>
    <cellStyle name="Normal 4 2 2 3 4 5 2 2 4" xfId="34741" xr:uid="{53686959-2890-483D-894F-8A7615F29FC4}"/>
    <cellStyle name="Normal 4 2 2 3 4 5 2 3" xfId="22077" xr:uid="{4827BC3D-8FE5-4248-A365-E95FC26E5D0F}"/>
    <cellStyle name="Normal 4 2 2 3 4 5 2 3 2" xfId="38971" xr:uid="{94379022-ED26-4CC5-9A2B-228D9F3B583B}"/>
    <cellStyle name="Normal 4 2 2 3 4 5 2 4" xfId="13630" xr:uid="{863C35D1-F26B-46A1-B235-942CEF9B3E6C}"/>
    <cellStyle name="Normal 4 2 2 3 4 5 2 5" xfId="30524" xr:uid="{2A7B798A-E966-4427-9004-AA34E7C8BEC0}"/>
    <cellStyle name="Normal 4 2 2 3 4 5 3" xfId="6376" xr:uid="{00000000-0005-0000-0000-00007C120000}"/>
    <cellStyle name="Normal 4 2 2 3 4 5 3 2" xfId="24149" xr:uid="{EB7F85E9-4B7A-414A-82B6-11C29A00416A}"/>
    <cellStyle name="Normal 4 2 2 3 4 5 3 2 2" xfId="41043" xr:uid="{51BE4E32-F744-4234-BF42-BDA724A4FCE6}"/>
    <cellStyle name="Normal 4 2 2 3 4 5 3 3" xfId="15702" xr:uid="{05275E9C-B82C-4841-8E4B-676D07F01239}"/>
    <cellStyle name="Normal 4 2 2 3 4 5 3 4" xfId="32596" xr:uid="{9A427838-A992-4D11-9003-D58D21015949}"/>
    <cellStyle name="Normal 4 2 2 3 4 5 4" xfId="19932" xr:uid="{34007E90-5F51-4BF6-9E4C-BE589C452A10}"/>
    <cellStyle name="Normal 4 2 2 3 4 5 4 2" xfId="36826" xr:uid="{20B87F1E-5BE5-4949-A274-AE1BA2EC7704}"/>
    <cellStyle name="Normal 4 2 2 3 4 5 5" xfId="11485" xr:uid="{1144E2BA-C9CA-4B50-BF7D-11A554CADC14}"/>
    <cellStyle name="Normal 4 2 2 3 4 5 6" xfId="28379" xr:uid="{BE81F3C7-7F83-4C86-97C9-BE60B4BF2200}"/>
    <cellStyle name="Normal 4 2 2 3 4 6" xfId="2506" xr:uid="{00000000-0005-0000-0000-00007D120000}"/>
    <cellStyle name="Normal 4 2 2 3 4 6 2" xfId="6789" xr:uid="{00000000-0005-0000-0000-00007E120000}"/>
    <cellStyle name="Normal 4 2 2 3 4 6 2 2" xfId="24562" xr:uid="{8EF56F9B-E3DD-4120-8C2E-C7BA71D64B40}"/>
    <cellStyle name="Normal 4 2 2 3 4 6 2 2 2" xfId="41456" xr:uid="{2D94EECB-8016-4A30-B214-1C497B93C3CF}"/>
    <cellStyle name="Normal 4 2 2 3 4 6 2 3" xfId="16115" xr:uid="{4B2E3715-37C6-4642-B2C1-7E3AC73BE18C}"/>
    <cellStyle name="Normal 4 2 2 3 4 6 2 4" xfId="33009" xr:uid="{35F6E92E-EC88-48C4-87E5-8712528FCCFF}"/>
    <cellStyle name="Normal 4 2 2 3 4 6 3" xfId="20345" xr:uid="{A2E1A6F2-B3CA-40F3-8167-A4B293BBB061}"/>
    <cellStyle name="Normal 4 2 2 3 4 6 3 2" xfId="37239" xr:uid="{221787A6-9E81-4D81-931E-4A8CA191D8DB}"/>
    <cellStyle name="Normal 4 2 2 3 4 6 4" xfId="11898" xr:uid="{3EDD614C-B297-4E69-BBA9-80C3E57D817E}"/>
    <cellStyle name="Normal 4 2 2 3 4 6 5" xfId="28792" xr:uid="{FCAA440B-0006-4D74-8EBB-5CFF392E5C66}"/>
    <cellStyle name="Normal 4 2 2 3 4 7" xfId="4724" xr:uid="{00000000-0005-0000-0000-00007F120000}"/>
    <cellStyle name="Normal 4 2 2 3 4 7 2" xfId="22497" xr:uid="{496F45EA-068C-4E9A-8640-695082E691E9}"/>
    <cellStyle name="Normal 4 2 2 3 4 7 2 2" xfId="39391" xr:uid="{E9AF0992-3A80-4CD0-8096-8790CD0D721D}"/>
    <cellStyle name="Normal 4 2 2 3 4 7 3" xfId="14050" xr:uid="{E42DF042-14A4-436B-9CCF-02AFF53C5FDD}"/>
    <cellStyle name="Normal 4 2 2 3 4 7 4" xfId="30944" xr:uid="{AE9B8DE0-E733-4817-B6C9-952BB7ECB46F}"/>
    <cellStyle name="Normal 4 2 2 3 4 8" xfId="8991" xr:uid="{84464EC3-90C2-4B18-8399-135C935528F7}"/>
    <cellStyle name="Normal 4 2 2 3 4 8 2" xfId="18280" xr:uid="{52B8D36E-8EBF-4D44-9AE5-9873505398AA}"/>
    <cellStyle name="Normal 4 2 2 3 4 8 3" xfId="35174" xr:uid="{0E03706C-1F9E-4EB6-9679-5A3EA19C1BE3}"/>
    <cellStyle name="Normal 4 2 2 3 4 9" xfId="9833" xr:uid="{FEB1DA21-C64E-4DFE-8B4A-73DB2D368057}"/>
    <cellStyle name="Normal 4 2 2 3 5" xfId="816" xr:uid="{00000000-0005-0000-0000-000080120000}"/>
    <cellStyle name="Normal 4 2 2 3 5 2" xfId="3053" xr:uid="{00000000-0005-0000-0000-000081120000}"/>
    <cellStyle name="Normal 4 2 2 3 5 2 2" xfId="7275" xr:uid="{00000000-0005-0000-0000-000082120000}"/>
    <cellStyle name="Normal 4 2 2 3 5 2 2 2" xfId="25048" xr:uid="{71ACFC0D-F369-4811-9447-8BD49D084C60}"/>
    <cellStyle name="Normal 4 2 2 3 5 2 2 2 2" xfId="41942" xr:uid="{B27F1645-DBBD-4B17-BAC9-9920DEDCF69C}"/>
    <cellStyle name="Normal 4 2 2 3 5 2 2 3" xfId="16601" xr:uid="{41F42B55-BD9E-4E4F-AD94-C886CDD98EAF}"/>
    <cellStyle name="Normal 4 2 2 3 5 2 2 4" xfId="33495" xr:uid="{7FEC4DFE-6376-48D3-92EC-5A4E5C1D05E4}"/>
    <cellStyle name="Normal 4 2 2 3 5 2 3" xfId="20831" xr:uid="{392FE4BA-2005-4B36-B16D-7DBC92E9B926}"/>
    <cellStyle name="Normal 4 2 2 3 5 2 3 2" xfId="37725" xr:uid="{3B11ADA8-3F05-4D73-ADB7-72880F48A2C6}"/>
    <cellStyle name="Normal 4 2 2 3 5 2 4" xfId="12384" xr:uid="{CE86E77F-037D-414B-8736-B9C0B060229C}"/>
    <cellStyle name="Normal 4 2 2 3 5 2 5" xfId="29278" xr:uid="{B2B3AF08-3E9A-4D69-A06D-1A496AA19355}"/>
    <cellStyle name="Normal 4 2 2 3 5 3" xfId="5130" xr:uid="{00000000-0005-0000-0000-000083120000}"/>
    <cellStyle name="Normal 4 2 2 3 5 3 2" xfId="22903" xr:uid="{C2B73557-1951-44DB-BBB9-A50B2E8A6434}"/>
    <cellStyle name="Normal 4 2 2 3 5 3 2 2" xfId="39797" xr:uid="{82574DA4-39FA-45C5-A7E7-4193F4F99398}"/>
    <cellStyle name="Normal 4 2 2 3 5 3 3" xfId="14456" xr:uid="{BF55020A-BF2E-44E1-8708-FE5B2018EF3A}"/>
    <cellStyle name="Normal 4 2 2 3 5 3 4" xfId="31350" xr:uid="{E9E1C04A-ECC2-4A21-8B63-BE7004587D69}"/>
    <cellStyle name="Normal 4 2 2 3 5 4" xfId="9208" xr:uid="{7BF9CD11-B90D-42F2-928D-A8BE344C6F46}"/>
    <cellStyle name="Normal 4 2 2 3 5 4 2" xfId="18686" xr:uid="{C03E1112-2BC6-435D-805E-A03EA66B0EFF}"/>
    <cellStyle name="Normal 4 2 2 3 5 4 3" xfId="35580" xr:uid="{5C36E4CD-77C0-4E47-B2E0-C42DE0D944F6}"/>
    <cellStyle name="Normal 4 2 2 3 5 5" xfId="10239" xr:uid="{8A313616-2878-4612-9782-0DC949529B48}"/>
    <cellStyle name="Normal 4 2 2 3 5 6" xfId="27133" xr:uid="{4F536B72-15E0-44DC-8AA6-B40AAB9AA9D7}"/>
    <cellStyle name="Normal 4 2 2 3 6" xfId="1236" xr:uid="{00000000-0005-0000-0000-000084120000}"/>
    <cellStyle name="Normal 4 2 2 3 6 2" xfId="3466" xr:uid="{00000000-0005-0000-0000-000085120000}"/>
    <cellStyle name="Normal 4 2 2 3 6 2 2" xfId="7688" xr:uid="{00000000-0005-0000-0000-000086120000}"/>
    <cellStyle name="Normal 4 2 2 3 6 2 2 2" xfId="25461" xr:uid="{650874F7-D532-4C90-A360-0F3316745C09}"/>
    <cellStyle name="Normal 4 2 2 3 6 2 2 2 2" xfId="42355" xr:uid="{9EBA4E66-54CB-4A8F-A6D7-C9D3C8787080}"/>
    <cellStyle name="Normal 4 2 2 3 6 2 2 3" xfId="17014" xr:uid="{AC242DDC-7E25-4A37-BCB5-84335E5CA5C6}"/>
    <cellStyle name="Normal 4 2 2 3 6 2 2 4" xfId="33908" xr:uid="{E802DC20-EFBB-495A-94D6-63C25C9D67F2}"/>
    <cellStyle name="Normal 4 2 2 3 6 2 3" xfId="21244" xr:uid="{22666A08-E158-422A-A242-AA3DEBA5B77E}"/>
    <cellStyle name="Normal 4 2 2 3 6 2 3 2" xfId="38138" xr:uid="{E1EA8C77-A6C4-4A24-AE0C-B591E99A80DA}"/>
    <cellStyle name="Normal 4 2 2 3 6 2 4" xfId="12797" xr:uid="{B79891DA-FE21-4D04-B92E-E18B18F4DC41}"/>
    <cellStyle name="Normal 4 2 2 3 6 2 5" xfId="29691" xr:uid="{527BCFE8-D655-4FD6-AAFD-8C90660AD23E}"/>
    <cellStyle name="Normal 4 2 2 3 6 3" xfId="5543" xr:uid="{00000000-0005-0000-0000-000087120000}"/>
    <cellStyle name="Normal 4 2 2 3 6 3 2" xfId="23316" xr:uid="{2A2B6EE5-EDC7-4509-AA3A-B04BDAE9D787}"/>
    <cellStyle name="Normal 4 2 2 3 6 3 2 2" xfId="40210" xr:uid="{910266FE-4EB3-4CEA-9196-F8F71EA8A96B}"/>
    <cellStyle name="Normal 4 2 2 3 6 3 3" xfId="14869" xr:uid="{DC392E6F-AC2C-419A-AA00-7D3A69123FA8}"/>
    <cellStyle name="Normal 4 2 2 3 6 3 4" xfId="31763" xr:uid="{DE54A48D-7F0B-4CB0-A7C1-0C85D696DBE6}"/>
    <cellStyle name="Normal 4 2 2 3 6 4" xfId="19099" xr:uid="{BEA31016-614C-48B8-AC74-CFF1BB5DDD33}"/>
    <cellStyle name="Normal 4 2 2 3 6 4 2" xfId="35993" xr:uid="{3086AAAD-AAC1-490D-B65F-AE4540841C64}"/>
    <cellStyle name="Normal 4 2 2 3 6 5" xfId="10652" xr:uid="{6FE58640-A263-4D98-BF17-3AC9E0458063}"/>
    <cellStyle name="Normal 4 2 2 3 6 6" xfId="27546" xr:uid="{3193C206-C772-4162-9E16-0A88E4DA7A80}"/>
    <cellStyle name="Normal 4 2 2 3 7" xfId="1649" xr:uid="{00000000-0005-0000-0000-000088120000}"/>
    <cellStyle name="Normal 4 2 2 3 7 2" xfId="3879" xr:uid="{00000000-0005-0000-0000-000089120000}"/>
    <cellStyle name="Normal 4 2 2 3 7 2 2" xfId="8101" xr:uid="{00000000-0005-0000-0000-00008A120000}"/>
    <cellStyle name="Normal 4 2 2 3 7 2 2 2" xfId="25874" xr:uid="{7478CC78-2C51-46C7-9394-B65923EB6D2D}"/>
    <cellStyle name="Normal 4 2 2 3 7 2 2 2 2" xfId="42768" xr:uid="{EAA0AE05-4430-4757-B9AA-B5380F841652}"/>
    <cellStyle name="Normal 4 2 2 3 7 2 2 3" xfId="17427" xr:uid="{879F20A0-714A-4E0E-8FDC-200913D4D135}"/>
    <cellStyle name="Normal 4 2 2 3 7 2 2 4" xfId="34321" xr:uid="{D84415AE-69F3-4DAC-9F22-E4AC0B550B41}"/>
    <cellStyle name="Normal 4 2 2 3 7 2 3" xfId="21657" xr:uid="{FF3D6771-F728-4566-B41D-B48A26B215C8}"/>
    <cellStyle name="Normal 4 2 2 3 7 2 3 2" xfId="38551" xr:uid="{1B4DF4C1-5EA3-412B-96E9-5DF9DE5C0FE7}"/>
    <cellStyle name="Normal 4 2 2 3 7 2 4" xfId="13210" xr:uid="{3900E036-625C-4129-926A-AC404C78B5F5}"/>
    <cellStyle name="Normal 4 2 2 3 7 2 5" xfId="30104" xr:uid="{BDDC0880-DEC7-40AC-A771-DC5439687F9D}"/>
    <cellStyle name="Normal 4 2 2 3 7 3" xfId="5956" xr:uid="{00000000-0005-0000-0000-00008B120000}"/>
    <cellStyle name="Normal 4 2 2 3 7 3 2" xfId="23729" xr:uid="{8A459CB2-88FD-4A6F-A0A9-5B64AF50451E}"/>
    <cellStyle name="Normal 4 2 2 3 7 3 2 2" xfId="40623" xr:uid="{196FAE00-5E43-48FB-BF17-279365058C20}"/>
    <cellStyle name="Normal 4 2 2 3 7 3 3" xfId="15282" xr:uid="{A8539CF6-F055-4E26-AA3E-6F81FA776C89}"/>
    <cellStyle name="Normal 4 2 2 3 7 3 4" xfId="32176" xr:uid="{7B256A9B-9F8A-4312-A96F-8DA4644FEF3C}"/>
    <cellStyle name="Normal 4 2 2 3 7 4" xfId="19512" xr:uid="{F430D56D-C44C-4688-A99E-B1F51FE9059B}"/>
    <cellStyle name="Normal 4 2 2 3 7 4 2" xfId="36406" xr:uid="{1439BF82-B50A-4985-A239-29674CBCCC34}"/>
    <cellStyle name="Normal 4 2 2 3 7 5" xfId="11065" xr:uid="{4E2AF3BD-2416-4A2D-B06D-512DBBB3CA52}"/>
    <cellStyle name="Normal 4 2 2 3 7 6" xfId="27959" xr:uid="{32B0E8DB-49D2-4F4F-BC19-8B95CAADBD75}"/>
    <cellStyle name="Normal 4 2 2 3 8" xfId="2063" xr:uid="{00000000-0005-0000-0000-00008C120000}"/>
    <cellStyle name="Normal 4 2 2 3 8 2" xfId="4292" xr:uid="{00000000-0005-0000-0000-00008D120000}"/>
    <cellStyle name="Normal 4 2 2 3 8 2 2" xfId="8514" xr:uid="{00000000-0005-0000-0000-00008E120000}"/>
    <cellStyle name="Normal 4 2 2 3 8 2 2 2" xfId="26287" xr:uid="{D15C6D0C-A796-4FB2-AC1D-B6425B5D39B3}"/>
    <cellStyle name="Normal 4 2 2 3 8 2 2 2 2" xfId="43181" xr:uid="{F0F18906-2979-4A5F-8DDD-2B2CC8B6C1A5}"/>
    <cellStyle name="Normal 4 2 2 3 8 2 2 3" xfId="17840" xr:uid="{AB736675-EBB8-495D-864E-66872CC90290}"/>
    <cellStyle name="Normal 4 2 2 3 8 2 2 4" xfId="34734" xr:uid="{620F9936-CADA-4288-90EF-5E7FB6A0001F}"/>
    <cellStyle name="Normal 4 2 2 3 8 2 3" xfId="22070" xr:uid="{45AAA623-9648-4F93-9075-806DA735ED3B}"/>
    <cellStyle name="Normal 4 2 2 3 8 2 3 2" xfId="38964" xr:uid="{3CF9D998-B90D-48F2-8857-1E75AE22868B}"/>
    <cellStyle name="Normal 4 2 2 3 8 2 4" xfId="13623" xr:uid="{4E00EDBF-C6E0-42A3-9EA4-C24AC53D8696}"/>
    <cellStyle name="Normal 4 2 2 3 8 2 5" xfId="30517" xr:uid="{42AFF741-3038-48D8-BCC5-4B856E18682D}"/>
    <cellStyle name="Normal 4 2 2 3 8 3" xfId="6369" xr:uid="{00000000-0005-0000-0000-00008F120000}"/>
    <cellStyle name="Normal 4 2 2 3 8 3 2" xfId="24142" xr:uid="{D0E702AF-DD92-44BD-81C2-1823507751D3}"/>
    <cellStyle name="Normal 4 2 2 3 8 3 2 2" xfId="41036" xr:uid="{2808D614-AAEA-4AA5-BE3E-46A7141197D7}"/>
    <cellStyle name="Normal 4 2 2 3 8 3 3" xfId="15695" xr:uid="{D43204A2-A831-425F-84CB-AA62CF132158}"/>
    <cellStyle name="Normal 4 2 2 3 8 3 4" xfId="32589" xr:uid="{45B26D22-875A-4615-94D6-156B42257578}"/>
    <cellStyle name="Normal 4 2 2 3 8 4" xfId="19925" xr:uid="{A5FFB44F-05FA-450E-B6A3-E696A4709BEC}"/>
    <cellStyle name="Normal 4 2 2 3 8 4 2" xfId="36819" xr:uid="{68DC7CF2-E22F-488C-9104-B80D1FE4DA8C}"/>
    <cellStyle name="Normal 4 2 2 3 8 5" xfId="11478" xr:uid="{CC7AC148-CB33-412B-A2AB-96E106264D95}"/>
    <cellStyle name="Normal 4 2 2 3 8 6" xfId="28372" xr:uid="{E760B366-41D4-42F0-84D5-ECED913A3A49}"/>
    <cellStyle name="Normal 4 2 2 3 9" xfId="2499" xr:uid="{00000000-0005-0000-0000-000090120000}"/>
    <cellStyle name="Normal 4 2 2 3 9 2" xfId="6782" xr:uid="{00000000-0005-0000-0000-000091120000}"/>
    <cellStyle name="Normal 4 2 2 3 9 2 2" xfId="24555" xr:uid="{5C83A03E-BBBC-416A-81DE-462D35139071}"/>
    <cellStyle name="Normal 4 2 2 3 9 2 2 2" xfId="41449" xr:uid="{DE54D028-1C7B-4B2C-A2BB-3920EE6AE1EA}"/>
    <cellStyle name="Normal 4 2 2 3 9 2 3" xfId="16108" xr:uid="{BB3E775D-4A50-4973-9B06-0FBF0697AB2E}"/>
    <cellStyle name="Normal 4 2 2 3 9 2 4" xfId="33002" xr:uid="{747F5CCB-53B3-46A5-B965-5A8B9F0DD891}"/>
    <cellStyle name="Normal 4 2 2 3 9 3" xfId="20338" xr:uid="{27AC6F51-384E-47A1-AD87-E75E35B8404C}"/>
    <cellStyle name="Normal 4 2 2 3 9 3 2" xfId="37232" xr:uid="{4C0C5EBA-146B-4E36-83AC-B9FC040383C8}"/>
    <cellStyle name="Normal 4 2 2 3 9 4" xfId="11891" xr:uid="{77E53F3E-441F-4DF3-89CC-1BCA6B6B1093}"/>
    <cellStyle name="Normal 4 2 2 3 9 5" xfId="28785" xr:uid="{6D0C29BF-838C-4089-A9C8-F9831AB10D26}"/>
    <cellStyle name="Normal 4 2 2 4" xfId="347" xr:uid="{00000000-0005-0000-0000-000092120000}"/>
    <cellStyle name="Normal 4 2 2 4 10" xfId="8818" xr:uid="{A73977A7-52C6-4368-9F59-166E1B99BBDE}"/>
    <cellStyle name="Normal 4 2 2 4 10 2" xfId="18281" xr:uid="{A2716BF4-0DC6-4A54-A415-86362CFFC8CE}"/>
    <cellStyle name="Normal 4 2 2 4 10 3" xfId="35175" xr:uid="{B0B3E968-2774-4973-BE1F-4ED7A840F101}"/>
    <cellStyle name="Normal 4 2 2 4 11" xfId="9834" xr:uid="{D5778D03-ABD2-49FC-8182-51DC1C9A0427}"/>
    <cellStyle name="Normal 4 2 2 4 12" xfId="26728" xr:uid="{6076F4EF-8B32-4F2C-AC25-8708DAC042EB}"/>
    <cellStyle name="Normal 4 2 2 4 2" xfId="348" xr:uid="{00000000-0005-0000-0000-000093120000}"/>
    <cellStyle name="Normal 4 2 2 4 2 10" xfId="9835" xr:uid="{651AB666-46D7-4FE1-8FA4-002E462790D9}"/>
    <cellStyle name="Normal 4 2 2 4 2 11" xfId="26729" xr:uid="{2D326873-5F36-4FEE-AA17-1AD913F02068}"/>
    <cellStyle name="Normal 4 2 2 4 2 2" xfId="349" xr:uid="{00000000-0005-0000-0000-000094120000}"/>
    <cellStyle name="Normal 4 2 2 4 2 2 10" xfId="26730" xr:uid="{CB5CD017-D8FA-4A54-BEAA-2B3A880C1602}"/>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2 2 2" xfId="25058" xr:uid="{2AFD3D53-6E47-4D4E-B6DA-3D3B1DBC4132}"/>
    <cellStyle name="Normal 4 2 2 4 2 2 2 2 2 2 2" xfId="41952" xr:uid="{3010A74A-45E8-42FF-95D5-AC442E79DD95}"/>
    <cellStyle name="Normal 4 2 2 4 2 2 2 2 2 3" xfId="16611" xr:uid="{FBCE0F60-AB8B-4626-BF49-B389FAECC793}"/>
    <cellStyle name="Normal 4 2 2 4 2 2 2 2 2 4" xfId="33505" xr:uid="{00BEFBD2-9E57-479F-83E4-46738B2DF407}"/>
    <cellStyle name="Normal 4 2 2 4 2 2 2 2 3" xfId="20841" xr:uid="{3742DDB0-5B7A-4B1E-8CD2-549985C06106}"/>
    <cellStyle name="Normal 4 2 2 4 2 2 2 2 3 2" xfId="37735" xr:uid="{8C8FAC6D-20E8-4C99-B7BE-A7A7F3FB5BF9}"/>
    <cellStyle name="Normal 4 2 2 4 2 2 2 2 4" xfId="12394" xr:uid="{5069FE24-ADA4-4636-99E0-5EA6FDAC94CA}"/>
    <cellStyle name="Normal 4 2 2 4 2 2 2 2 5" xfId="29288" xr:uid="{137163AD-DECD-4B99-8803-9D4B0FFE460D}"/>
    <cellStyle name="Normal 4 2 2 4 2 2 2 3" xfId="5140" xr:uid="{00000000-0005-0000-0000-000098120000}"/>
    <cellStyle name="Normal 4 2 2 4 2 2 2 3 2" xfId="22913" xr:uid="{E15AB566-55DF-4A1D-8C27-F774924AB334}"/>
    <cellStyle name="Normal 4 2 2 4 2 2 2 3 2 2" xfId="39807" xr:uid="{E3225AE7-DD01-452C-8CCE-16169B85895F}"/>
    <cellStyle name="Normal 4 2 2 4 2 2 2 3 3" xfId="14466" xr:uid="{7494ABA6-16CC-47A1-8D70-6025D986867A}"/>
    <cellStyle name="Normal 4 2 2 4 2 2 2 3 4" xfId="31360" xr:uid="{480A4CF6-EFB1-4EFD-BA73-D043A7CCF077}"/>
    <cellStyle name="Normal 4 2 2 4 2 2 2 4" xfId="9553" xr:uid="{7FCAF883-2374-4470-BA95-AD8EB054639C}"/>
    <cellStyle name="Normal 4 2 2 4 2 2 2 4 2" xfId="18696" xr:uid="{CAD39C17-A793-4D63-BF9A-C60936D39898}"/>
    <cellStyle name="Normal 4 2 2 4 2 2 2 4 3" xfId="35590" xr:uid="{6D68B0DA-15CC-49D4-9FD5-AC8471AD4EF1}"/>
    <cellStyle name="Normal 4 2 2 4 2 2 2 5" xfId="10249" xr:uid="{AFDAAD41-50B3-42A8-AED8-70A6A9762755}"/>
    <cellStyle name="Normal 4 2 2 4 2 2 2 6" xfId="27143" xr:uid="{9880A3A2-9508-4770-A1A6-8D15A8A62D35}"/>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2 2 2" xfId="25471" xr:uid="{2731016A-7D00-4F89-BC66-5A00F390948E}"/>
    <cellStyle name="Normal 4 2 2 4 2 2 3 2 2 2 2" xfId="42365" xr:uid="{1AB82B04-7D00-4F3D-8424-AD809475EA03}"/>
    <cellStyle name="Normal 4 2 2 4 2 2 3 2 2 3" xfId="17024" xr:uid="{10DE84EB-371E-4503-AC29-6AAEFBB647AC}"/>
    <cellStyle name="Normal 4 2 2 4 2 2 3 2 2 4" xfId="33918" xr:uid="{094819E8-B382-4DD1-A455-413B31C53676}"/>
    <cellStyle name="Normal 4 2 2 4 2 2 3 2 3" xfId="21254" xr:uid="{2718522F-A604-463A-8D3C-4BC56207E4AA}"/>
    <cellStyle name="Normal 4 2 2 4 2 2 3 2 3 2" xfId="38148" xr:uid="{C1C78BCD-AC5B-4E59-B75E-81323791C100}"/>
    <cellStyle name="Normal 4 2 2 4 2 2 3 2 4" xfId="12807" xr:uid="{78253C47-C314-477C-BD5A-364ED6F0AD11}"/>
    <cellStyle name="Normal 4 2 2 4 2 2 3 2 5" xfId="29701" xr:uid="{3B03AD5C-D7FA-4B86-8D14-024724B7BF6D}"/>
    <cellStyle name="Normal 4 2 2 4 2 2 3 3" xfId="5553" xr:uid="{00000000-0005-0000-0000-00009C120000}"/>
    <cellStyle name="Normal 4 2 2 4 2 2 3 3 2" xfId="23326" xr:uid="{5E255BC5-B99A-40DE-989D-69879CE9177B}"/>
    <cellStyle name="Normal 4 2 2 4 2 2 3 3 2 2" xfId="40220" xr:uid="{CD3F03B8-335A-4337-BF3B-831773EF0307}"/>
    <cellStyle name="Normal 4 2 2 4 2 2 3 3 3" xfId="14879" xr:uid="{CB8AAB7A-F738-4E41-AC07-A2AA651EC547}"/>
    <cellStyle name="Normal 4 2 2 4 2 2 3 3 4" xfId="31773" xr:uid="{9A8D666F-6056-4FA8-AE51-99503A7B6D90}"/>
    <cellStyle name="Normal 4 2 2 4 2 2 3 4" xfId="19109" xr:uid="{6558CF8D-CA0D-4E32-986F-5A27F88B857C}"/>
    <cellStyle name="Normal 4 2 2 4 2 2 3 4 2" xfId="36003" xr:uid="{0EE1DEA9-0DEE-4E91-A8AC-90FA8CC1DD89}"/>
    <cellStyle name="Normal 4 2 2 4 2 2 3 5" xfId="10662" xr:uid="{C51FD5FA-D606-4D3C-AF45-2B7AD29546D5}"/>
    <cellStyle name="Normal 4 2 2 4 2 2 3 6" xfId="27556" xr:uid="{1D2A3A37-F75B-4BEC-88DB-38B9496A0533}"/>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2 2 2" xfId="25884" xr:uid="{0E9F1F88-EC7A-4216-8F5A-738B8713AC39}"/>
    <cellStyle name="Normal 4 2 2 4 2 2 4 2 2 2 2" xfId="42778" xr:uid="{E12D9521-2DE9-421B-9DE0-50049438194C}"/>
    <cellStyle name="Normal 4 2 2 4 2 2 4 2 2 3" xfId="17437" xr:uid="{5B52F2E9-C118-4DD3-828C-B4D42988B891}"/>
    <cellStyle name="Normal 4 2 2 4 2 2 4 2 2 4" xfId="34331" xr:uid="{809F1FAD-00CE-45F2-BDB7-98E917EB04D9}"/>
    <cellStyle name="Normal 4 2 2 4 2 2 4 2 3" xfId="21667" xr:uid="{6E5EFA19-B3CF-418C-88F9-F453A1143D2F}"/>
    <cellStyle name="Normal 4 2 2 4 2 2 4 2 3 2" xfId="38561" xr:uid="{73357F92-93E3-4367-BE4F-9772039C6502}"/>
    <cellStyle name="Normal 4 2 2 4 2 2 4 2 4" xfId="13220" xr:uid="{56511C35-8EAC-4043-A6CA-4D8FE942A9DD}"/>
    <cellStyle name="Normal 4 2 2 4 2 2 4 2 5" xfId="30114" xr:uid="{95EF2769-B021-4C11-AC96-29903EE13D62}"/>
    <cellStyle name="Normal 4 2 2 4 2 2 4 3" xfId="5966" xr:uid="{00000000-0005-0000-0000-0000A0120000}"/>
    <cellStyle name="Normal 4 2 2 4 2 2 4 3 2" xfId="23739" xr:uid="{9775520E-38F8-4A9F-8097-409BA1D714F8}"/>
    <cellStyle name="Normal 4 2 2 4 2 2 4 3 2 2" xfId="40633" xr:uid="{9F7C791E-207C-42B1-B403-09F106BDB569}"/>
    <cellStyle name="Normal 4 2 2 4 2 2 4 3 3" xfId="15292" xr:uid="{8AA4794A-4374-48B1-9258-6D68F194DE53}"/>
    <cellStyle name="Normal 4 2 2 4 2 2 4 3 4" xfId="32186" xr:uid="{021C359B-1545-45FA-A6BA-CB99E8162B35}"/>
    <cellStyle name="Normal 4 2 2 4 2 2 4 4" xfId="19522" xr:uid="{526D4ED1-5AD5-4E94-BAA8-78A4CEC6AA91}"/>
    <cellStyle name="Normal 4 2 2 4 2 2 4 4 2" xfId="36416" xr:uid="{0248A494-E279-407E-99AB-B3EB12AF94B2}"/>
    <cellStyle name="Normal 4 2 2 4 2 2 4 5" xfId="11075" xr:uid="{3ABC9079-C908-4A24-ADB2-E4FF49D5E0B6}"/>
    <cellStyle name="Normal 4 2 2 4 2 2 4 6" xfId="27969" xr:uid="{EFC1C9BD-A904-48A1-9759-621B6C34340E}"/>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2 2 2" xfId="26297" xr:uid="{1EFB9A87-AD49-433C-8069-07C3B0D1373C}"/>
    <cellStyle name="Normal 4 2 2 4 2 2 5 2 2 2 2" xfId="43191" xr:uid="{2E8C9DCC-9E74-4D4A-B3B2-3BA7AE464887}"/>
    <cellStyle name="Normal 4 2 2 4 2 2 5 2 2 3" xfId="17850" xr:uid="{8BFE79A8-7A98-4790-ACC1-48CD7A5765EF}"/>
    <cellStyle name="Normal 4 2 2 4 2 2 5 2 2 4" xfId="34744" xr:uid="{661B9FCC-D025-4933-B27C-81C3C6E5A6D3}"/>
    <cellStyle name="Normal 4 2 2 4 2 2 5 2 3" xfId="22080" xr:uid="{884D8CAC-A021-4549-AE93-54E25812551E}"/>
    <cellStyle name="Normal 4 2 2 4 2 2 5 2 3 2" xfId="38974" xr:uid="{FC475583-3032-4C36-BA53-CFFC9A290BFC}"/>
    <cellStyle name="Normal 4 2 2 4 2 2 5 2 4" xfId="13633" xr:uid="{1CFC13E9-B7CB-49D4-9F04-CA3E4DDCC9D5}"/>
    <cellStyle name="Normal 4 2 2 4 2 2 5 2 5" xfId="30527" xr:uid="{A1625DE8-5040-455F-B91C-BB66DB744AB6}"/>
    <cellStyle name="Normal 4 2 2 4 2 2 5 3" xfId="6379" xr:uid="{00000000-0005-0000-0000-0000A4120000}"/>
    <cellStyle name="Normal 4 2 2 4 2 2 5 3 2" xfId="24152" xr:uid="{503FD1FD-6D80-4718-BDDB-E9442CC97024}"/>
    <cellStyle name="Normal 4 2 2 4 2 2 5 3 2 2" xfId="41046" xr:uid="{03DCBD48-123F-445E-92B0-A423A9C49C29}"/>
    <cellStyle name="Normal 4 2 2 4 2 2 5 3 3" xfId="15705" xr:uid="{229E0FAA-7810-4A03-9E12-BFF660CA9E2D}"/>
    <cellStyle name="Normal 4 2 2 4 2 2 5 3 4" xfId="32599" xr:uid="{8C2810D1-5127-4095-926C-3A00AE24AE2C}"/>
    <cellStyle name="Normal 4 2 2 4 2 2 5 4" xfId="19935" xr:uid="{BB3D08B9-EE55-47A1-B8C9-B49C8929938B}"/>
    <cellStyle name="Normal 4 2 2 4 2 2 5 4 2" xfId="36829" xr:uid="{7A354EBF-E302-4CA5-8786-AE4748B14194}"/>
    <cellStyle name="Normal 4 2 2 4 2 2 5 5" xfId="11488" xr:uid="{4908143E-8E3D-4BFF-9280-102D6327221E}"/>
    <cellStyle name="Normal 4 2 2 4 2 2 5 6" xfId="28382" xr:uid="{210B5FF1-5480-4E64-AA92-5605CD84BE4C}"/>
    <cellStyle name="Normal 4 2 2 4 2 2 6" xfId="2509" xr:uid="{00000000-0005-0000-0000-0000A5120000}"/>
    <cellStyle name="Normal 4 2 2 4 2 2 6 2" xfId="6792" xr:uid="{00000000-0005-0000-0000-0000A6120000}"/>
    <cellStyle name="Normal 4 2 2 4 2 2 6 2 2" xfId="24565" xr:uid="{9DB60E8C-8F31-43B4-A7F7-576C52765769}"/>
    <cellStyle name="Normal 4 2 2 4 2 2 6 2 2 2" xfId="41459" xr:uid="{31EC87BB-B47F-41ED-910E-B4C4F5823BA6}"/>
    <cellStyle name="Normal 4 2 2 4 2 2 6 2 3" xfId="16118" xr:uid="{372F145B-53BD-4E76-B830-1BF5EFB9C78C}"/>
    <cellStyle name="Normal 4 2 2 4 2 2 6 2 4" xfId="33012" xr:uid="{884EEF89-5EE9-4E6A-BC8F-DB38934A9328}"/>
    <cellStyle name="Normal 4 2 2 4 2 2 6 3" xfId="20348" xr:uid="{2F399291-3752-4530-B4CD-E3C88D67BDDE}"/>
    <cellStyle name="Normal 4 2 2 4 2 2 6 3 2" xfId="37242" xr:uid="{131C2BA0-50C7-4C43-BE63-E61E94348421}"/>
    <cellStyle name="Normal 4 2 2 4 2 2 6 4" xfId="11901" xr:uid="{1CD55C22-0EE9-4D14-A368-60D828FA7B57}"/>
    <cellStyle name="Normal 4 2 2 4 2 2 6 5" xfId="28795" xr:uid="{32158972-E1C1-442D-805D-E1602AFDE0E2}"/>
    <cellStyle name="Normal 4 2 2 4 2 2 7" xfId="4727" xr:uid="{00000000-0005-0000-0000-0000A7120000}"/>
    <cellStyle name="Normal 4 2 2 4 2 2 7 2" xfId="22500" xr:uid="{8E02E2C9-3E87-41C5-AF86-417C743FD955}"/>
    <cellStyle name="Normal 4 2 2 4 2 2 7 2 2" xfId="39394" xr:uid="{129B7E76-5215-46AE-8620-E3FF93C5685A}"/>
    <cellStyle name="Normal 4 2 2 4 2 2 7 3" xfId="14053" xr:uid="{4CF31260-53C2-4D88-8282-F9413636762D}"/>
    <cellStyle name="Normal 4 2 2 4 2 2 7 4" xfId="30947" xr:uid="{CB0FBA76-AEDA-4B76-8992-5344DA0D71C1}"/>
    <cellStyle name="Normal 4 2 2 4 2 2 8" xfId="9128" xr:uid="{3D9AD2A4-E3D1-4BAF-8F43-BFB1FE8E222D}"/>
    <cellStyle name="Normal 4 2 2 4 2 2 8 2" xfId="18283" xr:uid="{99795718-9D0D-45F8-BB06-ECC6B325CFA8}"/>
    <cellStyle name="Normal 4 2 2 4 2 2 8 3" xfId="35177" xr:uid="{BDEE87C2-4F54-435E-AB14-B437F8A76412}"/>
    <cellStyle name="Normal 4 2 2 4 2 2 9" xfId="9836" xr:uid="{95B047BB-A5DD-4BC0-BDB4-CC36E58E1D41}"/>
    <cellStyle name="Normal 4 2 2 4 2 3" xfId="825" xr:uid="{00000000-0005-0000-0000-0000A8120000}"/>
    <cellStyle name="Normal 4 2 2 4 2 3 2" xfId="3062" xr:uid="{00000000-0005-0000-0000-0000A9120000}"/>
    <cellStyle name="Normal 4 2 2 4 2 3 2 2" xfId="7284" xr:uid="{00000000-0005-0000-0000-0000AA120000}"/>
    <cellStyle name="Normal 4 2 2 4 2 3 2 2 2" xfId="25057" xr:uid="{DCB99696-FBBA-47EF-8B26-7C4935FD1E9D}"/>
    <cellStyle name="Normal 4 2 2 4 2 3 2 2 2 2" xfId="41951" xr:uid="{9AAD2D65-7E29-4E09-B97B-500918B17A66}"/>
    <cellStyle name="Normal 4 2 2 4 2 3 2 2 3" xfId="16610" xr:uid="{851B31D2-35A5-40D5-95C3-84D357C632F1}"/>
    <cellStyle name="Normal 4 2 2 4 2 3 2 2 4" xfId="33504" xr:uid="{2889771E-ADCE-4FC6-BDEA-3E04BE037722}"/>
    <cellStyle name="Normal 4 2 2 4 2 3 2 3" xfId="20840" xr:uid="{E1D54B67-CAA4-4B10-A76B-1EE7303CCBC0}"/>
    <cellStyle name="Normal 4 2 2 4 2 3 2 3 2" xfId="37734" xr:uid="{7658EFD5-D2E1-4DC2-BFD3-61E0ABB7DDB4}"/>
    <cellStyle name="Normal 4 2 2 4 2 3 2 4" xfId="12393" xr:uid="{FD751AFB-1837-4945-8378-4D37762B84C5}"/>
    <cellStyle name="Normal 4 2 2 4 2 3 2 5" xfId="29287" xr:uid="{1CFB0EB5-B119-495C-84DB-EA1A010489D7}"/>
    <cellStyle name="Normal 4 2 2 4 2 3 3" xfId="5139" xr:uid="{00000000-0005-0000-0000-0000AB120000}"/>
    <cellStyle name="Normal 4 2 2 4 2 3 3 2" xfId="22912" xr:uid="{609202EA-B8A7-49E6-A498-E7B01C3594D8}"/>
    <cellStyle name="Normal 4 2 2 4 2 3 3 2 2" xfId="39806" xr:uid="{5198FFB4-1E69-4FEE-A12B-124A926EE513}"/>
    <cellStyle name="Normal 4 2 2 4 2 3 3 3" xfId="14465" xr:uid="{03D6456C-80E9-4626-B13D-6A8BC37718E7}"/>
    <cellStyle name="Normal 4 2 2 4 2 3 3 4" xfId="31359" xr:uid="{43AC6313-742F-46F4-9258-DA82A1427BD9}"/>
    <cellStyle name="Normal 4 2 2 4 2 3 4" xfId="9346" xr:uid="{11110DEC-01F5-467C-B0F9-3286FF7E57CB}"/>
    <cellStyle name="Normal 4 2 2 4 2 3 4 2" xfId="18695" xr:uid="{637D7B54-7871-4810-BE1A-9A2F69DD5986}"/>
    <cellStyle name="Normal 4 2 2 4 2 3 4 3" xfId="35589" xr:uid="{31F2062C-58B1-4C10-9DE2-7959304A0C57}"/>
    <cellStyle name="Normal 4 2 2 4 2 3 5" xfId="10248" xr:uid="{215D91D2-23E8-4824-9E50-C4E87D8FE983}"/>
    <cellStyle name="Normal 4 2 2 4 2 3 6" xfId="27142" xr:uid="{B715111E-312C-4596-ABFE-672A924350A0}"/>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2 2 2" xfId="25470" xr:uid="{61FB2F41-D792-4578-9BBE-28CEE7F4E806}"/>
    <cellStyle name="Normal 4 2 2 4 2 4 2 2 2 2" xfId="42364" xr:uid="{DB05AB13-A009-4FA7-9392-9AAF3FFA91BA}"/>
    <cellStyle name="Normal 4 2 2 4 2 4 2 2 3" xfId="17023" xr:uid="{DD0E945B-F160-4D2F-A0DE-BF362DE0248C}"/>
    <cellStyle name="Normal 4 2 2 4 2 4 2 2 4" xfId="33917" xr:uid="{F09C5B1B-BBB6-4765-84B9-CF58DE67122F}"/>
    <cellStyle name="Normal 4 2 2 4 2 4 2 3" xfId="21253" xr:uid="{5541C191-83EE-4C44-8FA1-D4BDA4A05543}"/>
    <cellStyle name="Normal 4 2 2 4 2 4 2 3 2" xfId="38147" xr:uid="{9C8E9C16-4B2F-4233-8B87-07A9B24C2280}"/>
    <cellStyle name="Normal 4 2 2 4 2 4 2 4" xfId="12806" xr:uid="{0B4C6F2F-8270-41BE-A67D-DFC818FB741F}"/>
    <cellStyle name="Normal 4 2 2 4 2 4 2 5" xfId="29700" xr:uid="{F4B9FDFC-4ED1-4788-BCBB-2E9E9FDEC26C}"/>
    <cellStyle name="Normal 4 2 2 4 2 4 3" xfId="5552" xr:uid="{00000000-0005-0000-0000-0000AF120000}"/>
    <cellStyle name="Normal 4 2 2 4 2 4 3 2" xfId="23325" xr:uid="{7E958599-0AF1-4593-97B3-E76D89F3C4F1}"/>
    <cellStyle name="Normal 4 2 2 4 2 4 3 2 2" xfId="40219" xr:uid="{B1C43147-B8B2-4E18-9710-93337AED0734}"/>
    <cellStyle name="Normal 4 2 2 4 2 4 3 3" xfId="14878" xr:uid="{0EA95A09-852D-4038-82A6-77051FF3C44B}"/>
    <cellStyle name="Normal 4 2 2 4 2 4 3 4" xfId="31772" xr:uid="{CD9E45F7-732E-4F73-BEE2-EFAC96C974DB}"/>
    <cellStyle name="Normal 4 2 2 4 2 4 4" xfId="19108" xr:uid="{1567F576-EB52-4DD1-B525-E16105FA34AB}"/>
    <cellStyle name="Normal 4 2 2 4 2 4 4 2" xfId="36002" xr:uid="{8B2E5517-0204-41BE-AE29-D6C56476B688}"/>
    <cellStyle name="Normal 4 2 2 4 2 4 5" xfId="10661" xr:uid="{5960164B-74F8-4823-BCFB-6D373495B852}"/>
    <cellStyle name="Normal 4 2 2 4 2 4 6" xfId="27555" xr:uid="{BCB6A80F-A0DA-4575-99A8-F3F0543C8209}"/>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2 2 2" xfId="25883" xr:uid="{3558789A-DB03-4E51-94C2-CA60C5FFFE59}"/>
    <cellStyle name="Normal 4 2 2 4 2 5 2 2 2 2" xfId="42777" xr:uid="{271BB19B-D328-4EF0-B118-C51E994C5B3C}"/>
    <cellStyle name="Normal 4 2 2 4 2 5 2 2 3" xfId="17436" xr:uid="{53D8EEFF-E092-4335-949F-5809A2B50F12}"/>
    <cellStyle name="Normal 4 2 2 4 2 5 2 2 4" xfId="34330" xr:uid="{127C929A-B101-458B-9A61-E6AAA7299AD0}"/>
    <cellStyle name="Normal 4 2 2 4 2 5 2 3" xfId="21666" xr:uid="{752010D5-1700-4906-A0A7-D3544115A0ED}"/>
    <cellStyle name="Normal 4 2 2 4 2 5 2 3 2" xfId="38560" xr:uid="{4CA8FCAC-2DB5-4BED-BFF0-F78E65DE4694}"/>
    <cellStyle name="Normal 4 2 2 4 2 5 2 4" xfId="13219" xr:uid="{445A7C31-EEFD-457B-97C6-AABF294CC124}"/>
    <cellStyle name="Normal 4 2 2 4 2 5 2 5" xfId="30113" xr:uid="{60A39FBD-18B5-4257-B6E3-E17042833B2D}"/>
    <cellStyle name="Normal 4 2 2 4 2 5 3" xfId="5965" xr:uid="{00000000-0005-0000-0000-0000B3120000}"/>
    <cellStyle name="Normal 4 2 2 4 2 5 3 2" xfId="23738" xr:uid="{4A45A4A6-3620-4EBD-A1D3-FEBBDE524D17}"/>
    <cellStyle name="Normal 4 2 2 4 2 5 3 2 2" xfId="40632" xr:uid="{6AC27116-EEE3-4A8F-B25E-E833C56BC867}"/>
    <cellStyle name="Normal 4 2 2 4 2 5 3 3" xfId="15291" xr:uid="{0AB6E916-484C-47D6-BFB4-9D7B3AE0F96C}"/>
    <cellStyle name="Normal 4 2 2 4 2 5 3 4" xfId="32185" xr:uid="{5878DC56-2FD2-4352-8091-7413A1A932BD}"/>
    <cellStyle name="Normal 4 2 2 4 2 5 4" xfId="19521" xr:uid="{F6BB6D49-6602-41FD-B637-16DA3E4DEFA3}"/>
    <cellStyle name="Normal 4 2 2 4 2 5 4 2" xfId="36415" xr:uid="{47D76404-5D15-48E8-89ED-E4C5289F2515}"/>
    <cellStyle name="Normal 4 2 2 4 2 5 5" xfId="11074" xr:uid="{673855AF-F51A-4532-B041-96EB454E19A3}"/>
    <cellStyle name="Normal 4 2 2 4 2 5 6" xfId="27968" xr:uid="{6D1288D2-96CB-4F2F-95BA-A33D322D6236}"/>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2 2 2" xfId="26296" xr:uid="{A8F01863-AA49-4C06-AB04-96D59C04B981}"/>
    <cellStyle name="Normal 4 2 2 4 2 6 2 2 2 2" xfId="43190" xr:uid="{D6A56E7E-F49F-47DA-9E3F-53E097270001}"/>
    <cellStyle name="Normal 4 2 2 4 2 6 2 2 3" xfId="17849" xr:uid="{309E53C1-20CB-4A80-AC06-F6CDD7B874F7}"/>
    <cellStyle name="Normal 4 2 2 4 2 6 2 2 4" xfId="34743" xr:uid="{D50E0127-059B-414C-9B93-D244086B356E}"/>
    <cellStyle name="Normal 4 2 2 4 2 6 2 3" xfId="22079" xr:uid="{08ACF92D-1E0F-49BE-8669-12C90866EB78}"/>
    <cellStyle name="Normal 4 2 2 4 2 6 2 3 2" xfId="38973" xr:uid="{364498F7-9539-42B3-A791-F5FD20A3020D}"/>
    <cellStyle name="Normal 4 2 2 4 2 6 2 4" xfId="13632" xr:uid="{A239BD95-1826-4BB7-9E4D-9C71EA1E98E8}"/>
    <cellStyle name="Normal 4 2 2 4 2 6 2 5" xfId="30526" xr:uid="{6A74264D-5BBE-4BEA-8A67-FCD40E7414BC}"/>
    <cellStyle name="Normal 4 2 2 4 2 6 3" xfId="6378" xr:uid="{00000000-0005-0000-0000-0000B7120000}"/>
    <cellStyle name="Normal 4 2 2 4 2 6 3 2" xfId="24151" xr:uid="{CCC5156E-A554-464B-8874-CB1EA791ACF0}"/>
    <cellStyle name="Normal 4 2 2 4 2 6 3 2 2" xfId="41045" xr:uid="{59249849-B4BC-4DB3-A639-9D4CB7E32A02}"/>
    <cellStyle name="Normal 4 2 2 4 2 6 3 3" xfId="15704" xr:uid="{2A66A549-9C1B-4977-A1E4-8091FA03B9BB}"/>
    <cellStyle name="Normal 4 2 2 4 2 6 3 4" xfId="32598" xr:uid="{56B90541-26D1-48FE-9097-8868313CD8D6}"/>
    <cellStyle name="Normal 4 2 2 4 2 6 4" xfId="19934" xr:uid="{5ED78DBD-CACF-4C07-A8E2-48E7B0500F0B}"/>
    <cellStyle name="Normal 4 2 2 4 2 6 4 2" xfId="36828" xr:uid="{2C51202D-72F2-4B9F-9AAE-CC97082BD0BB}"/>
    <cellStyle name="Normal 4 2 2 4 2 6 5" xfId="11487" xr:uid="{3C8304D4-66E9-4624-AD32-8E9318F05751}"/>
    <cellStyle name="Normal 4 2 2 4 2 6 6" xfId="28381" xr:uid="{FAB50AB5-F438-47BE-B1C4-B3FD52D9B42D}"/>
    <cellStyle name="Normal 4 2 2 4 2 7" xfId="2508" xr:uid="{00000000-0005-0000-0000-0000B8120000}"/>
    <cellStyle name="Normal 4 2 2 4 2 7 2" xfId="6791" xr:uid="{00000000-0005-0000-0000-0000B9120000}"/>
    <cellStyle name="Normal 4 2 2 4 2 7 2 2" xfId="24564" xr:uid="{438BD702-1A39-4B19-92ED-48CC1C94D51B}"/>
    <cellStyle name="Normal 4 2 2 4 2 7 2 2 2" xfId="41458" xr:uid="{560BCBF1-21EC-4338-AC22-3B887D523250}"/>
    <cellStyle name="Normal 4 2 2 4 2 7 2 3" xfId="16117" xr:uid="{82E24414-9543-4181-A5C4-3902F3DC8EFB}"/>
    <cellStyle name="Normal 4 2 2 4 2 7 2 4" xfId="33011" xr:uid="{8E633F8D-5A95-42C9-BAA0-5EF3715BC9C7}"/>
    <cellStyle name="Normal 4 2 2 4 2 7 3" xfId="20347" xr:uid="{57CE1E47-2557-4271-ACDF-CC340B43665D}"/>
    <cellStyle name="Normal 4 2 2 4 2 7 3 2" xfId="37241" xr:uid="{B67B56C4-5F3D-4ECD-A5C3-550C9A04B2D1}"/>
    <cellStyle name="Normal 4 2 2 4 2 7 4" xfId="11900" xr:uid="{C0185C0A-012A-4CF1-9D8C-C93BC38E2677}"/>
    <cellStyle name="Normal 4 2 2 4 2 7 5" xfId="28794" xr:uid="{974070BD-5B2F-4470-B2E7-63E5B6BCFDF0}"/>
    <cellStyle name="Normal 4 2 2 4 2 8" xfId="4726" xr:uid="{00000000-0005-0000-0000-0000BA120000}"/>
    <cellStyle name="Normal 4 2 2 4 2 8 2" xfId="22499" xr:uid="{1725D8D5-F202-421B-9D31-EA5A9FCF275B}"/>
    <cellStyle name="Normal 4 2 2 4 2 8 2 2" xfId="39393" xr:uid="{7B2C747C-42EC-4236-857C-2BF271221616}"/>
    <cellStyle name="Normal 4 2 2 4 2 8 3" xfId="14052" xr:uid="{AF894872-C8CB-4FBD-B49E-27A462B5F0DE}"/>
    <cellStyle name="Normal 4 2 2 4 2 8 4" xfId="30946" xr:uid="{5A775D5B-286C-45DA-8674-F9A12FBD670A}"/>
    <cellStyle name="Normal 4 2 2 4 2 9" xfId="8921" xr:uid="{43AA3CA1-A6D2-47CC-8276-CBFAB7238AA6}"/>
    <cellStyle name="Normal 4 2 2 4 2 9 2" xfId="18282" xr:uid="{CCF2C660-71FA-4540-8797-546F3FB20601}"/>
    <cellStyle name="Normal 4 2 2 4 2 9 3" xfId="35176" xr:uid="{59F8800D-09F6-4761-B197-28658C11A8D9}"/>
    <cellStyle name="Normal 4 2 2 4 3" xfId="350" xr:uid="{00000000-0005-0000-0000-0000BB120000}"/>
    <cellStyle name="Normal 4 2 2 4 3 10" xfId="26731" xr:uid="{0A7CE687-37BE-4F45-9B4B-00C494A2E7E5}"/>
    <cellStyle name="Normal 4 2 2 4 3 2" xfId="827" xr:uid="{00000000-0005-0000-0000-0000BC120000}"/>
    <cellStyle name="Normal 4 2 2 4 3 2 2" xfId="3064" xr:uid="{00000000-0005-0000-0000-0000BD120000}"/>
    <cellStyle name="Normal 4 2 2 4 3 2 2 2" xfId="7286" xr:uid="{00000000-0005-0000-0000-0000BE120000}"/>
    <cellStyle name="Normal 4 2 2 4 3 2 2 2 2" xfId="25059" xr:uid="{784F9691-D484-42EE-B8C7-9F8F0094B3D0}"/>
    <cellStyle name="Normal 4 2 2 4 3 2 2 2 2 2" xfId="41953" xr:uid="{E35D93A1-75FF-4808-843A-407F55D1F83C}"/>
    <cellStyle name="Normal 4 2 2 4 3 2 2 2 3" xfId="16612" xr:uid="{6BA2A0EA-3B01-423B-A633-A3475F3D672D}"/>
    <cellStyle name="Normal 4 2 2 4 3 2 2 2 4" xfId="33506" xr:uid="{2C77FA82-B0DF-4114-98D6-74EED8E23B71}"/>
    <cellStyle name="Normal 4 2 2 4 3 2 2 3" xfId="20842" xr:uid="{A43C9050-E396-4632-A5FE-366CEA4DC4D0}"/>
    <cellStyle name="Normal 4 2 2 4 3 2 2 3 2" xfId="37736" xr:uid="{513B6848-5E80-487E-8944-6C87947F2955}"/>
    <cellStyle name="Normal 4 2 2 4 3 2 2 4" xfId="12395" xr:uid="{88FB0DF8-17F0-4F30-8FF3-960AA1B9934C}"/>
    <cellStyle name="Normal 4 2 2 4 3 2 2 5" xfId="29289" xr:uid="{87CB2723-2559-45CF-8079-A6F422AEA5F9}"/>
    <cellStyle name="Normal 4 2 2 4 3 2 3" xfId="5141" xr:uid="{00000000-0005-0000-0000-0000BF120000}"/>
    <cellStyle name="Normal 4 2 2 4 3 2 3 2" xfId="22914" xr:uid="{E0329EBA-80BB-4E26-BA07-46B73AEB2B7A}"/>
    <cellStyle name="Normal 4 2 2 4 3 2 3 2 2" xfId="39808" xr:uid="{0D146477-034D-4968-A18B-7BD69F648982}"/>
    <cellStyle name="Normal 4 2 2 4 3 2 3 3" xfId="14467" xr:uid="{04A34C6A-AE61-412C-9203-02D9291DEEA1}"/>
    <cellStyle name="Normal 4 2 2 4 3 2 3 4" xfId="31361" xr:uid="{30E61E4C-1352-403D-B369-467C30872E2B}"/>
    <cellStyle name="Normal 4 2 2 4 3 2 4" xfId="9450" xr:uid="{0F54578A-5DA3-4B6E-9E36-71CC7CD6BFE8}"/>
    <cellStyle name="Normal 4 2 2 4 3 2 4 2" xfId="18697" xr:uid="{C2DFA408-2447-412C-8CC0-94B86D428EFA}"/>
    <cellStyle name="Normal 4 2 2 4 3 2 4 3" xfId="35591" xr:uid="{3F6EA69C-D667-4AEA-A686-94E8892B048A}"/>
    <cellStyle name="Normal 4 2 2 4 3 2 5" xfId="10250" xr:uid="{19EFC2B8-8C7A-4EDE-A274-6637BB221596}"/>
    <cellStyle name="Normal 4 2 2 4 3 2 6" xfId="27144" xr:uid="{6E21917B-ECCE-44D9-A213-94C55ACFC5BA}"/>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2 2 2" xfId="25472" xr:uid="{D47BCA75-746F-4E86-8E57-698DCA62D18E}"/>
    <cellStyle name="Normal 4 2 2 4 3 3 2 2 2 2" xfId="42366" xr:uid="{334BF52B-C11F-43C9-BBEE-07D1E34CCE37}"/>
    <cellStyle name="Normal 4 2 2 4 3 3 2 2 3" xfId="17025" xr:uid="{05444215-382F-4E0C-8922-0A6FFCA0A06F}"/>
    <cellStyle name="Normal 4 2 2 4 3 3 2 2 4" xfId="33919" xr:uid="{2C53EC90-51BA-4C21-AE29-334231DDB9CD}"/>
    <cellStyle name="Normal 4 2 2 4 3 3 2 3" xfId="21255" xr:uid="{78AAD9B5-7D60-4795-AFFF-02C7B9E41EA1}"/>
    <cellStyle name="Normal 4 2 2 4 3 3 2 3 2" xfId="38149" xr:uid="{7F95F967-B13D-4A46-B5A1-1A52D594EA56}"/>
    <cellStyle name="Normal 4 2 2 4 3 3 2 4" xfId="12808" xr:uid="{04495AED-9158-4124-8B5D-EBF0A7A4784A}"/>
    <cellStyle name="Normal 4 2 2 4 3 3 2 5" xfId="29702" xr:uid="{CC83BB96-C31E-4F90-8AE2-C61AF03C3DC8}"/>
    <cellStyle name="Normal 4 2 2 4 3 3 3" xfId="5554" xr:uid="{00000000-0005-0000-0000-0000C3120000}"/>
    <cellStyle name="Normal 4 2 2 4 3 3 3 2" xfId="23327" xr:uid="{B15C795D-2D61-4776-AAC2-08F0800E5EED}"/>
    <cellStyle name="Normal 4 2 2 4 3 3 3 2 2" xfId="40221" xr:uid="{39E5F1C6-C3CC-41AF-BF25-14E5CE2AF87E}"/>
    <cellStyle name="Normal 4 2 2 4 3 3 3 3" xfId="14880" xr:uid="{C96734DD-63BA-4F32-9E75-8D3EFDE6321E}"/>
    <cellStyle name="Normal 4 2 2 4 3 3 3 4" xfId="31774" xr:uid="{8C85526E-C36D-4136-B287-2626E862D9F8}"/>
    <cellStyle name="Normal 4 2 2 4 3 3 4" xfId="19110" xr:uid="{4E8BB5F2-817C-46A3-B157-BB492FF62FB3}"/>
    <cellStyle name="Normal 4 2 2 4 3 3 4 2" xfId="36004" xr:uid="{02087DA5-7FAB-411E-8A82-4709143DB154}"/>
    <cellStyle name="Normal 4 2 2 4 3 3 5" xfId="10663" xr:uid="{0E5D6F8D-89BC-4DD3-938B-FEBAE20920FA}"/>
    <cellStyle name="Normal 4 2 2 4 3 3 6" xfId="27557" xr:uid="{7DF505D6-74F5-4BB0-AAEB-B485DC7E3C29}"/>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2 2 2" xfId="25885" xr:uid="{25BAACA6-FF2C-4583-A7B0-9B44D4EEE89A}"/>
    <cellStyle name="Normal 4 2 2 4 3 4 2 2 2 2" xfId="42779" xr:uid="{82BEED0D-A0C5-40D3-9D58-C4C87B9E825D}"/>
    <cellStyle name="Normal 4 2 2 4 3 4 2 2 3" xfId="17438" xr:uid="{1E5F088D-B6FD-4DC9-9C0A-96422C5C9201}"/>
    <cellStyle name="Normal 4 2 2 4 3 4 2 2 4" xfId="34332" xr:uid="{6F071E33-6CEF-45BD-A0C0-7A403A311F82}"/>
    <cellStyle name="Normal 4 2 2 4 3 4 2 3" xfId="21668" xr:uid="{EC101D97-C304-4EFE-BAF2-324BA0076D22}"/>
    <cellStyle name="Normal 4 2 2 4 3 4 2 3 2" xfId="38562" xr:uid="{C0BD2266-1179-4A48-B77D-DF7B017F1BDE}"/>
    <cellStyle name="Normal 4 2 2 4 3 4 2 4" xfId="13221" xr:uid="{A1CEE54C-BFDF-4823-A5DE-08306FB7A878}"/>
    <cellStyle name="Normal 4 2 2 4 3 4 2 5" xfId="30115" xr:uid="{AA8FDEA0-CEF0-4C13-8D58-E952B03B365F}"/>
    <cellStyle name="Normal 4 2 2 4 3 4 3" xfId="5967" xr:uid="{00000000-0005-0000-0000-0000C7120000}"/>
    <cellStyle name="Normal 4 2 2 4 3 4 3 2" xfId="23740" xr:uid="{D7B85460-975A-4C7F-B00C-646AFE8D9C36}"/>
    <cellStyle name="Normal 4 2 2 4 3 4 3 2 2" xfId="40634" xr:uid="{696A1FE5-CF40-45AB-88B8-C49783162390}"/>
    <cellStyle name="Normal 4 2 2 4 3 4 3 3" xfId="15293" xr:uid="{434BC48C-0B94-419C-9DEB-D7D41B640188}"/>
    <cellStyle name="Normal 4 2 2 4 3 4 3 4" xfId="32187" xr:uid="{EACEE04D-9AE7-44D3-A810-FA852D568529}"/>
    <cellStyle name="Normal 4 2 2 4 3 4 4" xfId="19523" xr:uid="{6E5AB11B-C109-43C8-89C8-E1B435634D33}"/>
    <cellStyle name="Normal 4 2 2 4 3 4 4 2" xfId="36417" xr:uid="{DB3F7A4D-C269-446A-89A9-159EEC9B5086}"/>
    <cellStyle name="Normal 4 2 2 4 3 4 5" xfId="11076" xr:uid="{38D8C654-9283-4BDD-A91E-5F2052484DE7}"/>
    <cellStyle name="Normal 4 2 2 4 3 4 6" xfId="27970" xr:uid="{9C5BF2A8-1F77-473B-A941-45AC1186BA85}"/>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2 2 2" xfId="26298" xr:uid="{EDE43A2D-0320-4C18-BC63-FBB5D80505BA}"/>
    <cellStyle name="Normal 4 2 2 4 3 5 2 2 2 2" xfId="43192" xr:uid="{456C8748-6401-49DD-ADD6-925F25C67458}"/>
    <cellStyle name="Normal 4 2 2 4 3 5 2 2 3" xfId="17851" xr:uid="{20E1DF21-BD20-4619-97B0-A023663C8B27}"/>
    <cellStyle name="Normal 4 2 2 4 3 5 2 2 4" xfId="34745" xr:uid="{649DDB75-1A10-4BD2-81E7-33DDDB4FDD4A}"/>
    <cellStyle name="Normal 4 2 2 4 3 5 2 3" xfId="22081" xr:uid="{D95C3450-92C6-419B-97F7-B12862029744}"/>
    <cellStyle name="Normal 4 2 2 4 3 5 2 3 2" xfId="38975" xr:uid="{28A287B2-6A30-49BB-96AF-018289D566CA}"/>
    <cellStyle name="Normal 4 2 2 4 3 5 2 4" xfId="13634" xr:uid="{7355295E-9772-4D13-8368-9F4318E2728D}"/>
    <cellStyle name="Normal 4 2 2 4 3 5 2 5" xfId="30528" xr:uid="{C9E58EFA-D9E3-4E4C-91E0-D764B7F3D252}"/>
    <cellStyle name="Normal 4 2 2 4 3 5 3" xfId="6380" xr:uid="{00000000-0005-0000-0000-0000CB120000}"/>
    <cellStyle name="Normal 4 2 2 4 3 5 3 2" xfId="24153" xr:uid="{13B53816-882D-466D-A2CF-DB853D653FAF}"/>
    <cellStyle name="Normal 4 2 2 4 3 5 3 2 2" xfId="41047" xr:uid="{33AA77CF-850D-4431-A10D-AE1479D4C9B9}"/>
    <cellStyle name="Normal 4 2 2 4 3 5 3 3" xfId="15706" xr:uid="{6C01EFD5-EFCB-4539-8A30-9A6F6A1A28D6}"/>
    <cellStyle name="Normal 4 2 2 4 3 5 3 4" xfId="32600" xr:uid="{DE783291-ED59-4531-8751-9DF85C404DDA}"/>
    <cellStyle name="Normal 4 2 2 4 3 5 4" xfId="19936" xr:uid="{D97D6AC7-3673-472A-B628-E5F1B9514F0F}"/>
    <cellStyle name="Normal 4 2 2 4 3 5 4 2" xfId="36830" xr:uid="{E3756A27-3041-4EED-A78B-B77311354F51}"/>
    <cellStyle name="Normal 4 2 2 4 3 5 5" xfId="11489" xr:uid="{91DBA9E2-33D4-463C-BD15-259A3864BD3D}"/>
    <cellStyle name="Normal 4 2 2 4 3 5 6" xfId="28383" xr:uid="{46AFF2EA-E9DB-4A78-97BA-0EAA4DE58572}"/>
    <cellStyle name="Normal 4 2 2 4 3 6" xfId="2510" xr:uid="{00000000-0005-0000-0000-0000CC120000}"/>
    <cellStyle name="Normal 4 2 2 4 3 6 2" xfId="6793" xr:uid="{00000000-0005-0000-0000-0000CD120000}"/>
    <cellStyle name="Normal 4 2 2 4 3 6 2 2" xfId="24566" xr:uid="{AC9760A6-D685-492D-83E8-509D50AD5CF7}"/>
    <cellStyle name="Normal 4 2 2 4 3 6 2 2 2" xfId="41460" xr:uid="{EF880BF6-1DA0-45FA-A812-CB9338438DCE}"/>
    <cellStyle name="Normal 4 2 2 4 3 6 2 3" xfId="16119" xr:uid="{A4362B77-4527-42EC-A86C-8482118ABD7E}"/>
    <cellStyle name="Normal 4 2 2 4 3 6 2 4" xfId="33013" xr:uid="{89814E79-27C7-4EB1-A63D-D2DA2B8F570E}"/>
    <cellStyle name="Normal 4 2 2 4 3 6 3" xfId="20349" xr:uid="{895B869D-2280-4DFB-BDB9-39ACC7E05272}"/>
    <cellStyle name="Normal 4 2 2 4 3 6 3 2" xfId="37243" xr:uid="{A7A176AD-D2CA-410B-AB82-42E6D6A2B591}"/>
    <cellStyle name="Normal 4 2 2 4 3 6 4" xfId="11902" xr:uid="{A2217906-AE7E-4598-9326-A32006014CCA}"/>
    <cellStyle name="Normal 4 2 2 4 3 6 5" xfId="28796" xr:uid="{56B36846-5510-407F-A0B4-1E8A0C418B1F}"/>
    <cellStyle name="Normal 4 2 2 4 3 7" xfId="4728" xr:uid="{00000000-0005-0000-0000-0000CE120000}"/>
    <cellStyle name="Normal 4 2 2 4 3 7 2" xfId="22501" xr:uid="{41FA7876-0F48-49E8-9643-E4183A758882}"/>
    <cellStyle name="Normal 4 2 2 4 3 7 2 2" xfId="39395" xr:uid="{9A0BEDB5-EA3F-4C0D-BFF4-A174EC031264}"/>
    <cellStyle name="Normal 4 2 2 4 3 7 3" xfId="14054" xr:uid="{2F547FAC-C03A-45D0-925A-176224B818EC}"/>
    <cellStyle name="Normal 4 2 2 4 3 7 4" xfId="30948" xr:uid="{FA586336-54BA-4B01-B642-4434E4180DEE}"/>
    <cellStyle name="Normal 4 2 2 4 3 8" xfId="9025" xr:uid="{436CB353-A916-4AB2-B5E2-8C1BDAEA1182}"/>
    <cellStyle name="Normal 4 2 2 4 3 8 2" xfId="18284" xr:uid="{0BF87D46-C1F6-4EF4-A597-69341872574C}"/>
    <cellStyle name="Normal 4 2 2 4 3 8 3" xfId="35178" xr:uid="{B81A5072-22DC-4AE9-B5C6-C23CD2A94F0A}"/>
    <cellStyle name="Normal 4 2 2 4 3 9" xfId="9837" xr:uid="{998B21F1-7D8A-4098-9B35-C070DBEE6F03}"/>
    <cellStyle name="Normal 4 2 2 4 4" xfId="824" xr:uid="{00000000-0005-0000-0000-0000CF120000}"/>
    <cellStyle name="Normal 4 2 2 4 4 2" xfId="3061" xr:uid="{00000000-0005-0000-0000-0000D0120000}"/>
    <cellStyle name="Normal 4 2 2 4 4 2 2" xfId="7283" xr:uid="{00000000-0005-0000-0000-0000D1120000}"/>
    <cellStyle name="Normal 4 2 2 4 4 2 2 2" xfId="25056" xr:uid="{863420A3-FA87-4D8C-BC02-EF1BC94F07BA}"/>
    <cellStyle name="Normal 4 2 2 4 4 2 2 2 2" xfId="41950" xr:uid="{EE37545B-AF71-49F1-9B66-FEAFC06F1246}"/>
    <cellStyle name="Normal 4 2 2 4 4 2 2 3" xfId="16609" xr:uid="{CBD84E1F-33CE-4EE8-A9D9-8870F119E77B}"/>
    <cellStyle name="Normal 4 2 2 4 4 2 2 4" xfId="33503" xr:uid="{09C4A4DE-7870-4318-AF61-E006527C7C65}"/>
    <cellStyle name="Normal 4 2 2 4 4 2 3" xfId="20839" xr:uid="{8A479405-DCEE-4C7D-A19B-BC582B5BB468}"/>
    <cellStyle name="Normal 4 2 2 4 4 2 3 2" xfId="37733" xr:uid="{1EFBB7B7-ADEA-4D66-A89E-0BEE114580F4}"/>
    <cellStyle name="Normal 4 2 2 4 4 2 4" xfId="12392" xr:uid="{D4E997D2-872A-4E00-8876-D916A3D403ED}"/>
    <cellStyle name="Normal 4 2 2 4 4 2 5" xfId="29286" xr:uid="{9E6A3EF6-BDAF-4FB1-8A17-4B2FBE7B1241}"/>
    <cellStyle name="Normal 4 2 2 4 4 3" xfId="5138" xr:uid="{00000000-0005-0000-0000-0000D2120000}"/>
    <cellStyle name="Normal 4 2 2 4 4 3 2" xfId="22911" xr:uid="{2057CB45-EF7F-49BB-88AE-30FDABCBFED1}"/>
    <cellStyle name="Normal 4 2 2 4 4 3 2 2" xfId="39805" xr:uid="{A27DDBA6-AD67-43BD-95A4-F1398ED4D7B1}"/>
    <cellStyle name="Normal 4 2 2 4 4 3 3" xfId="14464" xr:uid="{66216AA4-FA83-4E0E-A7B1-41286733B802}"/>
    <cellStyle name="Normal 4 2 2 4 4 3 4" xfId="31358" xr:uid="{C2711607-275F-48F9-807F-9EC2C2669E85}"/>
    <cellStyle name="Normal 4 2 2 4 4 4" xfId="9243" xr:uid="{FD46A281-F5BE-478B-950E-209D1D56FC0E}"/>
    <cellStyle name="Normal 4 2 2 4 4 4 2" xfId="18694" xr:uid="{68480D16-5F61-4DF0-89CD-D64D7FFCE009}"/>
    <cellStyle name="Normal 4 2 2 4 4 4 3" xfId="35588" xr:uid="{AA882242-EECD-45D2-ADB6-C799CCA372EA}"/>
    <cellStyle name="Normal 4 2 2 4 4 5" xfId="10247" xr:uid="{9BA7BEC8-601B-48AA-BD22-6F6086862D0B}"/>
    <cellStyle name="Normal 4 2 2 4 4 6" xfId="27141" xr:uid="{BD4F05F0-4B0B-4966-8B01-E1EBF531D62D}"/>
    <cellStyle name="Normal 4 2 2 4 5" xfId="1244" xr:uid="{00000000-0005-0000-0000-0000D3120000}"/>
    <cellStyle name="Normal 4 2 2 4 5 2" xfId="3474" xr:uid="{00000000-0005-0000-0000-0000D4120000}"/>
    <cellStyle name="Normal 4 2 2 4 5 2 2" xfId="7696" xr:uid="{00000000-0005-0000-0000-0000D5120000}"/>
    <cellStyle name="Normal 4 2 2 4 5 2 2 2" xfId="25469" xr:uid="{88853996-1CF7-4FE1-8CB1-8C1883607B9E}"/>
    <cellStyle name="Normal 4 2 2 4 5 2 2 2 2" xfId="42363" xr:uid="{E2C9D8E0-5965-4627-B6F9-F30C8D3F07BC}"/>
    <cellStyle name="Normal 4 2 2 4 5 2 2 3" xfId="17022" xr:uid="{0F41B7A2-4C51-4729-869E-B16378A6700E}"/>
    <cellStyle name="Normal 4 2 2 4 5 2 2 4" xfId="33916" xr:uid="{6DB75E26-EF6C-45B4-94E5-D7AB654EA53B}"/>
    <cellStyle name="Normal 4 2 2 4 5 2 3" xfId="21252" xr:uid="{7561C721-6807-4AB9-8746-82DBD9B04552}"/>
    <cellStyle name="Normal 4 2 2 4 5 2 3 2" xfId="38146" xr:uid="{D6A09B23-878D-48F4-B7B9-E395C01347F7}"/>
    <cellStyle name="Normal 4 2 2 4 5 2 4" xfId="12805" xr:uid="{A5624CA9-C209-462C-BDF1-F1F8041FB6BA}"/>
    <cellStyle name="Normal 4 2 2 4 5 2 5" xfId="29699" xr:uid="{BE54AAD6-C703-4A57-996B-4ACABAC2CDAF}"/>
    <cellStyle name="Normal 4 2 2 4 5 3" xfId="5551" xr:uid="{00000000-0005-0000-0000-0000D6120000}"/>
    <cellStyle name="Normal 4 2 2 4 5 3 2" xfId="23324" xr:uid="{9F9327F1-6178-4E37-91D0-2006182600CF}"/>
    <cellStyle name="Normal 4 2 2 4 5 3 2 2" xfId="40218" xr:uid="{F883E735-2F8A-4DFB-8512-417F1970B5F1}"/>
    <cellStyle name="Normal 4 2 2 4 5 3 3" xfId="14877" xr:uid="{67D92CFA-089A-4951-AD79-197D700F0C03}"/>
    <cellStyle name="Normal 4 2 2 4 5 3 4" xfId="31771" xr:uid="{5CEA0A08-0B2E-49E5-ACC9-5990608FB658}"/>
    <cellStyle name="Normal 4 2 2 4 5 4" xfId="19107" xr:uid="{C2EDA0D7-0703-448A-9A8F-06B8BB4A3B35}"/>
    <cellStyle name="Normal 4 2 2 4 5 4 2" xfId="36001" xr:uid="{0C14CF4C-1F4E-4575-A4BF-BC5FA8AE8873}"/>
    <cellStyle name="Normal 4 2 2 4 5 5" xfId="10660" xr:uid="{F211A011-50AB-4D82-B836-92CB12914AB5}"/>
    <cellStyle name="Normal 4 2 2 4 5 6" xfId="27554" xr:uid="{4F3170D4-7061-4F12-9862-65CC75018821}"/>
    <cellStyle name="Normal 4 2 2 4 6" xfId="1657" xr:uid="{00000000-0005-0000-0000-0000D7120000}"/>
    <cellStyle name="Normal 4 2 2 4 6 2" xfId="3887" xr:uid="{00000000-0005-0000-0000-0000D8120000}"/>
    <cellStyle name="Normal 4 2 2 4 6 2 2" xfId="8109" xr:uid="{00000000-0005-0000-0000-0000D9120000}"/>
    <cellStyle name="Normal 4 2 2 4 6 2 2 2" xfId="25882" xr:uid="{2B7D30CA-3AAB-4D2E-B8AE-9AB076709A11}"/>
    <cellStyle name="Normal 4 2 2 4 6 2 2 2 2" xfId="42776" xr:uid="{0ACE3499-57E1-493A-9B11-AA6F73D91681}"/>
    <cellStyle name="Normal 4 2 2 4 6 2 2 3" xfId="17435" xr:uid="{75710DBE-3590-4B33-B3C3-C363EC01F48E}"/>
    <cellStyle name="Normal 4 2 2 4 6 2 2 4" xfId="34329" xr:uid="{C60EF02C-A3FF-431D-8D70-EF8D6DA56BAA}"/>
    <cellStyle name="Normal 4 2 2 4 6 2 3" xfId="21665" xr:uid="{4985BD9A-4CE1-4716-A1DE-BABAFA5F6381}"/>
    <cellStyle name="Normal 4 2 2 4 6 2 3 2" xfId="38559" xr:uid="{A981EC16-5C34-4FEC-BC7E-01F0F25ADADD}"/>
    <cellStyle name="Normal 4 2 2 4 6 2 4" xfId="13218" xr:uid="{0E2F4CC8-B18F-4EFB-AD9F-3D5135CEAC37}"/>
    <cellStyle name="Normal 4 2 2 4 6 2 5" xfId="30112" xr:uid="{B727465F-AFEE-4CF1-99AF-6650802BD55A}"/>
    <cellStyle name="Normal 4 2 2 4 6 3" xfId="5964" xr:uid="{00000000-0005-0000-0000-0000DA120000}"/>
    <cellStyle name="Normal 4 2 2 4 6 3 2" xfId="23737" xr:uid="{8FB1327B-9740-4C37-8ED1-7AF0C42C2103}"/>
    <cellStyle name="Normal 4 2 2 4 6 3 2 2" xfId="40631" xr:uid="{FA633148-BEBD-44C2-BA14-46275B872EF0}"/>
    <cellStyle name="Normal 4 2 2 4 6 3 3" xfId="15290" xr:uid="{3B6315EC-B540-4219-8E63-0C42D179FB0B}"/>
    <cellStyle name="Normal 4 2 2 4 6 3 4" xfId="32184" xr:uid="{D5A0C669-C48A-4170-BA73-F8AA4C3B3D31}"/>
    <cellStyle name="Normal 4 2 2 4 6 4" xfId="19520" xr:uid="{AA435F7D-5E80-4EFA-899C-7F6B38840230}"/>
    <cellStyle name="Normal 4 2 2 4 6 4 2" xfId="36414" xr:uid="{3B72DF87-BB05-4E10-9130-4AA87B9411BB}"/>
    <cellStyle name="Normal 4 2 2 4 6 5" xfId="11073" xr:uid="{F0E85AE0-F7AC-4DA1-BAEA-80F6957A1674}"/>
    <cellStyle name="Normal 4 2 2 4 6 6" xfId="27967" xr:uid="{8A814E7E-B7BB-40BC-A6A1-D68B838F99E7}"/>
    <cellStyle name="Normal 4 2 2 4 7" xfId="2071" xr:uid="{00000000-0005-0000-0000-0000DB120000}"/>
    <cellStyle name="Normal 4 2 2 4 7 2" xfId="4300" xr:uid="{00000000-0005-0000-0000-0000DC120000}"/>
    <cellStyle name="Normal 4 2 2 4 7 2 2" xfId="8522" xr:uid="{00000000-0005-0000-0000-0000DD120000}"/>
    <cellStyle name="Normal 4 2 2 4 7 2 2 2" xfId="26295" xr:uid="{2E4C8260-9704-4E89-85F1-8C688E761124}"/>
    <cellStyle name="Normal 4 2 2 4 7 2 2 2 2" xfId="43189" xr:uid="{81BD7C76-0CF9-48C3-BB15-30EE2553CCDC}"/>
    <cellStyle name="Normal 4 2 2 4 7 2 2 3" xfId="17848" xr:uid="{B080E390-E7CA-40E3-8E96-5E509EBA8C5C}"/>
    <cellStyle name="Normal 4 2 2 4 7 2 2 4" xfId="34742" xr:uid="{AFA71E2E-4FEC-442B-877E-62B27C72152E}"/>
    <cellStyle name="Normal 4 2 2 4 7 2 3" xfId="22078" xr:uid="{5CABDF7F-6E33-40D3-98B5-7E316455BCE3}"/>
    <cellStyle name="Normal 4 2 2 4 7 2 3 2" xfId="38972" xr:uid="{6C08C161-2740-49FC-90FB-CB2D42F3E467}"/>
    <cellStyle name="Normal 4 2 2 4 7 2 4" xfId="13631" xr:uid="{7CF8029D-1ABA-49DA-950D-E8650B12109C}"/>
    <cellStyle name="Normal 4 2 2 4 7 2 5" xfId="30525" xr:uid="{3F9A37A2-36D0-46D5-B155-8E5BC711A280}"/>
    <cellStyle name="Normal 4 2 2 4 7 3" xfId="6377" xr:uid="{00000000-0005-0000-0000-0000DE120000}"/>
    <cellStyle name="Normal 4 2 2 4 7 3 2" xfId="24150" xr:uid="{FF77B826-320F-4E6C-A336-4FC3B2F0B2A6}"/>
    <cellStyle name="Normal 4 2 2 4 7 3 2 2" xfId="41044" xr:uid="{A5387DCC-D2BB-4B74-BFE4-741687AC0D44}"/>
    <cellStyle name="Normal 4 2 2 4 7 3 3" xfId="15703" xr:uid="{6B8E6619-0CEC-439C-9368-2D3AAB69CB43}"/>
    <cellStyle name="Normal 4 2 2 4 7 3 4" xfId="32597" xr:uid="{A4213B5A-DAEF-4374-BC49-F7D605F25917}"/>
    <cellStyle name="Normal 4 2 2 4 7 4" xfId="19933" xr:uid="{3CE66F84-AD56-45B3-825C-329F73FCBCAE}"/>
    <cellStyle name="Normal 4 2 2 4 7 4 2" xfId="36827" xr:uid="{E0BFBDC1-F6B6-4D54-AE2B-0E42D3DDBEDA}"/>
    <cellStyle name="Normal 4 2 2 4 7 5" xfId="11486" xr:uid="{E8079382-2413-418B-8382-AAE68A798886}"/>
    <cellStyle name="Normal 4 2 2 4 7 6" xfId="28380" xr:uid="{84DDAF99-16BF-413B-8D56-8F77F6B0F4A5}"/>
    <cellStyle name="Normal 4 2 2 4 8" xfId="2507" xr:uid="{00000000-0005-0000-0000-0000DF120000}"/>
    <cellStyle name="Normal 4 2 2 4 8 2" xfId="6790" xr:uid="{00000000-0005-0000-0000-0000E0120000}"/>
    <cellStyle name="Normal 4 2 2 4 8 2 2" xfId="24563" xr:uid="{A2C7A505-2F24-4A7B-B7E1-73F73B0B090F}"/>
    <cellStyle name="Normal 4 2 2 4 8 2 2 2" xfId="41457" xr:uid="{DEDA8F64-BAA1-4F74-B9A7-3C2F935A17C6}"/>
    <cellStyle name="Normal 4 2 2 4 8 2 3" xfId="16116" xr:uid="{43DD053F-C8C8-42EC-BFA5-B4E93605D969}"/>
    <cellStyle name="Normal 4 2 2 4 8 2 4" xfId="33010" xr:uid="{B6D9CB33-F3D8-4252-9DCC-4FBCD73877E9}"/>
    <cellStyle name="Normal 4 2 2 4 8 3" xfId="20346" xr:uid="{56627F77-E871-4FF7-8513-0612B628DBA3}"/>
    <cellStyle name="Normal 4 2 2 4 8 3 2" xfId="37240" xr:uid="{94447D3B-872F-44A8-A02A-669929A494C1}"/>
    <cellStyle name="Normal 4 2 2 4 8 4" xfId="11899" xr:uid="{4A1C1A51-A150-49E5-ADCF-1813A73BEF68}"/>
    <cellStyle name="Normal 4 2 2 4 8 5" xfId="28793" xr:uid="{CF47E227-3C75-4AC8-A8C7-45CC10DEF38C}"/>
    <cellStyle name="Normal 4 2 2 4 9" xfId="4725" xr:uid="{00000000-0005-0000-0000-0000E1120000}"/>
    <cellStyle name="Normal 4 2 2 4 9 2" xfId="22498" xr:uid="{B3B279F8-0650-460A-BFA8-DBFBE7C39E95}"/>
    <cellStyle name="Normal 4 2 2 4 9 2 2" xfId="39392" xr:uid="{B1009193-F671-4EE7-B216-32A3D1B74D3E}"/>
    <cellStyle name="Normal 4 2 2 4 9 3" xfId="14051" xr:uid="{A6690B26-BB90-4323-A05B-2E67368863A7}"/>
    <cellStyle name="Normal 4 2 2 4 9 4" xfId="30945" xr:uid="{3BC8851E-9630-4B0A-A83A-6A9BAD6881F5}"/>
    <cellStyle name="Normal 4 2 2 5" xfId="351" xr:uid="{00000000-0005-0000-0000-0000E2120000}"/>
    <cellStyle name="Normal 4 2 2 5 10" xfId="9838" xr:uid="{294363CB-B792-4B78-8FDC-69A936F290E4}"/>
    <cellStyle name="Normal 4 2 2 5 11" xfId="26732" xr:uid="{A0565959-702F-4749-BB34-0B9C427C1B58}"/>
    <cellStyle name="Normal 4 2 2 5 2" xfId="352" xr:uid="{00000000-0005-0000-0000-0000E3120000}"/>
    <cellStyle name="Normal 4 2 2 5 2 10" xfId="26733" xr:uid="{A5B6B2D4-972E-4EAA-8F2C-49DD90B64097}"/>
    <cellStyle name="Normal 4 2 2 5 2 2" xfId="829" xr:uid="{00000000-0005-0000-0000-0000E4120000}"/>
    <cellStyle name="Normal 4 2 2 5 2 2 2" xfId="3066" xr:uid="{00000000-0005-0000-0000-0000E5120000}"/>
    <cellStyle name="Normal 4 2 2 5 2 2 2 2" xfId="7288" xr:uid="{00000000-0005-0000-0000-0000E6120000}"/>
    <cellStyle name="Normal 4 2 2 5 2 2 2 2 2" xfId="25061" xr:uid="{6E3CF889-0137-4479-8B85-6451965C1C29}"/>
    <cellStyle name="Normal 4 2 2 5 2 2 2 2 2 2" xfId="41955" xr:uid="{048C69C5-901D-4E6B-A0AF-41CA4564378B}"/>
    <cellStyle name="Normal 4 2 2 5 2 2 2 2 3" xfId="16614" xr:uid="{B1E38DA9-024A-4E3F-85D7-1A4B6078633E}"/>
    <cellStyle name="Normal 4 2 2 5 2 2 2 2 4" xfId="33508" xr:uid="{C363AEB9-DCE2-4AA6-9F0B-630D6376376C}"/>
    <cellStyle name="Normal 4 2 2 5 2 2 2 3" xfId="20844" xr:uid="{B169CDC3-F69C-448F-98E0-9A4DC066C490}"/>
    <cellStyle name="Normal 4 2 2 5 2 2 2 3 2" xfId="37738" xr:uid="{4F77CB0C-7855-44BE-9A03-468BB8A56E97}"/>
    <cellStyle name="Normal 4 2 2 5 2 2 2 4" xfId="12397" xr:uid="{9D6CEEE6-C4F7-437B-87E7-E7A787DFF87B}"/>
    <cellStyle name="Normal 4 2 2 5 2 2 2 5" xfId="29291" xr:uid="{8D0B63F9-6952-4AD3-A3EE-B7B76173A998}"/>
    <cellStyle name="Normal 4 2 2 5 2 2 3" xfId="5143" xr:uid="{00000000-0005-0000-0000-0000E7120000}"/>
    <cellStyle name="Normal 4 2 2 5 2 2 3 2" xfId="22916" xr:uid="{8F13B70A-6B65-4625-9147-55CE9A9B4905}"/>
    <cellStyle name="Normal 4 2 2 5 2 2 3 2 2" xfId="39810" xr:uid="{9E2F8462-A283-4A1A-96F0-EED9E067767A}"/>
    <cellStyle name="Normal 4 2 2 5 2 2 3 3" xfId="14469" xr:uid="{329B583E-64E0-4D2C-AEFC-E0796ED9D057}"/>
    <cellStyle name="Normal 4 2 2 5 2 2 3 4" xfId="31363" xr:uid="{B2060FAB-48D1-4742-B4C9-1379D2C04A9A}"/>
    <cellStyle name="Normal 4 2 2 5 2 2 4" xfId="9487" xr:uid="{83D2756E-B983-4EA9-AB48-FF4D3E821CE4}"/>
    <cellStyle name="Normal 4 2 2 5 2 2 4 2" xfId="18699" xr:uid="{C6314F5D-DBD3-4984-8849-EC2353DBA894}"/>
    <cellStyle name="Normal 4 2 2 5 2 2 4 3" xfId="35593" xr:uid="{6DBB10FA-B5D3-4DCE-8F30-6BD061FB4AC7}"/>
    <cellStyle name="Normal 4 2 2 5 2 2 5" xfId="10252" xr:uid="{FB6EA884-2A5F-42F2-80E1-FFA53DFA7B0C}"/>
    <cellStyle name="Normal 4 2 2 5 2 2 6" xfId="27146" xr:uid="{DDEEF58A-3996-4526-873B-91277B6605B0}"/>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2 2 2" xfId="25474" xr:uid="{0B8107B0-C6EA-4A88-BDFB-A3D5693A4CE8}"/>
    <cellStyle name="Normal 4 2 2 5 2 3 2 2 2 2" xfId="42368" xr:uid="{1860C932-1E64-4C8E-8D76-A92CBC57D369}"/>
    <cellStyle name="Normal 4 2 2 5 2 3 2 2 3" xfId="17027" xr:uid="{1B17B5E2-4915-49F5-9656-6BF724E6FECF}"/>
    <cellStyle name="Normal 4 2 2 5 2 3 2 2 4" xfId="33921" xr:uid="{548B9DC3-899B-409B-88A0-5C843F3497F1}"/>
    <cellStyle name="Normal 4 2 2 5 2 3 2 3" xfId="21257" xr:uid="{C510E661-9818-4590-8AED-3E65C40925F4}"/>
    <cellStyle name="Normal 4 2 2 5 2 3 2 3 2" xfId="38151" xr:uid="{1F7C3A06-197F-4FF5-96BF-8AA4EB059060}"/>
    <cellStyle name="Normal 4 2 2 5 2 3 2 4" xfId="12810" xr:uid="{47BA9331-FF5A-4FF8-A74F-50ED4DC5965F}"/>
    <cellStyle name="Normal 4 2 2 5 2 3 2 5" xfId="29704" xr:uid="{48E9965A-BD62-4D27-961D-5346FA80D219}"/>
    <cellStyle name="Normal 4 2 2 5 2 3 3" xfId="5556" xr:uid="{00000000-0005-0000-0000-0000EB120000}"/>
    <cellStyle name="Normal 4 2 2 5 2 3 3 2" xfId="23329" xr:uid="{385D983E-877D-48C7-8421-EB1D605040F4}"/>
    <cellStyle name="Normal 4 2 2 5 2 3 3 2 2" xfId="40223" xr:uid="{678FF88C-C97E-4631-BFE2-30921D24B8A7}"/>
    <cellStyle name="Normal 4 2 2 5 2 3 3 3" xfId="14882" xr:uid="{2098C6A4-64AF-4153-B339-87BF8753553A}"/>
    <cellStyle name="Normal 4 2 2 5 2 3 3 4" xfId="31776" xr:uid="{DEFD9882-015E-48CA-AED0-BE1A36157E54}"/>
    <cellStyle name="Normal 4 2 2 5 2 3 4" xfId="19112" xr:uid="{09A21432-57DA-48FC-A441-410BE40DE741}"/>
    <cellStyle name="Normal 4 2 2 5 2 3 4 2" xfId="36006" xr:uid="{15A2F1EE-4C2F-43AC-8C21-3038F37BC141}"/>
    <cellStyle name="Normal 4 2 2 5 2 3 5" xfId="10665" xr:uid="{BDB6A5DE-B946-49E8-8DBC-8E1DFE8DDAD2}"/>
    <cellStyle name="Normal 4 2 2 5 2 3 6" xfId="27559" xr:uid="{BB686966-A65B-45A2-8854-66D6C3ED0CD2}"/>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2 2 2" xfId="25887" xr:uid="{9F85D519-E92F-4360-9D3F-FAEFE240B2CC}"/>
    <cellStyle name="Normal 4 2 2 5 2 4 2 2 2 2" xfId="42781" xr:uid="{15AFCF37-9F4D-49E7-8FD6-0E1A60FDC20A}"/>
    <cellStyle name="Normal 4 2 2 5 2 4 2 2 3" xfId="17440" xr:uid="{3B49DDDB-9F41-4E7E-8B33-BE31174027C0}"/>
    <cellStyle name="Normal 4 2 2 5 2 4 2 2 4" xfId="34334" xr:uid="{3DCECFD0-A0AA-4023-A2FC-A0A0AF64285E}"/>
    <cellStyle name="Normal 4 2 2 5 2 4 2 3" xfId="21670" xr:uid="{CA6AC0DB-F968-4790-9F53-13D97552E023}"/>
    <cellStyle name="Normal 4 2 2 5 2 4 2 3 2" xfId="38564" xr:uid="{D245B2D7-6043-4959-AD8E-6D65D18FB09D}"/>
    <cellStyle name="Normal 4 2 2 5 2 4 2 4" xfId="13223" xr:uid="{B4A2956D-B2DB-43F4-9E4D-5BD4AF5CFC91}"/>
    <cellStyle name="Normal 4 2 2 5 2 4 2 5" xfId="30117" xr:uid="{E42CD411-2D3C-4D6E-A103-86D69A1C3F11}"/>
    <cellStyle name="Normal 4 2 2 5 2 4 3" xfId="5969" xr:uid="{00000000-0005-0000-0000-0000EF120000}"/>
    <cellStyle name="Normal 4 2 2 5 2 4 3 2" xfId="23742" xr:uid="{10DE336F-7A58-4365-95F7-3BB0F74E456A}"/>
    <cellStyle name="Normal 4 2 2 5 2 4 3 2 2" xfId="40636" xr:uid="{CE39DFFB-335B-44B4-B6DE-395937CA1257}"/>
    <cellStyle name="Normal 4 2 2 5 2 4 3 3" xfId="15295" xr:uid="{7538131C-8708-467D-8D97-2D4B568BC3FF}"/>
    <cellStyle name="Normal 4 2 2 5 2 4 3 4" xfId="32189" xr:uid="{5F369333-FBC6-427D-BEF3-E34D29E7021E}"/>
    <cellStyle name="Normal 4 2 2 5 2 4 4" xfId="19525" xr:uid="{8EEBF168-F595-4727-A1DE-2C88F12860E3}"/>
    <cellStyle name="Normal 4 2 2 5 2 4 4 2" xfId="36419" xr:uid="{E6AE69B1-AEE2-4301-BBDD-5498519D6046}"/>
    <cellStyle name="Normal 4 2 2 5 2 4 5" xfId="11078" xr:uid="{EFE1CC2A-D32A-4292-9102-AE5BDA5CCD26}"/>
    <cellStyle name="Normal 4 2 2 5 2 4 6" xfId="27972" xr:uid="{4206C168-6FEB-4FBD-8469-F5F84C3676A6}"/>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2 2 2" xfId="26300" xr:uid="{E1216ACA-DE74-4F5D-9B21-7C999412130C}"/>
    <cellStyle name="Normal 4 2 2 5 2 5 2 2 2 2" xfId="43194" xr:uid="{1160D0DB-5F69-4E78-B6EB-6E309FA9BB23}"/>
    <cellStyle name="Normal 4 2 2 5 2 5 2 2 3" xfId="17853" xr:uid="{CE0602B5-730E-4427-93A5-2EA453FCEE00}"/>
    <cellStyle name="Normal 4 2 2 5 2 5 2 2 4" xfId="34747" xr:uid="{9EF6F3C3-18C4-49D7-9271-3EBE64575361}"/>
    <cellStyle name="Normal 4 2 2 5 2 5 2 3" xfId="22083" xr:uid="{A352FC1A-B52C-4E37-B86C-BC14FA915D88}"/>
    <cellStyle name="Normal 4 2 2 5 2 5 2 3 2" xfId="38977" xr:uid="{D501935E-3825-4202-A639-BD407EAD36D2}"/>
    <cellStyle name="Normal 4 2 2 5 2 5 2 4" xfId="13636" xr:uid="{CCCE21F3-0C03-4DF3-AB5F-5A6429713F82}"/>
    <cellStyle name="Normal 4 2 2 5 2 5 2 5" xfId="30530" xr:uid="{B8EA7853-F6BC-4D40-8EF4-BA08AE12EAEE}"/>
    <cellStyle name="Normal 4 2 2 5 2 5 3" xfId="6382" xr:uid="{00000000-0005-0000-0000-0000F3120000}"/>
    <cellStyle name="Normal 4 2 2 5 2 5 3 2" xfId="24155" xr:uid="{B2B3ACC8-994D-4814-B82D-FDD179A90BD2}"/>
    <cellStyle name="Normal 4 2 2 5 2 5 3 2 2" xfId="41049" xr:uid="{2759ED60-D02D-477D-BCCD-23D04BA85FB9}"/>
    <cellStyle name="Normal 4 2 2 5 2 5 3 3" xfId="15708" xr:uid="{FD5F8AA2-10C6-4029-9CCE-B23AB055B4D6}"/>
    <cellStyle name="Normal 4 2 2 5 2 5 3 4" xfId="32602" xr:uid="{36A14FDF-D695-400E-B124-D5CD42815558}"/>
    <cellStyle name="Normal 4 2 2 5 2 5 4" xfId="19938" xr:uid="{94D3D20D-829E-48C9-9503-4EB6CA421DFD}"/>
    <cellStyle name="Normal 4 2 2 5 2 5 4 2" xfId="36832" xr:uid="{2B2AF731-50E4-4BE5-BBB2-764C903CEE11}"/>
    <cellStyle name="Normal 4 2 2 5 2 5 5" xfId="11491" xr:uid="{54D142EE-C67A-40A2-A781-751BA34480DB}"/>
    <cellStyle name="Normal 4 2 2 5 2 5 6" xfId="28385" xr:uid="{8314C499-C141-4718-8113-47AF5D25EE24}"/>
    <cellStyle name="Normal 4 2 2 5 2 6" xfId="2512" xr:uid="{00000000-0005-0000-0000-0000F4120000}"/>
    <cellStyle name="Normal 4 2 2 5 2 6 2" xfId="6795" xr:uid="{00000000-0005-0000-0000-0000F5120000}"/>
    <cellStyle name="Normal 4 2 2 5 2 6 2 2" xfId="24568" xr:uid="{00ED2C58-F2AB-4FB9-8438-8A468C003E60}"/>
    <cellStyle name="Normal 4 2 2 5 2 6 2 2 2" xfId="41462" xr:uid="{A1115BF9-EB15-433C-88D4-11C0B141C18C}"/>
    <cellStyle name="Normal 4 2 2 5 2 6 2 3" xfId="16121" xr:uid="{3FFB65ED-6754-4D1D-A647-53085703CD91}"/>
    <cellStyle name="Normal 4 2 2 5 2 6 2 4" xfId="33015" xr:uid="{79DD5CA5-4630-4E01-BA24-A0FD6402815A}"/>
    <cellStyle name="Normal 4 2 2 5 2 6 3" xfId="20351" xr:uid="{819E9604-602B-493A-9C72-78CCB1ECE569}"/>
    <cellStyle name="Normal 4 2 2 5 2 6 3 2" xfId="37245" xr:uid="{41923FFA-275F-4AD9-9EFB-23D31EEA2D12}"/>
    <cellStyle name="Normal 4 2 2 5 2 6 4" xfId="11904" xr:uid="{3FE2337D-CB0B-42F3-8551-E0699D482F2E}"/>
    <cellStyle name="Normal 4 2 2 5 2 6 5" xfId="28798" xr:uid="{DDF67E4A-3000-49B4-A73D-A614B47A0890}"/>
    <cellStyle name="Normal 4 2 2 5 2 7" xfId="4730" xr:uid="{00000000-0005-0000-0000-0000F6120000}"/>
    <cellStyle name="Normal 4 2 2 5 2 7 2" xfId="22503" xr:uid="{9B0D1277-D321-4CE9-8BC0-EE964AF9FFDC}"/>
    <cellStyle name="Normal 4 2 2 5 2 7 2 2" xfId="39397" xr:uid="{81ABD3BB-0B53-4CAB-A104-7E5440F5E15C}"/>
    <cellStyle name="Normal 4 2 2 5 2 7 3" xfId="14056" xr:uid="{6E1B0B03-F4B4-4966-9F2C-67E2858EB8C3}"/>
    <cellStyle name="Normal 4 2 2 5 2 7 4" xfId="30950" xr:uid="{60187DBC-3545-495A-B1E0-8EE3BB8E6E94}"/>
    <cellStyle name="Normal 4 2 2 5 2 8" xfId="9062" xr:uid="{FED54422-C2E5-44B3-AA7C-C6088F47A385}"/>
    <cellStyle name="Normal 4 2 2 5 2 8 2" xfId="18286" xr:uid="{35179A5D-FF56-4324-9B67-FEE0C2232D6F}"/>
    <cellStyle name="Normal 4 2 2 5 2 8 3" xfId="35180" xr:uid="{B22AD334-4632-40FC-B03D-052B974F497C}"/>
    <cellStyle name="Normal 4 2 2 5 2 9" xfId="9839" xr:uid="{C2A93131-30EB-4AFB-9B64-B3CA7A38B998}"/>
    <cellStyle name="Normal 4 2 2 5 3" xfId="828" xr:uid="{00000000-0005-0000-0000-0000F7120000}"/>
    <cellStyle name="Normal 4 2 2 5 3 2" xfId="3065" xr:uid="{00000000-0005-0000-0000-0000F8120000}"/>
    <cellStyle name="Normal 4 2 2 5 3 2 2" xfId="7287" xr:uid="{00000000-0005-0000-0000-0000F9120000}"/>
    <cellStyle name="Normal 4 2 2 5 3 2 2 2" xfId="25060" xr:uid="{73F1B9FF-B4FB-459C-9CD0-E08E2E4AF13C}"/>
    <cellStyle name="Normal 4 2 2 5 3 2 2 2 2" xfId="41954" xr:uid="{C34BA0A6-5976-4DAA-BBD2-D9178BC76366}"/>
    <cellStyle name="Normal 4 2 2 5 3 2 2 3" xfId="16613" xr:uid="{C800865D-D0DD-46C9-BBDB-AB54EC914B3B}"/>
    <cellStyle name="Normal 4 2 2 5 3 2 2 4" xfId="33507" xr:uid="{1A88DA10-CEC0-4210-A845-B38D38C75886}"/>
    <cellStyle name="Normal 4 2 2 5 3 2 3" xfId="20843" xr:uid="{43EDDA51-CBBA-44EB-A488-B56C81A7B6C1}"/>
    <cellStyle name="Normal 4 2 2 5 3 2 3 2" xfId="37737" xr:uid="{D73C8DA9-1DB3-4ED3-A580-C3535268D912}"/>
    <cellStyle name="Normal 4 2 2 5 3 2 4" xfId="12396" xr:uid="{EF73E1FF-52A0-4E09-A6E1-487E22780CC3}"/>
    <cellStyle name="Normal 4 2 2 5 3 2 5" xfId="29290" xr:uid="{AF723A85-E2E6-4E92-BD80-BA5F4D6C0427}"/>
    <cellStyle name="Normal 4 2 2 5 3 3" xfId="5142" xr:uid="{00000000-0005-0000-0000-0000FA120000}"/>
    <cellStyle name="Normal 4 2 2 5 3 3 2" xfId="22915" xr:uid="{3BE5CC11-1058-4788-8D8A-3554FFB9533C}"/>
    <cellStyle name="Normal 4 2 2 5 3 3 2 2" xfId="39809" xr:uid="{E39CBE2C-7ADF-4E68-82A7-69F33AA95A98}"/>
    <cellStyle name="Normal 4 2 2 5 3 3 3" xfId="14468" xr:uid="{87E13300-3624-4241-A6B6-6FAF72A4C03C}"/>
    <cellStyle name="Normal 4 2 2 5 3 3 4" xfId="31362" xr:uid="{C03EC01C-F2CB-4908-98ED-03D326359D18}"/>
    <cellStyle name="Normal 4 2 2 5 3 4" xfId="9280" xr:uid="{C70B18D8-E279-4D37-82EF-3177E9FA554F}"/>
    <cellStyle name="Normal 4 2 2 5 3 4 2" xfId="18698" xr:uid="{476E692F-1B03-4E6C-85D6-9FB66C769518}"/>
    <cellStyle name="Normal 4 2 2 5 3 4 3" xfId="35592" xr:uid="{1EC1AA47-7325-4211-8F04-F6FD66A0A1F9}"/>
    <cellStyle name="Normal 4 2 2 5 3 5" xfId="10251" xr:uid="{1C1A34BE-F937-4F73-99FF-C4357314676D}"/>
    <cellStyle name="Normal 4 2 2 5 3 6" xfId="27145" xr:uid="{17277E06-B9C7-4F9A-BBE8-F203C99E1F02}"/>
    <cellStyle name="Normal 4 2 2 5 4" xfId="1248" xr:uid="{00000000-0005-0000-0000-0000FB120000}"/>
    <cellStyle name="Normal 4 2 2 5 4 2" xfId="3478" xr:uid="{00000000-0005-0000-0000-0000FC120000}"/>
    <cellStyle name="Normal 4 2 2 5 4 2 2" xfId="7700" xr:uid="{00000000-0005-0000-0000-0000FD120000}"/>
    <cellStyle name="Normal 4 2 2 5 4 2 2 2" xfId="25473" xr:uid="{FA03733A-3C52-4FC6-B26E-7886101A8CA0}"/>
    <cellStyle name="Normal 4 2 2 5 4 2 2 2 2" xfId="42367" xr:uid="{EC56E1A8-47CB-4D53-BFF5-DF9478CC747D}"/>
    <cellStyle name="Normal 4 2 2 5 4 2 2 3" xfId="17026" xr:uid="{F1E31E91-0C06-4DEE-8446-D380790574BA}"/>
    <cellStyle name="Normal 4 2 2 5 4 2 2 4" xfId="33920" xr:uid="{103627BF-FADD-47DA-8963-0D43F26F2ED5}"/>
    <cellStyle name="Normal 4 2 2 5 4 2 3" xfId="21256" xr:uid="{48615245-7E74-4AA8-9D63-8B825A3A4960}"/>
    <cellStyle name="Normal 4 2 2 5 4 2 3 2" xfId="38150" xr:uid="{BC0CC522-355C-4539-B698-17AC550468B5}"/>
    <cellStyle name="Normal 4 2 2 5 4 2 4" xfId="12809" xr:uid="{DF85394B-01E1-4AE8-A4C9-D29CFF6F134C}"/>
    <cellStyle name="Normal 4 2 2 5 4 2 5" xfId="29703" xr:uid="{E7DE96DF-564D-4204-AC40-3514AE61CC3B}"/>
    <cellStyle name="Normal 4 2 2 5 4 3" xfId="5555" xr:uid="{00000000-0005-0000-0000-0000FE120000}"/>
    <cellStyle name="Normal 4 2 2 5 4 3 2" xfId="23328" xr:uid="{90AC8AA0-3B3F-4C59-B500-5CA668621402}"/>
    <cellStyle name="Normal 4 2 2 5 4 3 2 2" xfId="40222" xr:uid="{C9D1235B-2EB0-4D61-9A15-2E179938009A}"/>
    <cellStyle name="Normal 4 2 2 5 4 3 3" xfId="14881" xr:uid="{DD4EA85E-5B98-41E3-B359-864916FEA74E}"/>
    <cellStyle name="Normal 4 2 2 5 4 3 4" xfId="31775" xr:uid="{A0A6BBA0-A162-47CE-BEC2-894C44E08331}"/>
    <cellStyle name="Normal 4 2 2 5 4 4" xfId="19111" xr:uid="{7FB19B91-0803-4381-83B3-6881B7B0DC85}"/>
    <cellStyle name="Normal 4 2 2 5 4 4 2" xfId="36005" xr:uid="{BA6FD17A-F531-465B-96DD-CE85EF35306A}"/>
    <cellStyle name="Normal 4 2 2 5 4 5" xfId="10664" xr:uid="{976B79DE-AD2A-4EFC-94AC-F0E92D5C740E}"/>
    <cellStyle name="Normal 4 2 2 5 4 6" xfId="27558" xr:uid="{660C2812-456C-4493-B80F-DAF096E63597}"/>
    <cellStyle name="Normal 4 2 2 5 5" xfId="1661" xr:uid="{00000000-0005-0000-0000-0000FF120000}"/>
    <cellStyle name="Normal 4 2 2 5 5 2" xfId="3891" xr:uid="{00000000-0005-0000-0000-000000130000}"/>
    <cellStyle name="Normal 4 2 2 5 5 2 2" xfId="8113" xr:uid="{00000000-0005-0000-0000-000001130000}"/>
    <cellStyle name="Normal 4 2 2 5 5 2 2 2" xfId="25886" xr:uid="{03355727-D020-4FFC-A035-4B09EDCF5086}"/>
    <cellStyle name="Normal 4 2 2 5 5 2 2 2 2" xfId="42780" xr:uid="{174FDC82-29E8-46D8-B1BC-C473369D110B}"/>
    <cellStyle name="Normal 4 2 2 5 5 2 2 3" xfId="17439" xr:uid="{FA6221C5-72D7-4BF6-AB4A-4A3D59172989}"/>
    <cellStyle name="Normal 4 2 2 5 5 2 2 4" xfId="34333" xr:uid="{E59A8D52-82AA-4C58-8D58-965C70565971}"/>
    <cellStyle name="Normal 4 2 2 5 5 2 3" xfId="21669" xr:uid="{4DDC52DF-FB74-403E-A1BE-A2B6C8810464}"/>
    <cellStyle name="Normal 4 2 2 5 5 2 3 2" xfId="38563" xr:uid="{62B9A599-81F4-47F5-9C58-7D8AFF001E88}"/>
    <cellStyle name="Normal 4 2 2 5 5 2 4" xfId="13222" xr:uid="{AB8B16E6-7355-422F-84E9-C861FF9EEDA4}"/>
    <cellStyle name="Normal 4 2 2 5 5 2 5" xfId="30116" xr:uid="{91EF5575-4174-4FD3-8F3C-472D43B4D439}"/>
    <cellStyle name="Normal 4 2 2 5 5 3" xfId="5968" xr:uid="{00000000-0005-0000-0000-000002130000}"/>
    <cellStyle name="Normal 4 2 2 5 5 3 2" xfId="23741" xr:uid="{F3523DC6-8217-4450-9421-8CBECB559B88}"/>
    <cellStyle name="Normal 4 2 2 5 5 3 2 2" xfId="40635" xr:uid="{99997875-51BE-4CCB-8EB4-2FA5BA48BEEF}"/>
    <cellStyle name="Normal 4 2 2 5 5 3 3" xfId="15294" xr:uid="{3A687D2E-0C83-4BE9-8688-612B1B7309D6}"/>
    <cellStyle name="Normal 4 2 2 5 5 3 4" xfId="32188" xr:uid="{7883FB01-186D-4AD9-A828-BBBAB61FFEE1}"/>
    <cellStyle name="Normal 4 2 2 5 5 4" xfId="19524" xr:uid="{B604B591-B723-47EB-A1E6-4231338CEAF9}"/>
    <cellStyle name="Normal 4 2 2 5 5 4 2" xfId="36418" xr:uid="{E9C14C84-2306-4975-A19B-61FBC8BF590D}"/>
    <cellStyle name="Normal 4 2 2 5 5 5" xfId="11077" xr:uid="{4271D4CD-7EA7-4BFF-BB28-7846E76D85FA}"/>
    <cellStyle name="Normal 4 2 2 5 5 6" xfId="27971" xr:uid="{CD547296-055C-4230-9613-9E3914E5CBAB}"/>
    <cellStyle name="Normal 4 2 2 5 6" xfId="2075" xr:uid="{00000000-0005-0000-0000-000003130000}"/>
    <cellStyle name="Normal 4 2 2 5 6 2" xfId="4304" xr:uid="{00000000-0005-0000-0000-000004130000}"/>
    <cellStyle name="Normal 4 2 2 5 6 2 2" xfId="8526" xr:uid="{00000000-0005-0000-0000-000005130000}"/>
    <cellStyle name="Normal 4 2 2 5 6 2 2 2" xfId="26299" xr:uid="{420A78B5-E9B1-457A-8CB0-D5881ED6A0C8}"/>
    <cellStyle name="Normal 4 2 2 5 6 2 2 2 2" xfId="43193" xr:uid="{2EAB8895-232B-4EE2-884F-85A22969B988}"/>
    <cellStyle name="Normal 4 2 2 5 6 2 2 3" xfId="17852" xr:uid="{7B034C76-8C73-46EB-B3D0-8D980DEFED37}"/>
    <cellStyle name="Normal 4 2 2 5 6 2 2 4" xfId="34746" xr:uid="{78148B9B-4B0D-48A0-9F84-7BA46FA10B14}"/>
    <cellStyle name="Normal 4 2 2 5 6 2 3" xfId="22082" xr:uid="{6AA4D382-7065-4BCA-9EE0-A303277881A7}"/>
    <cellStyle name="Normal 4 2 2 5 6 2 3 2" xfId="38976" xr:uid="{3DCE96B5-49A5-4C44-B17E-42CA9EC3912E}"/>
    <cellStyle name="Normal 4 2 2 5 6 2 4" xfId="13635" xr:uid="{45145AED-4994-4D73-8F6D-ECBAB7BF559B}"/>
    <cellStyle name="Normal 4 2 2 5 6 2 5" xfId="30529" xr:uid="{EFB50856-CC05-416C-ABBA-D88A663B402D}"/>
    <cellStyle name="Normal 4 2 2 5 6 3" xfId="6381" xr:uid="{00000000-0005-0000-0000-000006130000}"/>
    <cellStyle name="Normal 4 2 2 5 6 3 2" xfId="24154" xr:uid="{8E9F523F-E5AE-4FF7-B144-4EAD6D0506AD}"/>
    <cellStyle name="Normal 4 2 2 5 6 3 2 2" xfId="41048" xr:uid="{E0071C24-1B78-4370-B0A0-EF70A00E6B0C}"/>
    <cellStyle name="Normal 4 2 2 5 6 3 3" xfId="15707" xr:uid="{6D8BEB9A-E267-47D7-B9EA-7BDAE57848F3}"/>
    <cellStyle name="Normal 4 2 2 5 6 3 4" xfId="32601" xr:uid="{C4AB73EA-B965-4B0A-92C6-FC24DB4B2968}"/>
    <cellStyle name="Normal 4 2 2 5 6 4" xfId="19937" xr:uid="{C98D0F11-7A00-4CE2-A043-1242B82A5DE7}"/>
    <cellStyle name="Normal 4 2 2 5 6 4 2" xfId="36831" xr:uid="{B78CF5F8-DDE8-4A12-9541-F9288186BF1F}"/>
    <cellStyle name="Normal 4 2 2 5 6 5" xfId="11490" xr:uid="{C25B097C-4C9C-44F9-A1B3-3FD16E9C0394}"/>
    <cellStyle name="Normal 4 2 2 5 6 6" xfId="28384" xr:uid="{268833CD-DC64-49FA-8A0A-1CF97CA2F35C}"/>
    <cellStyle name="Normal 4 2 2 5 7" xfId="2511" xr:uid="{00000000-0005-0000-0000-000007130000}"/>
    <cellStyle name="Normal 4 2 2 5 7 2" xfId="6794" xr:uid="{00000000-0005-0000-0000-000008130000}"/>
    <cellStyle name="Normal 4 2 2 5 7 2 2" xfId="24567" xr:uid="{F792566E-CCDF-4FE5-AC2B-028EE6A914D5}"/>
    <cellStyle name="Normal 4 2 2 5 7 2 2 2" xfId="41461" xr:uid="{30C320F9-C4C3-4316-BFA0-24DE2A0358E9}"/>
    <cellStyle name="Normal 4 2 2 5 7 2 3" xfId="16120" xr:uid="{CB942580-A4E9-48A6-B2E8-F31B3423FAA6}"/>
    <cellStyle name="Normal 4 2 2 5 7 2 4" xfId="33014" xr:uid="{3A59600D-0586-4647-BEA2-242297A52F34}"/>
    <cellStyle name="Normal 4 2 2 5 7 3" xfId="20350" xr:uid="{A2C32DDC-79AF-4585-ABAB-E1C568197D73}"/>
    <cellStyle name="Normal 4 2 2 5 7 3 2" xfId="37244" xr:uid="{7A7D757A-4BD6-4DFF-8C34-6583EBD7C340}"/>
    <cellStyle name="Normal 4 2 2 5 7 4" xfId="11903" xr:uid="{E4A25C06-358B-4677-A2C1-43E5D2961AC5}"/>
    <cellStyle name="Normal 4 2 2 5 7 5" xfId="28797" xr:uid="{AB2FF340-4D78-459A-94D8-A57A17E81F22}"/>
    <cellStyle name="Normal 4 2 2 5 8" xfId="4729" xr:uid="{00000000-0005-0000-0000-000009130000}"/>
    <cellStyle name="Normal 4 2 2 5 8 2" xfId="22502" xr:uid="{8871E0C4-CEE0-448E-9962-4039047E0DB9}"/>
    <cellStyle name="Normal 4 2 2 5 8 2 2" xfId="39396" xr:uid="{C44E50C4-0AB2-4531-B868-2795FC997307}"/>
    <cellStyle name="Normal 4 2 2 5 8 3" xfId="14055" xr:uid="{573A0405-40B2-476D-A196-4C03C8032E4A}"/>
    <cellStyle name="Normal 4 2 2 5 8 4" xfId="30949" xr:uid="{3F47C28F-DA19-4883-B3F4-BCDE41894FDA}"/>
    <cellStyle name="Normal 4 2 2 5 9" xfId="8855" xr:uid="{894DEE8B-A5CD-4C4E-B41D-DCEB92717109}"/>
    <cellStyle name="Normal 4 2 2 5 9 2" xfId="18285" xr:uid="{5E46667E-52DD-4243-B271-61772DD6AD2F}"/>
    <cellStyle name="Normal 4 2 2 5 9 3" xfId="35179" xr:uid="{CC88FFA7-6A7C-45E4-8B92-2D9A033DD53A}"/>
    <cellStyle name="Normal 4 2 2 6" xfId="353" xr:uid="{00000000-0005-0000-0000-00000A130000}"/>
    <cellStyle name="Normal 4 2 2 6 10" xfId="26734" xr:uid="{B7FD8140-1B4D-449D-8DFA-7F9384D0052C}"/>
    <cellStyle name="Normal 4 2 2 6 2" xfId="830" xr:uid="{00000000-0005-0000-0000-00000B130000}"/>
    <cellStyle name="Normal 4 2 2 6 2 2" xfId="3067" xr:uid="{00000000-0005-0000-0000-00000C130000}"/>
    <cellStyle name="Normal 4 2 2 6 2 2 2" xfId="7289" xr:uid="{00000000-0005-0000-0000-00000D130000}"/>
    <cellStyle name="Normal 4 2 2 6 2 2 2 2" xfId="25062" xr:uid="{8217A085-9CF4-43C3-A9C0-602936C4D1DB}"/>
    <cellStyle name="Normal 4 2 2 6 2 2 2 2 2" xfId="41956" xr:uid="{533A6E80-5465-415E-8F8A-8089AB24CC56}"/>
    <cellStyle name="Normal 4 2 2 6 2 2 2 3" xfId="16615" xr:uid="{E3D5DF88-B007-441B-ABC5-A0448BBBD928}"/>
    <cellStyle name="Normal 4 2 2 6 2 2 2 4" xfId="33509" xr:uid="{2E6862D3-4AC5-4A36-A163-26CCBC8F8502}"/>
    <cellStyle name="Normal 4 2 2 6 2 2 3" xfId="20845" xr:uid="{FBE5BE98-C443-4F8C-BB94-87347CAF02D1}"/>
    <cellStyle name="Normal 4 2 2 6 2 2 3 2" xfId="37739" xr:uid="{F23EB0E0-A3DB-46B3-8616-C658940A56AC}"/>
    <cellStyle name="Normal 4 2 2 6 2 2 4" xfId="12398" xr:uid="{D0BB34B2-8825-446C-AB65-1D5E84642A9F}"/>
    <cellStyle name="Normal 4 2 2 6 2 2 5" xfId="29292" xr:uid="{8134D5EE-5E48-4350-9B75-2F9C8617C8AC}"/>
    <cellStyle name="Normal 4 2 2 6 2 3" xfId="5144" xr:uid="{00000000-0005-0000-0000-00000E130000}"/>
    <cellStyle name="Normal 4 2 2 6 2 3 2" xfId="22917" xr:uid="{0CBED78E-D565-4B6E-B45D-840C80394473}"/>
    <cellStyle name="Normal 4 2 2 6 2 3 2 2" xfId="39811" xr:uid="{7A1E2679-8DC8-4992-A88E-797507D85732}"/>
    <cellStyle name="Normal 4 2 2 6 2 3 3" xfId="14470" xr:uid="{1E96496B-DD43-4F7F-BAEB-E0FBF132126C}"/>
    <cellStyle name="Normal 4 2 2 6 2 3 4" xfId="31364" xr:uid="{1F1EE8C5-1705-4481-919A-0AA8872BE221}"/>
    <cellStyle name="Normal 4 2 2 6 2 4" xfId="9396" xr:uid="{5B10E6C6-987A-4149-BB81-321A07C7666F}"/>
    <cellStyle name="Normal 4 2 2 6 2 4 2" xfId="18700" xr:uid="{6B5635F8-CF2F-491A-A31A-969344DEE2A9}"/>
    <cellStyle name="Normal 4 2 2 6 2 4 3" xfId="35594" xr:uid="{B2077F34-1F5C-4E41-93AC-39B32CA69ADD}"/>
    <cellStyle name="Normal 4 2 2 6 2 5" xfId="10253" xr:uid="{04A72D9D-439C-4464-8238-27FABF80ACCE}"/>
    <cellStyle name="Normal 4 2 2 6 2 6" xfId="27147" xr:uid="{23060CAA-C292-4B84-98BA-19A5F2140964}"/>
    <cellStyle name="Normal 4 2 2 6 3" xfId="1250" xr:uid="{00000000-0005-0000-0000-00000F130000}"/>
    <cellStyle name="Normal 4 2 2 6 3 2" xfId="3480" xr:uid="{00000000-0005-0000-0000-000010130000}"/>
    <cellStyle name="Normal 4 2 2 6 3 2 2" xfId="7702" xr:uid="{00000000-0005-0000-0000-000011130000}"/>
    <cellStyle name="Normal 4 2 2 6 3 2 2 2" xfId="25475" xr:uid="{BE39E8A9-B620-4D64-B901-4DC911F12C0B}"/>
    <cellStyle name="Normal 4 2 2 6 3 2 2 2 2" xfId="42369" xr:uid="{4542C0F9-3999-4194-A62B-3419A3AA83B5}"/>
    <cellStyle name="Normal 4 2 2 6 3 2 2 3" xfId="17028" xr:uid="{39967A1B-5211-462E-B4AD-F6AB3924CE9A}"/>
    <cellStyle name="Normal 4 2 2 6 3 2 2 4" xfId="33922" xr:uid="{C26BCFC5-3D9E-4FEF-828A-79DB0B9EEFF4}"/>
    <cellStyle name="Normal 4 2 2 6 3 2 3" xfId="21258" xr:uid="{FF5BE7ED-554F-47D3-9861-4B32903253D3}"/>
    <cellStyle name="Normal 4 2 2 6 3 2 3 2" xfId="38152" xr:uid="{F4E3CDD6-781E-4DEF-A0FC-B731FCD8BDBD}"/>
    <cellStyle name="Normal 4 2 2 6 3 2 4" xfId="12811" xr:uid="{0A6C8589-3F21-4390-969B-F51DE241E544}"/>
    <cellStyle name="Normal 4 2 2 6 3 2 5" xfId="29705" xr:uid="{FE5F24A4-FF39-4AB1-93FF-E76244709819}"/>
    <cellStyle name="Normal 4 2 2 6 3 3" xfId="5557" xr:uid="{00000000-0005-0000-0000-000012130000}"/>
    <cellStyle name="Normal 4 2 2 6 3 3 2" xfId="23330" xr:uid="{4A86C235-797E-4E9C-B12D-644A93A437FB}"/>
    <cellStyle name="Normal 4 2 2 6 3 3 2 2" xfId="40224" xr:uid="{3CC048A2-624B-4D08-8C5C-175441E230B7}"/>
    <cellStyle name="Normal 4 2 2 6 3 3 3" xfId="14883" xr:uid="{3D2BF7C5-036C-4400-BF35-776BF50FD693}"/>
    <cellStyle name="Normal 4 2 2 6 3 3 4" xfId="31777" xr:uid="{58D983DE-CDA4-4613-8762-AB0271A7C036}"/>
    <cellStyle name="Normal 4 2 2 6 3 4" xfId="19113" xr:uid="{06C5D217-E45D-4803-AF6C-A5D9761EDAFE}"/>
    <cellStyle name="Normal 4 2 2 6 3 4 2" xfId="36007" xr:uid="{AB996CC7-7738-4782-B5EF-25BF7DDFBD19}"/>
    <cellStyle name="Normal 4 2 2 6 3 5" xfId="10666" xr:uid="{7ED823D6-DBCD-476F-84A2-69509ED031EE}"/>
    <cellStyle name="Normal 4 2 2 6 3 6" xfId="27560" xr:uid="{126C5117-BEA3-4623-ACB9-2819433B5EAD}"/>
    <cellStyle name="Normal 4 2 2 6 4" xfId="1663" xr:uid="{00000000-0005-0000-0000-000013130000}"/>
    <cellStyle name="Normal 4 2 2 6 4 2" xfId="3893" xr:uid="{00000000-0005-0000-0000-000014130000}"/>
    <cellStyle name="Normal 4 2 2 6 4 2 2" xfId="8115" xr:uid="{00000000-0005-0000-0000-000015130000}"/>
    <cellStyle name="Normal 4 2 2 6 4 2 2 2" xfId="25888" xr:uid="{BEF6F436-37D3-4002-A64C-0D3AB458BE74}"/>
    <cellStyle name="Normal 4 2 2 6 4 2 2 2 2" xfId="42782" xr:uid="{26149479-ED99-47B0-8AAD-5B6FAC4614A9}"/>
    <cellStyle name="Normal 4 2 2 6 4 2 2 3" xfId="17441" xr:uid="{2AAFD3A9-B07E-4850-AC44-58DA6E1FFF4F}"/>
    <cellStyle name="Normal 4 2 2 6 4 2 2 4" xfId="34335" xr:uid="{D795DE0F-7FE8-4A2A-BC67-63D8D4876E1C}"/>
    <cellStyle name="Normal 4 2 2 6 4 2 3" xfId="21671" xr:uid="{FBD119A4-9402-4621-9B15-E489026F45B2}"/>
    <cellStyle name="Normal 4 2 2 6 4 2 3 2" xfId="38565" xr:uid="{5E789265-4B9B-44D6-B09B-DC1B7CC43D0C}"/>
    <cellStyle name="Normal 4 2 2 6 4 2 4" xfId="13224" xr:uid="{A715D2D5-B5E8-489B-8319-FFD7D29E93C0}"/>
    <cellStyle name="Normal 4 2 2 6 4 2 5" xfId="30118" xr:uid="{EA0FF37B-C4F5-469A-ABB2-878809E9D644}"/>
    <cellStyle name="Normal 4 2 2 6 4 3" xfId="5970" xr:uid="{00000000-0005-0000-0000-000016130000}"/>
    <cellStyle name="Normal 4 2 2 6 4 3 2" xfId="23743" xr:uid="{3E4AB885-F430-4875-A0AB-0FE989E2AC13}"/>
    <cellStyle name="Normal 4 2 2 6 4 3 2 2" xfId="40637" xr:uid="{F873D075-9009-46A1-8DAB-152A2F33FC3D}"/>
    <cellStyle name="Normal 4 2 2 6 4 3 3" xfId="15296" xr:uid="{01A91723-2633-4BC9-84C1-8DFBC9CA51D7}"/>
    <cellStyle name="Normal 4 2 2 6 4 3 4" xfId="32190" xr:uid="{244BE583-FF9B-47F9-BFC4-0CEE148913E9}"/>
    <cellStyle name="Normal 4 2 2 6 4 4" xfId="19526" xr:uid="{98C050C9-CA7A-48BA-B948-C329403E463F}"/>
    <cellStyle name="Normal 4 2 2 6 4 4 2" xfId="36420" xr:uid="{44EDF056-C21F-4C25-827A-B975AEC5B854}"/>
    <cellStyle name="Normal 4 2 2 6 4 5" xfId="11079" xr:uid="{63FE6417-F3EB-4C77-BA40-4E885DE645CE}"/>
    <cellStyle name="Normal 4 2 2 6 4 6" xfId="27973" xr:uid="{D78EBF57-817C-4A22-82AF-379B9A2E8EF8}"/>
    <cellStyle name="Normal 4 2 2 6 5" xfId="2077" xr:uid="{00000000-0005-0000-0000-000017130000}"/>
    <cellStyle name="Normal 4 2 2 6 5 2" xfId="4306" xr:uid="{00000000-0005-0000-0000-000018130000}"/>
    <cellStyle name="Normal 4 2 2 6 5 2 2" xfId="8528" xr:uid="{00000000-0005-0000-0000-000019130000}"/>
    <cellStyle name="Normal 4 2 2 6 5 2 2 2" xfId="26301" xr:uid="{8904796A-7B71-4D35-A5B5-6715D17F9756}"/>
    <cellStyle name="Normal 4 2 2 6 5 2 2 2 2" xfId="43195" xr:uid="{D2B55B37-EE7B-4DCD-ADB1-AB0B7BA6593E}"/>
    <cellStyle name="Normal 4 2 2 6 5 2 2 3" xfId="17854" xr:uid="{A57A5D9C-9B51-4E8C-B490-9541576B9923}"/>
    <cellStyle name="Normal 4 2 2 6 5 2 2 4" xfId="34748" xr:uid="{DA7A777C-BAF9-425E-A7BE-84C3D66FCB66}"/>
    <cellStyle name="Normal 4 2 2 6 5 2 3" xfId="22084" xr:uid="{4B641B9E-42C8-406C-A9EC-38B98B540E90}"/>
    <cellStyle name="Normal 4 2 2 6 5 2 3 2" xfId="38978" xr:uid="{9FDA98E9-BDF3-4A5B-A195-7AF2E4F9D663}"/>
    <cellStyle name="Normal 4 2 2 6 5 2 4" xfId="13637" xr:uid="{2E54D777-9C5A-48B3-A781-C9EF73F484C6}"/>
    <cellStyle name="Normal 4 2 2 6 5 2 5" xfId="30531" xr:uid="{3A8E9D9E-A6FC-4D20-B960-AC856CE5F5A3}"/>
    <cellStyle name="Normal 4 2 2 6 5 3" xfId="6383" xr:uid="{00000000-0005-0000-0000-00001A130000}"/>
    <cellStyle name="Normal 4 2 2 6 5 3 2" xfId="24156" xr:uid="{B3CDE96F-A56C-4D97-A978-7334B814F939}"/>
    <cellStyle name="Normal 4 2 2 6 5 3 2 2" xfId="41050" xr:uid="{6FED2AFC-A2A9-42E1-A623-1D770231E2B9}"/>
    <cellStyle name="Normal 4 2 2 6 5 3 3" xfId="15709" xr:uid="{EA112F23-EE7A-40DB-A8E2-BFCE906FD411}"/>
    <cellStyle name="Normal 4 2 2 6 5 3 4" xfId="32603" xr:uid="{A3F303F9-5241-4C73-866C-1F48188A03A7}"/>
    <cellStyle name="Normal 4 2 2 6 5 4" xfId="19939" xr:uid="{714008B2-56ED-4182-B678-085E9F5800E5}"/>
    <cellStyle name="Normal 4 2 2 6 5 4 2" xfId="36833" xr:uid="{E2919120-3195-43E6-A7FD-7E7A457F0945}"/>
    <cellStyle name="Normal 4 2 2 6 5 5" xfId="11492" xr:uid="{5C2A6D7F-81C4-4114-AC0C-785ACFCD367C}"/>
    <cellStyle name="Normal 4 2 2 6 5 6" xfId="28386" xr:uid="{FC7E596B-4B53-42B9-BA61-6A2FC7A28A7E}"/>
    <cellStyle name="Normal 4 2 2 6 6" xfId="2513" xr:uid="{00000000-0005-0000-0000-00001B130000}"/>
    <cellStyle name="Normal 4 2 2 6 6 2" xfId="6796" xr:uid="{00000000-0005-0000-0000-00001C130000}"/>
    <cellStyle name="Normal 4 2 2 6 6 2 2" xfId="24569" xr:uid="{146A57CD-F43A-4845-A310-ABC98F96C38F}"/>
    <cellStyle name="Normal 4 2 2 6 6 2 2 2" xfId="41463" xr:uid="{403DECDA-7807-4E3E-A1A4-AA3692AE812A}"/>
    <cellStyle name="Normal 4 2 2 6 6 2 3" xfId="16122" xr:uid="{50284382-76B0-4742-993C-27B03E5D154C}"/>
    <cellStyle name="Normal 4 2 2 6 6 2 4" xfId="33016" xr:uid="{4152D270-7AEB-4E30-8689-F62AB01A01C0}"/>
    <cellStyle name="Normal 4 2 2 6 6 3" xfId="20352" xr:uid="{3974E4A5-87DA-43D3-AA0C-3F8DFDAD1A54}"/>
    <cellStyle name="Normal 4 2 2 6 6 3 2" xfId="37246" xr:uid="{427A8C77-9D77-47C6-9B16-147D1DBB7166}"/>
    <cellStyle name="Normal 4 2 2 6 6 4" xfId="11905" xr:uid="{B60DF1E1-3C05-4674-830D-F96BFDD7BF00}"/>
    <cellStyle name="Normal 4 2 2 6 6 5" xfId="28799" xr:uid="{B3318445-952C-4023-BD20-2A4DC0D3BBBE}"/>
    <cellStyle name="Normal 4 2 2 6 7" xfId="4731" xr:uid="{00000000-0005-0000-0000-00001D130000}"/>
    <cellStyle name="Normal 4 2 2 6 7 2" xfId="22504" xr:uid="{AEB69674-9535-4C76-8CF1-A37CECFA8647}"/>
    <cellStyle name="Normal 4 2 2 6 7 2 2" xfId="39398" xr:uid="{17AF2BD2-A878-4471-9958-E712B7FDE9EE}"/>
    <cellStyle name="Normal 4 2 2 6 7 3" xfId="14057" xr:uid="{FF67DBDC-4B62-429C-AF83-7A42A37EB7D4}"/>
    <cellStyle name="Normal 4 2 2 6 7 4" xfId="30951" xr:uid="{7FF5D1F5-EDAD-4BF0-9683-1FB9FBEDC459}"/>
    <cellStyle name="Normal 4 2 2 6 8" xfId="8971" xr:uid="{7BBA3CD4-2D32-439A-A2D5-9F7EB5E5A47E}"/>
    <cellStyle name="Normal 4 2 2 6 8 2" xfId="18287" xr:uid="{1013D890-9D17-4A43-BABE-F432F4B77EBC}"/>
    <cellStyle name="Normal 4 2 2 6 8 3" xfId="35181" xr:uid="{6E62510A-E347-4CF4-9135-604DFC6AE385}"/>
    <cellStyle name="Normal 4 2 2 6 9" xfId="9840" xr:uid="{F8141511-675B-4B47-BA04-EBBB17371F3C}"/>
    <cellStyle name="Normal 4 2 2 7" xfId="815" xr:uid="{00000000-0005-0000-0000-00001E130000}"/>
    <cellStyle name="Normal 4 2 2 7 2" xfId="3052" xr:uid="{00000000-0005-0000-0000-00001F130000}"/>
    <cellStyle name="Normal 4 2 2 7 2 2" xfId="7274" xr:uid="{00000000-0005-0000-0000-000020130000}"/>
    <cellStyle name="Normal 4 2 2 7 2 2 2" xfId="25047" xr:uid="{BB7638C3-CAF6-400B-BD0D-6D7F7E6724E8}"/>
    <cellStyle name="Normal 4 2 2 7 2 2 2 2" xfId="41941" xr:uid="{3FCEAE64-5A13-411F-8D87-31420FA9C2A0}"/>
    <cellStyle name="Normal 4 2 2 7 2 2 3" xfId="16600" xr:uid="{A52E4C4F-1BD2-473C-BFBE-5DEEE15B3758}"/>
    <cellStyle name="Normal 4 2 2 7 2 2 4" xfId="33494" xr:uid="{22BAC8D6-77B7-4BC7-8E03-447CF27DF225}"/>
    <cellStyle name="Normal 4 2 2 7 2 3" xfId="20830" xr:uid="{A5A77812-A91D-4AC8-BC4C-1ECEA93E0D0A}"/>
    <cellStyle name="Normal 4 2 2 7 2 3 2" xfId="37724" xr:uid="{665BD896-879F-484E-B97B-18D43A92FF27}"/>
    <cellStyle name="Normal 4 2 2 7 2 4" xfId="12383" xr:uid="{0182DD52-9571-451D-ADBC-095ABAC52546}"/>
    <cellStyle name="Normal 4 2 2 7 2 5" xfId="29277" xr:uid="{D12226C8-F0FC-4C9D-8031-BEAB22BE6616}"/>
    <cellStyle name="Normal 4 2 2 7 3" xfId="5129" xr:uid="{00000000-0005-0000-0000-000021130000}"/>
    <cellStyle name="Normal 4 2 2 7 3 2" xfId="22902" xr:uid="{FB8924F4-7720-40CB-A646-DFFDA12E3D11}"/>
    <cellStyle name="Normal 4 2 2 7 3 2 2" xfId="39796" xr:uid="{449056D1-3C8E-4CF9-976B-448166D9A000}"/>
    <cellStyle name="Normal 4 2 2 7 3 3" xfId="14455" xr:uid="{18FCDB1B-1547-47AE-BB16-08085FFD4D0D}"/>
    <cellStyle name="Normal 4 2 2 7 3 4" xfId="31349" xr:uid="{8CC2D8D2-0CDE-464A-A269-6BC5CC08D1A2}"/>
    <cellStyle name="Normal 4 2 2 7 4" xfId="9174" xr:uid="{5FB177AF-8B2E-4B7E-A1B7-4F6E323AF880}"/>
    <cellStyle name="Normal 4 2 2 7 4 2" xfId="18685" xr:uid="{C9593181-0D63-422C-A9CA-07855883683D}"/>
    <cellStyle name="Normal 4 2 2 7 4 3" xfId="35579" xr:uid="{F2B19F3C-8569-4BF0-887A-5E601AA12E74}"/>
    <cellStyle name="Normal 4 2 2 7 5" xfId="10238" xr:uid="{213BB3BA-1E69-4177-8CAA-380F4A6A6604}"/>
    <cellStyle name="Normal 4 2 2 7 6" xfId="27132" xr:uid="{2F70F173-2F02-4ABE-BC8B-9B362AE8A9F4}"/>
    <cellStyle name="Normal 4 2 2 8" xfId="1235" xr:uid="{00000000-0005-0000-0000-000022130000}"/>
    <cellStyle name="Normal 4 2 2 8 2" xfId="3465" xr:uid="{00000000-0005-0000-0000-000023130000}"/>
    <cellStyle name="Normal 4 2 2 8 2 2" xfId="7687" xr:uid="{00000000-0005-0000-0000-000024130000}"/>
    <cellStyle name="Normal 4 2 2 8 2 2 2" xfId="25460" xr:uid="{4D999413-FE95-4345-8B6C-8201AC157F78}"/>
    <cellStyle name="Normal 4 2 2 8 2 2 2 2" xfId="42354" xr:uid="{74051E8D-F367-4A69-A023-56DCA01F3D3F}"/>
    <cellStyle name="Normal 4 2 2 8 2 2 3" xfId="17013" xr:uid="{1FB158EB-F8C3-4AC8-8253-2C417EE7622B}"/>
    <cellStyle name="Normal 4 2 2 8 2 2 4" xfId="33907" xr:uid="{0F78BCE2-0458-4A0C-814D-1EEDC5407DF8}"/>
    <cellStyle name="Normal 4 2 2 8 2 3" xfId="21243" xr:uid="{44B1CCB9-6738-44DC-B4F2-DB2FA2514A33}"/>
    <cellStyle name="Normal 4 2 2 8 2 3 2" xfId="38137" xr:uid="{B1672AFA-0D8A-4400-983F-EDB9743D9F55}"/>
    <cellStyle name="Normal 4 2 2 8 2 4" xfId="12796" xr:uid="{24CD1AF4-1FF7-4D3C-88E2-ED852541077D}"/>
    <cellStyle name="Normal 4 2 2 8 2 5" xfId="29690" xr:uid="{7965606A-8740-4253-BF09-B4DD6EC1282C}"/>
    <cellStyle name="Normal 4 2 2 8 3" xfId="5542" xr:uid="{00000000-0005-0000-0000-000025130000}"/>
    <cellStyle name="Normal 4 2 2 8 3 2" xfId="23315" xr:uid="{C858DFA6-A9C2-412A-AC23-E72DDF3F96E4}"/>
    <cellStyle name="Normal 4 2 2 8 3 2 2" xfId="40209" xr:uid="{5A4A41AD-BD1B-4D70-8D69-8DC618A5C075}"/>
    <cellStyle name="Normal 4 2 2 8 3 3" xfId="14868" xr:uid="{8E9C7F8A-A554-4ABD-9EBD-CA60E111133E}"/>
    <cellStyle name="Normal 4 2 2 8 3 4" xfId="31762" xr:uid="{9187D166-A0CA-4F74-917C-4852EBFDD376}"/>
    <cellStyle name="Normal 4 2 2 8 4" xfId="19098" xr:uid="{2644D71C-0B00-41B2-9044-861871758565}"/>
    <cellStyle name="Normal 4 2 2 8 4 2" xfId="35992" xr:uid="{45A3E6FC-5536-44AF-98A7-7DE2F6FDA0BF}"/>
    <cellStyle name="Normal 4 2 2 8 5" xfId="10651" xr:uid="{74FF1301-38D3-4140-931D-1E67B39678B9}"/>
    <cellStyle name="Normal 4 2 2 8 6" xfId="27545" xr:uid="{70A2F99C-B1EF-43E4-9BAE-23500AC0D980}"/>
    <cellStyle name="Normal 4 2 2 9" xfId="1648" xr:uid="{00000000-0005-0000-0000-000026130000}"/>
    <cellStyle name="Normal 4 2 2 9 2" xfId="3878" xr:uid="{00000000-0005-0000-0000-000027130000}"/>
    <cellStyle name="Normal 4 2 2 9 2 2" xfId="8100" xr:uid="{00000000-0005-0000-0000-000028130000}"/>
    <cellStyle name="Normal 4 2 2 9 2 2 2" xfId="25873" xr:uid="{CD01DFEB-176A-4C48-B67D-830646FE66CB}"/>
    <cellStyle name="Normal 4 2 2 9 2 2 2 2" xfId="42767" xr:uid="{55102EFA-FAC7-48FB-B7B6-6BE1FB480B30}"/>
    <cellStyle name="Normal 4 2 2 9 2 2 3" xfId="17426" xr:uid="{CC2F6055-C1C9-41BB-992E-EE619C512CFF}"/>
    <cellStyle name="Normal 4 2 2 9 2 2 4" xfId="34320" xr:uid="{12589CEB-740C-48D1-91DD-4BAB9FEAB98F}"/>
    <cellStyle name="Normal 4 2 2 9 2 3" xfId="21656" xr:uid="{5FD25CC5-9F64-4AA5-8B86-AB2A8C32BDD1}"/>
    <cellStyle name="Normal 4 2 2 9 2 3 2" xfId="38550" xr:uid="{09199983-B0A1-447C-BA6C-55A864B877DB}"/>
    <cellStyle name="Normal 4 2 2 9 2 4" xfId="13209" xr:uid="{24B325AE-07B0-48ED-BB04-6C524D305224}"/>
    <cellStyle name="Normal 4 2 2 9 2 5" xfId="30103" xr:uid="{C95B77C4-F56E-4C5C-B4E2-FC234DB9EA16}"/>
    <cellStyle name="Normal 4 2 2 9 3" xfId="5955" xr:uid="{00000000-0005-0000-0000-000029130000}"/>
    <cellStyle name="Normal 4 2 2 9 3 2" xfId="23728" xr:uid="{185C9101-49E5-40BD-9C71-3932FC1CFFC8}"/>
    <cellStyle name="Normal 4 2 2 9 3 2 2" xfId="40622" xr:uid="{5444D9A2-D1C6-446B-8B89-E55C6D42FB3D}"/>
    <cellStyle name="Normal 4 2 2 9 3 3" xfId="15281" xr:uid="{E1EF3034-6EF2-4D20-BC96-FDBC0F9F3D88}"/>
    <cellStyle name="Normal 4 2 2 9 3 4" xfId="32175" xr:uid="{5AC96916-4F77-4C2C-B73A-7D822079C147}"/>
    <cellStyle name="Normal 4 2 2 9 4" xfId="19511" xr:uid="{CC1FC9B1-C405-4F36-9AB3-F465BE4CE5A5}"/>
    <cellStyle name="Normal 4 2 2 9 4 2" xfId="36405" xr:uid="{9F9AE186-3D41-4FBD-ADFC-BFB4B92DA1BD}"/>
    <cellStyle name="Normal 4 2 2 9 5" xfId="11064" xr:uid="{4884E56B-CC6E-4B1C-B208-CCF695523A03}"/>
    <cellStyle name="Normal 4 2 2 9 6" xfId="27958" xr:uid="{07B434A7-8E13-4C69-A663-F3A24D10E08B}"/>
    <cellStyle name="Normal 4 2 3" xfId="354" xr:uid="{00000000-0005-0000-0000-00002A130000}"/>
    <cellStyle name="Normal 4 2 4" xfId="355" xr:uid="{00000000-0005-0000-0000-00002B130000}"/>
    <cellStyle name="Normal 4 2 4 10" xfId="4732" xr:uid="{00000000-0005-0000-0000-00002C130000}"/>
    <cellStyle name="Normal 4 2 4 10 2" xfId="22505" xr:uid="{E519B530-423E-497B-B731-A0F23EA1C3BF}"/>
    <cellStyle name="Normal 4 2 4 10 2 2" xfId="39399" xr:uid="{BAC186D3-D438-41E1-BE83-A97F8FA3D508}"/>
    <cellStyle name="Normal 4 2 4 10 3" xfId="14058" xr:uid="{975B2054-41B9-4F31-B0EE-05E06E30D004}"/>
    <cellStyle name="Normal 4 2 4 10 4" xfId="30952" xr:uid="{256D4AAB-37E0-494F-84FD-56D8CAF8006B}"/>
    <cellStyle name="Normal 4 2 4 11" xfId="8775" xr:uid="{7AC259AB-9C32-4DC1-A787-2E2187A7C2D6}"/>
    <cellStyle name="Normal 4 2 4 11 2" xfId="18288" xr:uid="{538CF170-7101-4D35-A5B0-2D221B6F1DDA}"/>
    <cellStyle name="Normal 4 2 4 11 3" xfId="35182" xr:uid="{43AC9337-A71F-4F58-B19C-2DC62BA36A8E}"/>
    <cellStyle name="Normal 4 2 4 12" xfId="9841" xr:uid="{970540FF-FC19-453F-8BBD-3117E60DB66C}"/>
    <cellStyle name="Normal 4 2 4 13" xfId="26735" xr:uid="{A21BC54C-5F91-4ECE-BCD0-CF91C2ABDD59}"/>
    <cellStyle name="Normal 4 2 4 2" xfId="356" xr:uid="{00000000-0005-0000-0000-00002D130000}"/>
    <cellStyle name="Normal 4 2 4 2 10" xfId="8820" xr:uid="{8B50D4F4-4786-467C-8322-69D665B73C2B}"/>
    <cellStyle name="Normal 4 2 4 2 10 2" xfId="18289" xr:uid="{8D2811C6-92F8-4E3A-8A6B-161B2BC995AD}"/>
    <cellStyle name="Normal 4 2 4 2 10 3" xfId="35183" xr:uid="{E7F57B53-B2AD-4C83-BD6F-A0415C51C2FE}"/>
    <cellStyle name="Normal 4 2 4 2 11" xfId="9842" xr:uid="{2590FC3C-3010-4C5E-842D-98A09D80D22E}"/>
    <cellStyle name="Normal 4 2 4 2 12" xfId="26736" xr:uid="{F3CFE22C-060E-4E62-ACFD-9635CA3DD75C}"/>
    <cellStyle name="Normal 4 2 4 2 2" xfId="357" xr:uid="{00000000-0005-0000-0000-00002E130000}"/>
    <cellStyle name="Normal 4 2 4 2 2 10" xfId="9843" xr:uid="{DACD3651-9904-4299-9005-2DDD4BD723CC}"/>
    <cellStyle name="Normal 4 2 4 2 2 11" xfId="26737" xr:uid="{601AC80E-7A5D-4601-9B76-8CE7DE124FF5}"/>
    <cellStyle name="Normal 4 2 4 2 2 2" xfId="358" xr:uid="{00000000-0005-0000-0000-00002F130000}"/>
    <cellStyle name="Normal 4 2 4 2 2 2 10" xfId="26738" xr:uid="{B612C0AD-83B2-448D-B747-6380643F035B}"/>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2 2 2" xfId="25066" xr:uid="{77BC776C-4645-4C67-A89F-241F2A7C36AF}"/>
    <cellStyle name="Normal 4 2 4 2 2 2 2 2 2 2 2" xfId="41960" xr:uid="{098B8CF3-75B1-4F2C-B595-4836816FCA18}"/>
    <cellStyle name="Normal 4 2 4 2 2 2 2 2 2 3" xfId="16619" xr:uid="{F4C17DB3-742A-4796-A403-C1A527A6F353}"/>
    <cellStyle name="Normal 4 2 4 2 2 2 2 2 2 4" xfId="33513" xr:uid="{07F306B9-C6D4-452C-A633-D94E820CB4F7}"/>
    <cellStyle name="Normal 4 2 4 2 2 2 2 2 3" xfId="20849" xr:uid="{B5E3979F-3FFA-430B-B7F1-1C91E1F2FD3D}"/>
    <cellStyle name="Normal 4 2 4 2 2 2 2 2 3 2" xfId="37743" xr:uid="{A84AF27C-D4FD-4E06-AD03-89E51D85E4F7}"/>
    <cellStyle name="Normal 4 2 4 2 2 2 2 2 4" xfId="12402" xr:uid="{3912EC31-168D-465F-8F26-FCEA81603462}"/>
    <cellStyle name="Normal 4 2 4 2 2 2 2 2 5" xfId="29296" xr:uid="{6E324464-8497-4A84-BE00-8760D580D157}"/>
    <cellStyle name="Normal 4 2 4 2 2 2 2 3" xfId="5148" xr:uid="{00000000-0005-0000-0000-000033130000}"/>
    <cellStyle name="Normal 4 2 4 2 2 2 2 3 2" xfId="22921" xr:uid="{ECB791BA-389A-40F0-A2E6-15A466904D25}"/>
    <cellStyle name="Normal 4 2 4 2 2 2 2 3 2 2" xfId="39815" xr:uid="{F01BA5CC-0E98-4776-A8ED-AF87A5981EE1}"/>
    <cellStyle name="Normal 4 2 4 2 2 2 2 3 3" xfId="14474" xr:uid="{6404950C-6D58-4ACB-8934-7F30E3F676B2}"/>
    <cellStyle name="Normal 4 2 4 2 2 2 2 3 4" xfId="31368" xr:uid="{56F073A7-2346-463F-BA94-710116ABDC48}"/>
    <cellStyle name="Normal 4 2 4 2 2 2 2 4" xfId="9555" xr:uid="{31AE7BD4-4F26-4658-9939-15FCE733560E}"/>
    <cellStyle name="Normal 4 2 4 2 2 2 2 4 2" xfId="18704" xr:uid="{7B8E75CB-6DCB-48B6-A356-5F172C74FFDB}"/>
    <cellStyle name="Normal 4 2 4 2 2 2 2 4 3" xfId="35598" xr:uid="{20AD7111-CFE6-4C2F-914D-408FC197170A}"/>
    <cellStyle name="Normal 4 2 4 2 2 2 2 5" xfId="10257" xr:uid="{4F593B15-2AD7-40DA-9251-5D5129C4F2B0}"/>
    <cellStyle name="Normal 4 2 4 2 2 2 2 6" xfId="27151" xr:uid="{797C2E28-6BB5-4C43-9CCD-C2CF1CECC53A}"/>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2 2 2" xfId="25479" xr:uid="{B55A748B-20F4-435C-ACF9-CA80CB51C39B}"/>
    <cellStyle name="Normal 4 2 4 2 2 2 3 2 2 2 2" xfId="42373" xr:uid="{D803C34E-652A-4009-B593-B567FFF9E7BE}"/>
    <cellStyle name="Normal 4 2 4 2 2 2 3 2 2 3" xfId="17032" xr:uid="{CF57EDBF-2012-4EFC-882B-6F4B98B6510F}"/>
    <cellStyle name="Normal 4 2 4 2 2 2 3 2 2 4" xfId="33926" xr:uid="{CC4E8AC1-0C04-40E8-AF23-4CE57D7AB2BF}"/>
    <cellStyle name="Normal 4 2 4 2 2 2 3 2 3" xfId="21262" xr:uid="{AC29974B-8D3D-4EB6-ADF2-6FABE8EF6E62}"/>
    <cellStyle name="Normal 4 2 4 2 2 2 3 2 3 2" xfId="38156" xr:uid="{F3C90886-EF3F-4377-9C01-42E11A9895C4}"/>
    <cellStyle name="Normal 4 2 4 2 2 2 3 2 4" xfId="12815" xr:uid="{81A0EEFE-85BC-4C4A-A5CE-2101EAC9F5C8}"/>
    <cellStyle name="Normal 4 2 4 2 2 2 3 2 5" xfId="29709" xr:uid="{0312B859-B55D-4159-A92D-36F2818B3A8B}"/>
    <cellStyle name="Normal 4 2 4 2 2 2 3 3" xfId="5561" xr:uid="{00000000-0005-0000-0000-000037130000}"/>
    <cellStyle name="Normal 4 2 4 2 2 2 3 3 2" xfId="23334" xr:uid="{78A794E0-8106-4114-AA57-D1519B261743}"/>
    <cellStyle name="Normal 4 2 4 2 2 2 3 3 2 2" xfId="40228" xr:uid="{8E1E8893-483D-48B7-9D3A-1D43F7E81DE9}"/>
    <cellStyle name="Normal 4 2 4 2 2 2 3 3 3" xfId="14887" xr:uid="{347A81C6-72CE-4A46-A5DA-BD0E7AD4600B}"/>
    <cellStyle name="Normal 4 2 4 2 2 2 3 3 4" xfId="31781" xr:uid="{104BD4B4-6C99-41D9-BABF-B3DFF5971B5B}"/>
    <cellStyle name="Normal 4 2 4 2 2 2 3 4" xfId="19117" xr:uid="{F53B24FD-A05B-460B-9B5E-E15968F6D725}"/>
    <cellStyle name="Normal 4 2 4 2 2 2 3 4 2" xfId="36011" xr:uid="{B82E0D16-D9EA-4BD9-9643-1D59813B0625}"/>
    <cellStyle name="Normal 4 2 4 2 2 2 3 5" xfId="10670" xr:uid="{E271BC46-3755-4124-A440-2139E2E26131}"/>
    <cellStyle name="Normal 4 2 4 2 2 2 3 6" xfId="27564" xr:uid="{40AD77FD-18B4-444D-814B-A231ACE5A33A}"/>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2 2 2" xfId="25892" xr:uid="{BD71B2B3-99DC-4074-9D72-4E19A12A541C}"/>
    <cellStyle name="Normal 4 2 4 2 2 2 4 2 2 2 2" xfId="42786" xr:uid="{D74B6680-F4BB-4D9E-8E0D-5CC6B4C5ADDD}"/>
    <cellStyle name="Normal 4 2 4 2 2 2 4 2 2 3" xfId="17445" xr:uid="{CED25B5B-72C3-47B5-9306-4EE620492BBA}"/>
    <cellStyle name="Normal 4 2 4 2 2 2 4 2 2 4" xfId="34339" xr:uid="{9906B77D-7EC7-4549-97ED-AEBED5D071AB}"/>
    <cellStyle name="Normal 4 2 4 2 2 2 4 2 3" xfId="21675" xr:uid="{983E1F30-152B-4458-8AD8-A3162DE4EC24}"/>
    <cellStyle name="Normal 4 2 4 2 2 2 4 2 3 2" xfId="38569" xr:uid="{CD972E8A-3A35-4B47-ADD8-8C4D0E331566}"/>
    <cellStyle name="Normal 4 2 4 2 2 2 4 2 4" xfId="13228" xr:uid="{1BB88A53-8E68-40A6-B8D8-B54DEFFE2961}"/>
    <cellStyle name="Normal 4 2 4 2 2 2 4 2 5" xfId="30122" xr:uid="{26F9C661-6CB1-4712-A6D6-B0DC037037DF}"/>
    <cellStyle name="Normal 4 2 4 2 2 2 4 3" xfId="5974" xr:uid="{00000000-0005-0000-0000-00003B130000}"/>
    <cellStyle name="Normal 4 2 4 2 2 2 4 3 2" xfId="23747" xr:uid="{D86FE655-E5F0-4579-9A32-9511BB32A643}"/>
    <cellStyle name="Normal 4 2 4 2 2 2 4 3 2 2" xfId="40641" xr:uid="{4F7AD414-0980-42A4-A00A-2C6FE1D2CADA}"/>
    <cellStyle name="Normal 4 2 4 2 2 2 4 3 3" xfId="15300" xr:uid="{8BA9CB38-58D1-4CA3-8BAA-829E4E5D79F5}"/>
    <cellStyle name="Normal 4 2 4 2 2 2 4 3 4" xfId="32194" xr:uid="{770A298C-933A-49E8-8439-B85E48056B0F}"/>
    <cellStyle name="Normal 4 2 4 2 2 2 4 4" xfId="19530" xr:uid="{2E3D2694-D602-43D5-95E9-A9A74E8F2D0B}"/>
    <cellStyle name="Normal 4 2 4 2 2 2 4 4 2" xfId="36424" xr:uid="{A30A33ED-DEFF-4712-A116-42E755B1BD61}"/>
    <cellStyle name="Normal 4 2 4 2 2 2 4 5" xfId="11083" xr:uid="{4B1CA8FC-46F7-41CB-8DB6-5191FCA78141}"/>
    <cellStyle name="Normal 4 2 4 2 2 2 4 6" xfId="27977" xr:uid="{0A917269-E9B3-4969-8281-324FA1AAF287}"/>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2 2 2" xfId="26305" xr:uid="{F44DC89E-711A-45FD-A435-3BC9C2D23C4B}"/>
    <cellStyle name="Normal 4 2 4 2 2 2 5 2 2 2 2" xfId="43199" xr:uid="{9CFE9A2D-3759-4F8F-A9C8-F0141A0C2342}"/>
    <cellStyle name="Normal 4 2 4 2 2 2 5 2 2 3" xfId="17858" xr:uid="{E8F8A25C-3849-4994-B1BE-EC06C04C6870}"/>
    <cellStyle name="Normal 4 2 4 2 2 2 5 2 2 4" xfId="34752" xr:uid="{9A10E5F1-D583-4FAB-8764-A6BAD884774B}"/>
    <cellStyle name="Normal 4 2 4 2 2 2 5 2 3" xfId="22088" xr:uid="{42DB5B02-90FC-416C-A860-0FF45F4B0604}"/>
    <cellStyle name="Normal 4 2 4 2 2 2 5 2 3 2" xfId="38982" xr:uid="{5768ACA7-5010-4381-8BA8-38A7037C97A6}"/>
    <cellStyle name="Normal 4 2 4 2 2 2 5 2 4" xfId="13641" xr:uid="{B3B84890-379D-4030-AD10-8F61B08B1995}"/>
    <cellStyle name="Normal 4 2 4 2 2 2 5 2 5" xfId="30535" xr:uid="{54F19C0F-C8E6-4E8D-ADD7-EE5A50970341}"/>
    <cellStyle name="Normal 4 2 4 2 2 2 5 3" xfId="6387" xr:uid="{00000000-0005-0000-0000-00003F130000}"/>
    <cellStyle name="Normal 4 2 4 2 2 2 5 3 2" xfId="24160" xr:uid="{ABF86B10-4DE0-462E-8896-6C13046B54C8}"/>
    <cellStyle name="Normal 4 2 4 2 2 2 5 3 2 2" xfId="41054" xr:uid="{62AE172C-1AC7-4DA4-B35E-2A7A95D67574}"/>
    <cellStyle name="Normal 4 2 4 2 2 2 5 3 3" xfId="15713" xr:uid="{CC4324A7-1829-413E-A3CB-6F6359B5D53F}"/>
    <cellStyle name="Normal 4 2 4 2 2 2 5 3 4" xfId="32607" xr:uid="{EADF3960-A096-4F88-9AF8-B4B68C712FE6}"/>
    <cellStyle name="Normal 4 2 4 2 2 2 5 4" xfId="19943" xr:uid="{727AEDFA-EAC9-41B3-913C-DE079487A27E}"/>
    <cellStyle name="Normal 4 2 4 2 2 2 5 4 2" xfId="36837" xr:uid="{7CE94A97-7DCF-4A59-8E8C-704DFBF37391}"/>
    <cellStyle name="Normal 4 2 4 2 2 2 5 5" xfId="11496" xr:uid="{FE38A24A-3A89-447B-AB71-6A78623BDCB9}"/>
    <cellStyle name="Normal 4 2 4 2 2 2 5 6" xfId="28390" xr:uid="{6536B298-407D-4562-BEB9-272AE8CECBFE}"/>
    <cellStyle name="Normal 4 2 4 2 2 2 6" xfId="2517" xr:uid="{00000000-0005-0000-0000-000040130000}"/>
    <cellStyle name="Normal 4 2 4 2 2 2 6 2" xfId="6800" xr:uid="{00000000-0005-0000-0000-000041130000}"/>
    <cellStyle name="Normal 4 2 4 2 2 2 6 2 2" xfId="24573" xr:uid="{E66A9922-A0C3-437E-AF41-9FDECB872A75}"/>
    <cellStyle name="Normal 4 2 4 2 2 2 6 2 2 2" xfId="41467" xr:uid="{D9B5582E-B8BD-403C-9E09-CA19FEEA2691}"/>
    <cellStyle name="Normal 4 2 4 2 2 2 6 2 3" xfId="16126" xr:uid="{42D65D59-6BF9-4916-B0EF-B62ADE362AC0}"/>
    <cellStyle name="Normal 4 2 4 2 2 2 6 2 4" xfId="33020" xr:uid="{D31BBB06-FC94-44F0-97DD-B54CEFB1C5AC}"/>
    <cellStyle name="Normal 4 2 4 2 2 2 6 3" xfId="20356" xr:uid="{61FE337A-30B7-4758-9913-DC8D70A7FC02}"/>
    <cellStyle name="Normal 4 2 4 2 2 2 6 3 2" xfId="37250" xr:uid="{7B223EF5-F44F-46A5-9FD1-8D0F47C7D0A7}"/>
    <cellStyle name="Normal 4 2 4 2 2 2 6 4" xfId="11909" xr:uid="{BF5B5497-51DA-449D-BE49-7BBCABB78783}"/>
    <cellStyle name="Normal 4 2 4 2 2 2 6 5" xfId="28803" xr:uid="{F57D3069-D7F1-414C-9765-9F4719C40085}"/>
    <cellStyle name="Normal 4 2 4 2 2 2 7" xfId="4735" xr:uid="{00000000-0005-0000-0000-000042130000}"/>
    <cellStyle name="Normal 4 2 4 2 2 2 7 2" xfId="22508" xr:uid="{DDF6CDE3-15C1-42EF-92D2-357B29795D85}"/>
    <cellStyle name="Normal 4 2 4 2 2 2 7 2 2" xfId="39402" xr:uid="{E7F18746-83D7-4A9A-ABBC-3635567D61E0}"/>
    <cellStyle name="Normal 4 2 4 2 2 2 7 3" xfId="14061" xr:uid="{5FD8BFA5-C67C-4EDE-AC3B-712D791BF3AE}"/>
    <cellStyle name="Normal 4 2 4 2 2 2 7 4" xfId="30955" xr:uid="{AB391109-F858-4DD4-B3CB-02805BE645A9}"/>
    <cellStyle name="Normal 4 2 4 2 2 2 8" xfId="9130" xr:uid="{E4AAEB37-D6CE-4BD9-A166-BE52F754DAC4}"/>
    <cellStyle name="Normal 4 2 4 2 2 2 8 2" xfId="18291" xr:uid="{C1CB6903-8E13-4B0B-830A-32DD71CA1637}"/>
    <cellStyle name="Normal 4 2 4 2 2 2 8 3" xfId="35185" xr:uid="{84D25810-3CFD-4950-88E3-ECE357CDABCE}"/>
    <cellStyle name="Normal 4 2 4 2 2 2 9" xfId="9844" xr:uid="{47ABB956-5794-40F7-9DFB-DA7FEA65C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2 2 2" xfId="25065" xr:uid="{BB8F5451-5D6F-44E6-AC44-27B4FD5CA252}"/>
    <cellStyle name="Normal 4 2 4 2 2 3 2 2 2 2" xfId="41959" xr:uid="{F384ECB6-093C-404A-9C67-25A640607F95}"/>
    <cellStyle name="Normal 4 2 4 2 2 3 2 2 3" xfId="16618" xr:uid="{B81B3A0F-1A5C-4E08-8B35-743F008062EE}"/>
    <cellStyle name="Normal 4 2 4 2 2 3 2 2 4" xfId="33512" xr:uid="{48995FA7-2437-4664-8D8D-526434E1CFC0}"/>
    <cellStyle name="Normal 4 2 4 2 2 3 2 3" xfId="20848" xr:uid="{A831E31A-371D-445A-9491-0F1FE50E0A81}"/>
    <cellStyle name="Normal 4 2 4 2 2 3 2 3 2" xfId="37742" xr:uid="{FB9EFCFB-F271-4CC6-9478-B4FF1128461B}"/>
    <cellStyle name="Normal 4 2 4 2 2 3 2 4" xfId="12401" xr:uid="{5AC63AB7-6927-4586-BB50-5F92C47E7639}"/>
    <cellStyle name="Normal 4 2 4 2 2 3 2 5" xfId="29295" xr:uid="{9E1249AA-6A07-4810-9942-40D7670104DB}"/>
    <cellStyle name="Normal 4 2 4 2 2 3 3" xfId="5147" xr:uid="{00000000-0005-0000-0000-000046130000}"/>
    <cellStyle name="Normal 4 2 4 2 2 3 3 2" xfId="22920" xr:uid="{02D76E92-BA1A-44FB-B98F-5BF2CE8C0585}"/>
    <cellStyle name="Normal 4 2 4 2 2 3 3 2 2" xfId="39814" xr:uid="{07A6753C-8FA1-498D-A868-2F7F6D58FCEE}"/>
    <cellStyle name="Normal 4 2 4 2 2 3 3 3" xfId="14473" xr:uid="{0B531AA3-A63F-4A51-A4DC-26B3AC7C10A4}"/>
    <cellStyle name="Normal 4 2 4 2 2 3 3 4" xfId="31367" xr:uid="{4D0F6BAE-DCD7-4763-B099-A27DD729C98B}"/>
    <cellStyle name="Normal 4 2 4 2 2 3 4" xfId="9348" xr:uid="{E9E52CF6-B3CF-482F-B496-A22B0452951D}"/>
    <cellStyle name="Normal 4 2 4 2 2 3 4 2" xfId="18703" xr:uid="{30FA3BFF-3609-4EB3-A593-2227AC372AD4}"/>
    <cellStyle name="Normal 4 2 4 2 2 3 4 3" xfId="35597" xr:uid="{B394B92A-555F-4CBA-A6B0-DCE09F780FD3}"/>
    <cellStyle name="Normal 4 2 4 2 2 3 5" xfId="10256" xr:uid="{F361B6CE-9880-47E3-832B-D224559F86A4}"/>
    <cellStyle name="Normal 4 2 4 2 2 3 6" xfId="27150" xr:uid="{6F86549E-6167-4DAB-BF24-B664E2D7A9EE}"/>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2 2 2" xfId="25478" xr:uid="{FA44C195-A312-4A20-BD90-2443F9C73D78}"/>
    <cellStyle name="Normal 4 2 4 2 2 4 2 2 2 2" xfId="42372" xr:uid="{7C4F8142-52D8-4422-B017-DD770B361116}"/>
    <cellStyle name="Normal 4 2 4 2 2 4 2 2 3" xfId="17031" xr:uid="{8B5E765A-E02F-463F-AC8F-05577B939590}"/>
    <cellStyle name="Normal 4 2 4 2 2 4 2 2 4" xfId="33925" xr:uid="{F3997D13-BC63-4B0F-B5F0-2CC28F399DDC}"/>
    <cellStyle name="Normal 4 2 4 2 2 4 2 3" xfId="21261" xr:uid="{1AAC5505-093A-42E3-B4B0-47D30D63B516}"/>
    <cellStyle name="Normal 4 2 4 2 2 4 2 3 2" xfId="38155" xr:uid="{CBFC5BDF-212C-4D4D-A8F2-A877244B2D3C}"/>
    <cellStyle name="Normal 4 2 4 2 2 4 2 4" xfId="12814" xr:uid="{9640A298-DE60-489C-A596-BFF129F03ED9}"/>
    <cellStyle name="Normal 4 2 4 2 2 4 2 5" xfId="29708" xr:uid="{F4965B93-A391-41AC-9675-6628B4997CA5}"/>
    <cellStyle name="Normal 4 2 4 2 2 4 3" xfId="5560" xr:uid="{00000000-0005-0000-0000-00004A130000}"/>
    <cellStyle name="Normal 4 2 4 2 2 4 3 2" xfId="23333" xr:uid="{6906B0BC-2A3E-46C0-8BB3-095F6E766950}"/>
    <cellStyle name="Normal 4 2 4 2 2 4 3 2 2" xfId="40227" xr:uid="{6916B0CB-5CDC-4125-8A22-99E840D3F3CD}"/>
    <cellStyle name="Normal 4 2 4 2 2 4 3 3" xfId="14886" xr:uid="{740DC7FE-A524-477F-A36D-DC112E58836F}"/>
    <cellStyle name="Normal 4 2 4 2 2 4 3 4" xfId="31780" xr:uid="{676A88C4-F44A-4535-AD33-0042C7D3B77E}"/>
    <cellStyle name="Normal 4 2 4 2 2 4 4" xfId="19116" xr:uid="{4C846148-CD67-4E3E-86B1-9120774E42A7}"/>
    <cellStyle name="Normal 4 2 4 2 2 4 4 2" xfId="36010" xr:uid="{315E712C-508E-4CA1-9539-C041EFCCF521}"/>
    <cellStyle name="Normal 4 2 4 2 2 4 5" xfId="10669" xr:uid="{42165D00-7DA2-4417-83E7-FF5A1ED55A59}"/>
    <cellStyle name="Normal 4 2 4 2 2 4 6" xfId="27563" xr:uid="{B437BC7E-324D-474E-B640-55F7134C0015}"/>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2 2 2" xfId="25891" xr:uid="{188EB0AC-72BB-4468-88B1-1D2C87B2240F}"/>
    <cellStyle name="Normal 4 2 4 2 2 5 2 2 2 2" xfId="42785" xr:uid="{329F534B-9582-4ADB-8989-F3ED83F019CF}"/>
    <cellStyle name="Normal 4 2 4 2 2 5 2 2 3" xfId="17444" xr:uid="{61BA1AD1-DC21-4000-8F99-89A701CA1702}"/>
    <cellStyle name="Normal 4 2 4 2 2 5 2 2 4" xfId="34338" xr:uid="{0BF5B040-D512-48F5-8201-57D662ABF2FB}"/>
    <cellStyle name="Normal 4 2 4 2 2 5 2 3" xfId="21674" xr:uid="{7323911B-5748-4711-9BCA-A0D6A540A006}"/>
    <cellStyle name="Normal 4 2 4 2 2 5 2 3 2" xfId="38568" xr:uid="{860EA3AB-6151-49FA-8CE9-483D829C72F7}"/>
    <cellStyle name="Normal 4 2 4 2 2 5 2 4" xfId="13227" xr:uid="{223B839F-3646-4561-AF81-237B19810399}"/>
    <cellStyle name="Normal 4 2 4 2 2 5 2 5" xfId="30121" xr:uid="{8E2390A8-B42A-4B17-8CB9-68359985CCC5}"/>
    <cellStyle name="Normal 4 2 4 2 2 5 3" xfId="5973" xr:uid="{00000000-0005-0000-0000-00004E130000}"/>
    <cellStyle name="Normal 4 2 4 2 2 5 3 2" xfId="23746" xr:uid="{87962627-0BB9-4B22-9357-B42E441989EA}"/>
    <cellStyle name="Normal 4 2 4 2 2 5 3 2 2" xfId="40640" xr:uid="{CA1DA3A5-B9C5-4930-9386-9B0802A6C583}"/>
    <cellStyle name="Normal 4 2 4 2 2 5 3 3" xfId="15299" xr:uid="{68719557-300E-4E07-8E06-2318170FB3F2}"/>
    <cellStyle name="Normal 4 2 4 2 2 5 3 4" xfId="32193" xr:uid="{AE5125BD-0702-47C2-990E-B3C573CE621F}"/>
    <cellStyle name="Normal 4 2 4 2 2 5 4" xfId="19529" xr:uid="{F24F694D-3048-410D-A7CD-31123B8ABF78}"/>
    <cellStyle name="Normal 4 2 4 2 2 5 4 2" xfId="36423" xr:uid="{1485D804-CAFA-4649-95A0-57C0B413B6AB}"/>
    <cellStyle name="Normal 4 2 4 2 2 5 5" xfId="11082" xr:uid="{FAD63924-3512-493F-BFC6-D02D60DD61D9}"/>
    <cellStyle name="Normal 4 2 4 2 2 5 6" xfId="27976" xr:uid="{8E5B3AA1-37B5-4FF8-9195-0FF1FBA9BBAF}"/>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2 2 2" xfId="26304" xr:uid="{40209481-C991-4553-A6D1-8A606034B29F}"/>
    <cellStyle name="Normal 4 2 4 2 2 6 2 2 2 2" xfId="43198" xr:uid="{0DF0806A-3986-403C-B99C-47F079E86066}"/>
    <cellStyle name="Normal 4 2 4 2 2 6 2 2 3" xfId="17857" xr:uid="{0DCB5084-9E39-4E70-AA7A-DE1B51AA83C5}"/>
    <cellStyle name="Normal 4 2 4 2 2 6 2 2 4" xfId="34751" xr:uid="{3D923D83-A798-4A96-ABB3-B29E14D1393E}"/>
    <cellStyle name="Normal 4 2 4 2 2 6 2 3" xfId="22087" xr:uid="{AC3D7B43-926F-44D8-94B7-D87415E5EAA3}"/>
    <cellStyle name="Normal 4 2 4 2 2 6 2 3 2" xfId="38981" xr:uid="{0792A7ED-BC24-4791-BCE6-8E62DF198C43}"/>
    <cellStyle name="Normal 4 2 4 2 2 6 2 4" xfId="13640" xr:uid="{CBCCAB54-133F-44A7-AC42-EA77F87F6D27}"/>
    <cellStyle name="Normal 4 2 4 2 2 6 2 5" xfId="30534" xr:uid="{FDEA89E0-79CF-450E-80CD-21F5DC0DDE7B}"/>
    <cellStyle name="Normal 4 2 4 2 2 6 3" xfId="6386" xr:uid="{00000000-0005-0000-0000-000052130000}"/>
    <cellStyle name="Normal 4 2 4 2 2 6 3 2" xfId="24159" xr:uid="{9BEF1F36-14C7-4F95-83A7-AE06864E6FEE}"/>
    <cellStyle name="Normal 4 2 4 2 2 6 3 2 2" xfId="41053" xr:uid="{063CADAC-87EF-4B91-A2E0-C29144AFABEB}"/>
    <cellStyle name="Normal 4 2 4 2 2 6 3 3" xfId="15712" xr:uid="{10B83A1D-D270-4A9A-942B-6059994A0C7F}"/>
    <cellStyle name="Normal 4 2 4 2 2 6 3 4" xfId="32606" xr:uid="{373DEBEE-A660-4DA6-A244-520C6107592C}"/>
    <cellStyle name="Normal 4 2 4 2 2 6 4" xfId="19942" xr:uid="{5FE686FB-4F19-4AD1-AB8D-FEE0B358620E}"/>
    <cellStyle name="Normal 4 2 4 2 2 6 4 2" xfId="36836" xr:uid="{8C424C5D-8694-4B10-9AFE-C8089BDCFDEB}"/>
    <cellStyle name="Normal 4 2 4 2 2 6 5" xfId="11495" xr:uid="{69DF8D7D-3E07-4604-BF49-05AACC8E6331}"/>
    <cellStyle name="Normal 4 2 4 2 2 6 6" xfId="28389" xr:uid="{87E5AF22-1CBD-4A75-89B4-262840760CD4}"/>
    <cellStyle name="Normal 4 2 4 2 2 7" xfId="2516" xr:uid="{00000000-0005-0000-0000-000053130000}"/>
    <cellStyle name="Normal 4 2 4 2 2 7 2" xfId="6799" xr:uid="{00000000-0005-0000-0000-000054130000}"/>
    <cellStyle name="Normal 4 2 4 2 2 7 2 2" xfId="24572" xr:uid="{3F7C7128-B9A8-43A2-915D-44FB309DA16F}"/>
    <cellStyle name="Normal 4 2 4 2 2 7 2 2 2" xfId="41466" xr:uid="{ADEFF5B3-A096-4DCB-A354-40FB433130AC}"/>
    <cellStyle name="Normal 4 2 4 2 2 7 2 3" xfId="16125" xr:uid="{BCF83160-F44D-4E9F-A772-614273063190}"/>
    <cellStyle name="Normal 4 2 4 2 2 7 2 4" xfId="33019" xr:uid="{7B2248DD-33E8-45E7-A346-E90F0226DBB1}"/>
    <cellStyle name="Normal 4 2 4 2 2 7 3" xfId="20355" xr:uid="{C7AD62A5-5CBD-408A-9EA7-7D453D2E6025}"/>
    <cellStyle name="Normal 4 2 4 2 2 7 3 2" xfId="37249" xr:uid="{6462B2AD-3933-412A-ACC4-EB37D7F674DA}"/>
    <cellStyle name="Normal 4 2 4 2 2 7 4" xfId="11908" xr:uid="{559AB587-18A2-4CA3-8DD0-24F508248CB1}"/>
    <cellStyle name="Normal 4 2 4 2 2 7 5" xfId="28802" xr:uid="{CCC14E9A-FC61-40AE-A32E-46170D0A5DEA}"/>
    <cellStyle name="Normal 4 2 4 2 2 8" xfId="4734" xr:uid="{00000000-0005-0000-0000-000055130000}"/>
    <cellStyle name="Normal 4 2 4 2 2 8 2" xfId="22507" xr:uid="{8A3B2186-5E89-416A-8978-99B57F82BFCE}"/>
    <cellStyle name="Normal 4 2 4 2 2 8 2 2" xfId="39401" xr:uid="{1C830FFB-876B-4463-B1A9-B5D2B90361AA}"/>
    <cellStyle name="Normal 4 2 4 2 2 8 3" xfId="14060" xr:uid="{7AFDA6FE-2C4C-4E63-A6C5-21F945EB1F61}"/>
    <cellStyle name="Normal 4 2 4 2 2 8 4" xfId="30954" xr:uid="{7F4206C0-C2E5-4894-BCBD-3279CE7C2D5C}"/>
    <cellStyle name="Normal 4 2 4 2 2 9" xfId="8923" xr:uid="{2BBE6936-33B8-4624-9F85-2EE83C62ACB2}"/>
    <cellStyle name="Normal 4 2 4 2 2 9 2" xfId="18290" xr:uid="{F3E32616-2774-4CEA-A0C2-FD30EC269506}"/>
    <cellStyle name="Normal 4 2 4 2 2 9 3" xfId="35184" xr:uid="{9C7ED5AB-F727-458D-995F-F05375E71529}"/>
    <cellStyle name="Normal 4 2 4 2 3" xfId="359" xr:uid="{00000000-0005-0000-0000-000056130000}"/>
    <cellStyle name="Normal 4 2 4 2 3 10" xfId="26739" xr:uid="{F52A9B45-02BE-4EC2-8357-16C99FA79A18}"/>
    <cellStyle name="Normal 4 2 4 2 3 2" xfId="835" xr:uid="{00000000-0005-0000-0000-000057130000}"/>
    <cellStyle name="Normal 4 2 4 2 3 2 2" xfId="3072" xr:uid="{00000000-0005-0000-0000-000058130000}"/>
    <cellStyle name="Normal 4 2 4 2 3 2 2 2" xfId="7294" xr:uid="{00000000-0005-0000-0000-000059130000}"/>
    <cellStyle name="Normal 4 2 4 2 3 2 2 2 2" xfId="25067" xr:uid="{460CA0CC-21A7-437C-AB72-11D6DFBFB944}"/>
    <cellStyle name="Normal 4 2 4 2 3 2 2 2 2 2" xfId="41961" xr:uid="{91081E50-B2F8-46A7-831F-50933FABC440}"/>
    <cellStyle name="Normal 4 2 4 2 3 2 2 2 3" xfId="16620" xr:uid="{BD784680-BF32-41B2-A2A4-932EB58DFAEA}"/>
    <cellStyle name="Normal 4 2 4 2 3 2 2 2 4" xfId="33514" xr:uid="{57788EDE-84A7-484F-838B-95D144E429B6}"/>
    <cellStyle name="Normal 4 2 4 2 3 2 2 3" xfId="20850" xr:uid="{46B1310E-1DC6-4CD3-B909-F5C321962226}"/>
    <cellStyle name="Normal 4 2 4 2 3 2 2 3 2" xfId="37744" xr:uid="{34AEF229-C2CA-4FC3-B015-19D6CBD879D2}"/>
    <cellStyle name="Normal 4 2 4 2 3 2 2 4" xfId="12403" xr:uid="{F6AE731E-156C-416F-9820-A2140C8A2C4E}"/>
    <cellStyle name="Normal 4 2 4 2 3 2 2 5" xfId="29297" xr:uid="{E5C647B8-F97F-4DCA-98EB-2CD68E1D4AEC}"/>
    <cellStyle name="Normal 4 2 4 2 3 2 3" xfId="5149" xr:uid="{00000000-0005-0000-0000-00005A130000}"/>
    <cellStyle name="Normal 4 2 4 2 3 2 3 2" xfId="22922" xr:uid="{C04C2201-F3E7-41A1-A240-C1CAFFFDA8DC}"/>
    <cellStyle name="Normal 4 2 4 2 3 2 3 2 2" xfId="39816" xr:uid="{AEFA2D36-9AE9-4EDD-8B06-81199F5D5037}"/>
    <cellStyle name="Normal 4 2 4 2 3 2 3 3" xfId="14475" xr:uid="{B92BC135-BDDF-4577-8957-52610A008B38}"/>
    <cellStyle name="Normal 4 2 4 2 3 2 3 4" xfId="31369" xr:uid="{77FCDBEA-F13C-4604-9BD6-991DE69F1B8F}"/>
    <cellStyle name="Normal 4 2 4 2 3 2 4" xfId="9452" xr:uid="{58F46659-8F00-4705-8554-54AEBE9B8A77}"/>
    <cellStyle name="Normal 4 2 4 2 3 2 4 2" xfId="18705" xr:uid="{F6DD3B2F-EC73-4577-BBCA-1FA1D6ADEAD1}"/>
    <cellStyle name="Normal 4 2 4 2 3 2 4 3" xfId="35599" xr:uid="{2FF43EB2-E3AC-4C9C-86FD-3AAC86C6EDB3}"/>
    <cellStyle name="Normal 4 2 4 2 3 2 5" xfId="10258" xr:uid="{D06B6265-AFA3-4288-83CE-9C519E57651E}"/>
    <cellStyle name="Normal 4 2 4 2 3 2 6" xfId="27152" xr:uid="{F19A8D77-0128-4583-990C-4E14BEFB3645}"/>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2 2 2" xfId="25480" xr:uid="{02D56B12-85C2-4507-9AF0-13556712D8B1}"/>
    <cellStyle name="Normal 4 2 4 2 3 3 2 2 2 2" xfId="42374" xr:uid="{D16F5937-9B66-4182-8BFB-08CA67E41554}"/>
    <cellStyle name="Normal 4 2 4 2 3 3 2 2 3" xfId="17033" xr:uid="{F9578790-CE63-4956-A1D5-B4FBAB3E04DB}"/>
    <cellStyle name="Normal 4 2 4 2 3 3 2 2 4" xfId="33927" xr:uid="{B1884839-C634-4CD3-812D-CBCF4A3A56EA}"/>
    <cellStyle name="Normal 4 2 4 2 3 3 2 3" xfId="21263" xr:uid="{021BC1FD-3B27-468A-8622-A337FD7FF13A}"/>
    <cellStyle name="Normal 4 2 4 2 3 3 2 3 2" xfId="38157" xr:uid="{62DE3CE1-85C6-4FC0-878C-066AB1251D94}"/>
    <cellStyle name="Normal 4 2 4 2 3 3 2 4" xfId="12816" xr:uid="{496D9DB5-72A1-4D4D-BAC7-BEE63AC6A336}"/>
    <cellStyle name="Normal 4 2 4 2 3 3 2 5" xfId="29710" xr:uid="{F582AAF5-416F-44BF-80BC-38179CC1E72E}"/>
    <cellStyle name="Normal 4 2 4 2 3 3 3" xfId="5562" xr:uid="{00000000-0005-0000-0000-00005E130000}"/>
    <cellStyle name="Normal 4 2 4 2 3 3 3 2" xfId="23335" xr:uid="{1EC073DE-0D3E-47C5-BFAC-857A0682C061}"/>
    <cellStyle name="Normal 4 2 4 2 3 3 3 2 2" xfId="40229" xr:uid="{FE865E53-886D-473F-B15D-8EFCF734BB63}"/>
    <cellStyle name="Normal 4 2 4 2 3 3 3 3" xfId="14888" xr:uid="{266A66A0-FDF1-4A2B-B0D9-ADA712A35928}"/>
    <cellStyle name="Normal 4 2 4 2 3 3 3 4" xfId="31782" xr:uid="{08A02429-5739-4E6B-A671-26F80A5BC1F4}"/>
    <cellStyle name="Normal 4 2 4 2 3 3 4" xfId="19118" xr:uid="{C4CCD67D-D01F-4E11-BCE9-6E832F93470D}"/>
    <cellStyle name="Normal 4 2 4 2 3 3 4 2" xfId="36012" xr:uid="{66490178-1B8E-4A6F-B2FC-2C5EE3D2CAFC}"/>
    <cellStyle name="Normal 4 2 4 2 3 3 5" xfId="10671" xr:uid="{6F9E4DE0-807F-4947-BDEC-45E3F9987123}"/>
    <cellStyle name="Normal 4 2 4 2 3 3 6" xfId="27565" xr:uid="{1DF723EA-1EDB-4C58-9A6D-4728BFDAF513}"/>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2 2 2" xfId="25893" xr:uid="{0629A9AA-58F4-405D-9D22-E5DAD47F4BF8}"/>
    <cellStyle name="Normal 4 2 4 2 3 4 2 2 2 2" xfId="42787" xr:uid="{068ADE13-CD1A-46BA-AFF6-E9E4728875D1}"/>
    <cellStyle name="Normal 4 2 4 2 3 4 2 2 3" xfId="17446" xr:uid="{CCE7CBEE-EB84-4738-B276-E7639E57C8CC}"/>
    <cellStyle name="Normal 4 2 4 2 3 4 2 2 4" xfId="34340" xr:uid="{261B99EF-A7CF-4065-8531-A78F8DF9DC39}"/>
    <cellStyle name="Normal 4 2 4 2 3 4 2 3" xfId="21676" xr:uid="{41742892-8CBD-4081-A3D0-50802B37F39A}"/>
    <cellStyle name="Normal 4 2 4 2 3 4 2 3 2" xfId="38570" xr:uid="{A8B1AA0B-D576-46AB-80A3-893027E20FE3}"/>
    <cellStyle name="Normal 4 2 4 2 3 4 2 4" xfId="13229" xr:uid="{118616F8-50DE-4CE9-AFED-12255161FF09}"/>
    <cellStyle name="Normal 4 2 4 2 3 4 2 5" xfId="30123" xr:uid="{E5C4C46B-78B1-45DB-A17C-0E84952CB30A}"/>
    <cellStyle name="Normal 4 2 4 2 3 4 3" xfId="5975" xr:uid="{00000000-0005-0000-0000-000062130000}"/>
    <cellStyle name="Normal 4 2 4 2 3 4 3 2" xfId="23748" xr:uid="{64E9DE5E-7946-43F8-BE5D-025FDB015371}"/>
    <cellStyle name="Normal 4 2 4 2 3 4 3 2 2" xfId="40642" xr:uid="{CC3E3BDE-17DC-4E41-8CA1-C1D34D9882C4}"/>
    <cellStyle name="Normal 4 2 4 2 3 4 3 3" xfId="15301" xr:uid="{70495312-5E21-4907-A0DC-D536BC4FD797}"/>
    <cellStyle name="Normal 4 2 4 2 3 4 3 4" xfId="32195" xr:uid="{815B3A8D-6D84-487A-9748-D98510452240}"/>
    <cellStyle name="Normal 4 2 4 2 3 4 4" xfId="19531" xr:uid="{C2FD55D7-9C22-489F-93A4-9961A2881144}"/>
    <cellStyle name="Normal 4 2 4 2 3 4 4 2" xfId="36425" xr:uid="{20F61356-2424-43E5-AA54-2E5039707801}"/>
    <cellStyle name="Normal 4 2 4 2 3 4 5" xfId="11084" xr:uid="{BBF147F9-3C9A-4532-A6E3-54635C5E1315}"/>
    <cellStyle name="Normal 4 2 4 2 3 4 6" xfId="27978" xr:uid="{7D33C4EB-A0EC-44DD-8F4E-44B31E8F9645}"/>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2 2 2" xfId="26306" xr:uid="{1A412354-8504-4C85-9A98-5BF39B67D5CF}"/>
    <cellStyle name="Normal 4 2 4 2 3 5 2 2 2 2" xfId="43200" xr:uid="{3E9A1DF3-E01E-467F-A813-986042EDDA1D}"/>
    <cellStyle name="Normal 4 2 4 2 3 5 2 2 3" xfId="17859" xr:uid="{509BD254-3BDA-4A45-A60D-D533F56FC284}"/>
    <cellStyle name="Normal 4 2 4 2 3 5 2 2 4" xfId="34753" xr:uid="{F407D459-085A-4830-817F-85E9899B7101}"/>
    <cellStyle name="Normal 4 2 4 2 3 5 2 3" xfId="22089" xr:uid="{38A6EDB9-176D-460F-99CA-BFAF03344D95}"/>
    <cellStyle name="Normal 4 2 4 2 3 5 2 3 2" xfId="38983" xr:uid="{28020243-D9EC-46BD-BA77-576FAC9C9DC7}"/>
    <cellStyle name="Normal 4 2 4 2 3 5 2 4" xfId="13642" xr:uid="{AFE51CAA-8EE4-4ABA-BEFD-B6C5F864EED8}"/>
    <cellStyle name="Normal 4 2 4 2 3 5 2 5" xfId="30536" xr:uid="{8F97A797-9F33-45FF-87F6-17387E2D0793}"/>
    <cellStyle name="Normal 4 2 4 2 3 5 3" xfId="6388" xr:uid="{00000000-0005-0000-0000-000066130000}"/>
    <cellStyle name="Normal 4 2 4 2 3 5 3 2" xfId="24161" xr:uid="{33048AB7-0314-4CF4-B5C3-A91A6E39C0DA}"/>
    <cellStyle name="Normal 4 2 4 2 3 5 3 2 2" xfId="41055" xr:uid="{DE32F7CD-E3CC-4CCB-8B0A-776B9C0B2727}"/>
    <cellStyle name="Normal 4 2 4 2 3 5 3 3" xfId="15714" xr:uid="{E8499F26-DC46-450A-B1EA-E5A1EBEA433E}"/>
    <cellStyle name="Normal 4 2 4 2 3 5 3 4" xfId="32608" xr:uid="{849DCB49-39E6-40D2-A0DF-6E6385D8DDC8}"/>
    <cellStyle name="Normal 4 2 4 2 3 5 4" xfId="19944" xr:uid="{9CD831D0-C16C-41E9-BC67-5443DACF7270}"/>
    <cellStyle name="Normal 4 2 4 2 3 5 4 2" xfId="36838" xr:uid="{E7337C96-D141-47A1-8847-288660AA3824}"/>
    <cellStyle name="Normal 4 2 4 2 3 5 5" xfId="11497" xr:uid="{0D737E88-E4DE-4DF7-A363-CF277819B5C1}"/>
    <cellStyle name="Normal 4 2 4 2 3 5 6" xfId="28391" xr:uid="{6A6620A2-F4F2-4A82-8FAB-60E848E31247}"/>
    <cellStyle name="Normal 4 2 4 2 3 6" xfId="2518" xr:uid="{00000000-0005-0000-0000-000067130000}"/>
    <cellStyle name="Normal 4 2 4 2 3 6 2" xfId="6801" xr:uid="{00000000-0005-0000-0000-000068130000}"/>
    <cellStyle name="Normal 4 2 4 2 3 6 2 2" xfId="24574" xr:uid="{626D18F6-4224-4F77-AA0A-3C2B16A2DABC}"/>
    <cellStyle name="Normal 4 2 4 2 3 6 2 2 2" xfId="41468" xr:uid="{6D1EF2AC-1E26-4620-806D-E63C3BE4439D}"/>
    <cellStyle name="Normal 4 2 4 2 3 6 2 3" xfId="16127" xr:uid="{0A535797-82AC-4C65-8081-44BEBA0A1E44}"/>
    <cellStyle name="Normal 4 2 4 2 3 6 2 4" xfId="33021" xr:uid="{7DF3F250-FE2E-43E8-B92E-EEDC3D1EE4B9}"/>
    <cellStyle name="Normal 4 2 4 2 3 6 3" xfId="20357" xr:uid="{8B4FE217-B9C1-4BAD-9EDD-817C28833DD3}"/>
    <cellStyle name="Normal 4 2 4 2 3 6 3 2" xfId="37251" xr:uid="{7801B243-9992-47AB-A424-E2E6785F587B}"/>
    <cellStyle name="Normal 4 2 4 2 3 6 4" xfId="11910" xr:uid="{F03BCF92-8FF7-429D-B87E-A55C99902EFC}"/>
    <cellStyle name="Normal 4 2 4 2 3 6 5" xfId="28804" xr:uid="{B8AD928A-D61C-4C63-BB49-7495597CAFAE}"/>
    <cellStyle name="Normal 4 2 4 2 3 7" xfId="4736" xr:uid="{00000000-0005-0000-0000-000069130000}"/>
    <cellStyle name="Normal 4 2 4 2 3 7 2" xfId="22509" xr:uid="{6FC33F28-DECC-4F8E-86EF-ADFF3C94627E}"/>
    <cellStyle name="Normal 4 2 4 2 3 7 2 2" xfId="39403" xr:uid="{FE1D2FBB-25E5-4F1A-9E73-DF812F23D5F2}"/>
    <cellStyle name="Normal 4 2 4 2 3 7 3" xfId="14062" xr:uid="{D8167F19-60A7-424B-8503-3BF19D04588C}"/>
    <cellStyle name="Normal 4 2 4 2 3 7 4" xfId="30956" xr:uid="{A6B49BF6-3254-4319-9173-FDA07AAFD5A3}"/>
    <cellStyle name="Normal 4 2 4 2 3 8" xfId="9027" xr:uid="{DA430019-E492-48BB-ACD5-5BE853C50FBC}"/>
    <cellStyle name="Normal 4 2 4 2 3 8 2" xfId="18292" xr:uid="{5FEDA2C9-EF27-4BB8-A837-2EFC8452799B}"/>
    <cellStyle name="Normal 4 2 4 2 3 8 3" xfId="35186" xr:uid="{3241AAB4-817D-4DAB-9930-CEFF6AE24C8A}"/>
    <cellStyle name="Normal 4 2 4 2 3 9" xfId="9845" xr:uid="{FBE846CE-A394-4974-9DED-444D1CDFDB61}"/>
    <cellStyle name="Normal 4 2 4 2 4" xfId="832" xr:uid="{00000000-0005-0000-0000-00006A130000}"/>
    <cellStyle name="Normal 4 2 4 2 4 2" xfId="3069" xr:uid="{00000000-0005-0000-0000-00006B130000}"/>
    <cellStyle name="Normal 4 2 4 2 4 2 2" xfId="7291" xr:uid="{00000000-0005-0000-0000-00006C130000}"/>
    <cellStyle name="Normal 4 2 4 2 4 2 2 2" xfId="25064" xr:uid="{C976054D-DFD7-4CFE-8107-BB2457C330FD}"/>
    <cellStyle name="Normal 4 2 4 2 4 2 2 2 2" xfId="41958" xr:uid="{3ECC40AB-53B6-45B2-93D1-1CA6BF2509FA}"/>
    <cellStyle name="Normal 4 2 4 2 4 2 2 3" xfId="16617" xr:uid="{C15FE7B7-122F-4DC0-BEE2-A1DCCD59E2FB}"/>
    <cellStyle name="Normal 4 2 4 2 4 2 2 4" xfId="33511" xr:uid="{6488ADCA-013F-40C0-8273-344AE9612083}"/>
    <cellStyle name="Normal 4 2 4 2 4 2 3" xfId="20847" xr:uid="{33A5D7EA-5C45-4BB3-B5CC-0DA9C78C0488}"/>
    <cellStyle name="Normal 4 2 4 2 4 2 3 2" xfId="37741" xr:uid="{1F988432-9617-4678-9221-9A400AD2B510}"/>
    <cellStyle name="Normal 4 2 4 2 4 2 4" xfId="12400" xr:uid="{4F27ED26-A674-4E14-A49B-6DDB12A23080}"/>
    <cellStyle name="Normal 4 2 4 2 4 2 5" xfId="29294" xr:uid="{CB2D0276-7AB8-46B8-838D-845656359138}"/>
    <cellStyle name="Normal 4 2 4 2 4 3" xfId="5146" xr:uid="{00000000-0005-0000-0000-00006D130000}"/>
    <cellStyle name="Normal 4 2 4 2 4 3 2" xfId="22919" xr:uid="{4AB3897E-E078-47A4-A9A1-EF24254651AA}"/>
    <cellStyle name="Normal 4 2 4 2 4 3 2 2" xfId="39813" xr:uid="{33C71AD8-B835-43B4-A869-C20257013A0F}"/>
    <cellStyle name="Normal 4 2 4 2 4 3 3" xfId="14472" xr:uid="{F47180F0-A640-47F7-95F9-588914EB66B9}"/>
    <cellStyle name="Normal 4 2 4 2 4 3 4" xfId="31366" xr:uid="{71516132-1566-45AD-B25F-B73596758CBE}"/>
    <cellStyle name="Normal 4 2 4 2 4 4" xfId="9245" xr:uid="{A0383DD8-843E-4601-922A-5CDD979D0589}"/>
    <cellStyle name="Normal 4 2 4 2 4 4 2" xfId="18702" xr:uid="{F2BB905E-E9AC-485F-BEC3-A9215DEE53C3}"/>
    <cellStyle name="Normal 4 2 4 2 4 4 3" xfId="35596" xr:uid="{3DDB8754-E4F5-4070-A33C-CD91F61578E7}"/>
    <cellStyle name="Normal 4 2 4 2 4 5" xfId="10255" xr:uid="{94AE1ABA-79C1-4A17-A36E-DD9C45EE4450}"/>
    <cellStyle name="Normal 4 2 4 2 4 6" xfId="27149" xr:uid="{D814D834-0394-4E53-B613-2464694E9AB0}"/>
    <cellStyle name="Normal 4 2 4 2 5" xfId="1252" xr:uid="{00000000-0005-0000-0000-00006E130000}"/>
    <cellStyle name="Normal 4 2 4 2 5 2" xfId="3482" xr:uid="{00000000-0005-0000-0000-00006F130000}"/>
    <cellStyle name="Normal 4 2 4 2 5 2 2" xfId="7704" xr:uid="{00000000-0005-0000-0000-000070130000}"/>
    <cellStyle name="Normal 4 2 4 2 5 2 2 2" xfId="25477" xr:uid="{4836ABDB-5622-4AC9-9CDA-C05795C6FF07}"/>
    <cellStyle name="Normal 4 2 4 2 5 2 2 2 2" xfId="42371" xr:uid="{AA773926-ECB3-4295-BB4F-053519231D56}"/>
    <cellStyle name="Normal 4 2 4 2 5 2 2 3" xfId="17030" xr:uid="{DF4552EB-7F3A-45B7-AC51-B805CBA71EB1}"/>
    <cellStyle name="Normal 4 2 4 2 5 2 2 4" xfId="33924" xr:uid="{C09E2B24-39E1-4103-8E97-A86EA7D30906}"/>
    <cellStyle name="Normal 4 2 4 2 5 2 3" xfId="21260" xr:uid="{3D4015FA-1C63-41FC-B089-8C5264F27E65}"/>
    <cellStyle name="Normal 4 2 4 2 5 2 3 2" xfId="38154" xr:uid="{C9232069-CE2F-4130-AC89-7744C6A93210}"/>
    <cellStyle name="Normal 4 2 4 2 5 2 4" xfId="12813" xr:uid="{67A7D2A8-3D11-47CA-91C2-B638F624C50C}"/>
    <cellStyle name="Normal 4 2 4 2 5 2 5" xfId="29707" xr:uid="{E1870427-A258-40AB-9C71-A1863D150A09}"/>
    <cellStyle name="Normal 4 2 4 2 5 3" xfId="5559" xr:uid="{00000000-0005-0000-0000-000071130000}"/>
    <cellStyle name="Normal 4 2 4 2 5 3 2" xfId="23332" xr:uid="{FDEA861F-E078-4E4A-8BA7-4A4565ACC700}"/>
    <cellStyle name="Normal 4 2 4 2 5 3 2 2" xfId="40226" xr:uid="{5FF0EE80-306B-49D8-9984-9C8F4E422719}"/>
    <cellStyle name="Normal 4 2 4 2 5 3 3" xfId="14885" xr:uid="{4CD25FCE-7C80-4E51-8BEC-AD3A328D457D}"/>
    <cellStyle name="Normal 4 2 4 2 5 3 4" xfId="31779" xr:uid="{38C073E1-E43D-4102-AD4B-6DBA0AAF0D05}"/>
    <cellStyle name="Normal 4 2 4 2 5 4" xfId="19115" xr:uid="{7FC9BF6E-08E6-4650-A2BB-01B83329D7E3}"/>
    <cellStyle name="Normal 4 2 4 2 5 4 2" xfId="36009" xr:uid="{0D75A84D-89B6-41D7-B433-356283E43AFD}"/>
    <cellStyle name="Normal 4 2 4 2 5 5" xfId="10668" xr:uid="{51F44140-D341-4B34-994B-588BF7B7BB8E}"/>
    <cellStyle name="Normal 4 2 4 2 5 6" xfId="27562" xr:uid="{76718335-0C1B-4554-BE8E-145A03494D8F}"/>
    <cellStyle name="Normal 4 2 4 2 6" xfId="1665" xr:uid="{00000000-0005-0000-0000-000072130000}"/>
    <cellStyle name="Normal 4 2 4 2 6 2" xfId="3895" xr:uid="{00000000-0005-0000-0000-000073130000}"/>
    <cellStyle name="Normal 4 2 4 2 6 2 2" xfId="8117" xr:uid="{00000000-0005-0000-0000-000074130000}"/>
    <cellStyle name="Normal 4 2 4 2 6 2 2 2" xfId="25890" xr:uid="{37092673-4B83-433E-9CFA-64E8C03922DA}"/>
    <cellStyle name="Normal 4 2 4 2 6 2 2 2 2" xfId="42784" xr:uid="{E3025E91-FB36-47BA-ABFE-91A7ACDE9B3D}"/>
    <cellStyle name="Normal 4 2 4 2 6 2 2 3" xfId="17443" xr:uid="{368D4F53-08DF-4364-A8B8-471E182A3A36}"/>
    <cellStyle name="Normal 4 2 4 2 6 2 2 4" xfId="34337" xr:uid="{7CA47D20-CF9D-4AD9-B20F-986A7957233C}"/>
    <cellStyle name="Normal 4 2 4 2 6 2 3" xfId="21673" xr:uid="{8E4310AA-95A0-4D86-94E7-4158959147A3}"/>
    <cellStyle name="Normal 4 2 4 2 6 2 3 2" xfId="38567" xr:uid="{741DBF69-5CF9-489F-915D-D4010521B637}"/>
    <cellStyle name="Normal 4 2 4 2 6 2 4" xfId="13226" xr:uid="{902E08CA-F7DA-446C-9E86-F891018523E2}"/>
    <cellStyle name="Normal 4 2 4 2 6 2 5" xfId="30120" xr:uid="{A1F39191-EC46-489E-968C-F6FE9D209ACE}"/>
    <cellStyle name="Normal 4 2 4 2 6 3" xfId="5972" xr:uid="{00000000-0005-0000-0000-000075130000}"/>
    <cellStyle name="Normal 4 2 4 2 6 3 2" xfId="23745" xr:uid="{20C97318-F506-4F39-8735-98E14C6995AE}"/>
    <cellStyle name="Normal 4 2 4 2 6 3 2 2" xfId="40639" xr:uid="{8D18BE2B-6D61-4D76-AC32-6936ABBB6FA2}"/>
    <cellStyle name="Normal 4 2 4 2 6 3 3" xfId="15298" xr:uid="{4A1CD595-8CC2-46B4-AFD1-34BCB5C59267}"/>
    <cellStyle name="Normal 4 2 4 2 6 3 4" xfId="32192" xr:uid="{4126CF01-A9CC-472C-931F-6310A43DFCC3}"/>
    <cellStyle name="Normal 4 2 4 2 6 4" xfId="19528" xr:uid="{2816E361-74A4-4CD4-9B52-A103CDC644F2}"/>
    <cellStyle name="Normal 4 2 4 2 6 4 2" xfId="36422" xr:uid="{F7135E63-FF54-47B6-AEEE-F1A61A6127DF}"/>
    <cellStyle name="Normal 4 2 4 2 6 5" xfId="11081" xr:uid="{C679C978-08D0-4370-AF3F-5105EC81B9F0}"/>
    <cellStyle name="Normal 4 2 4 2 6 6" xfId="27975" xr:uid="{EDF940A9-F27A-4532-AEAF-46B663723767}"/>
    <cellStyle name="Normal 4 2 4 2 7" xfId="2079" xr:uid="{00000000-0005-0000-0000-000076130000}"/>
    <cellStyle name="Normal 4 2 4 2 7 2" xfId="4308" xr:uid="{00000000-0005-0000-0000-000077130000}"/>
    <cellStyle name="Normal 4 2 4 2 7 2 2" xfId="8530" xr:uid="{00000000-0005-0000-0000-000078130000}"/>
    <cellStyle name="Normal 4 2 4 2 7 2 2 2" xfId="26303" xr:uid="{744A8BED-B1BF-4BD5-B35A-322F81736F14}"/>
    <cellStyle name="Normal 4 2 4 2 7 2 2 2 2" xfId="43197" xr:uid="{24DD79A0-8048-4E5D-96A2-6F50FB2203E0}"/>
    <cellStyle name="Normal 4 2 4 2 7 2 2 3" xfId="17856" xr:uid="{168105B5-91B8-4AE9-B1A8-3A42353D8A70}"/>
    <cellStyle name="Normal 4 2 4 2 7 2 2 4" xfId="34750" xr:uid="{F4229299-7797-40A2-B7A6-EDDEDB4E8AF0}"/>
    <cellStyle name="Normal 4 2 4 2 7 2 3" xfId="22086" xr:uid="{9F5E543E-8C69-4653-BE64-9B0C343C8361}"/>
    <cellStyle name="Normal 4 2 4 2 7 2 3 2" xfId="38980" xr:uid="{FA91F32A-26D3-4D4B-A279-7480E74A0B96}"/>
    <cellStyle name="Normal 4 2 4 2 7 2 4" xfId="13639" xr:uid="{BCD05794-D46B-47B9-8919-D5D900235AE4}"/>
    <cellStyle name="Normal 4 2 4 2 7 2 5" xfId="30533" xr:uid="{FEB18DC8-FF9C-403E-BBDA-325A8AD04960}"/>
    <cellStyle name="Normal 4 2 4 2 7 3" xfId="6385" xr:uid="{00000000-0005-0000-0000-000079130000}"/>
    <cellStyle name="Normal 4 2 4 2 7 3 2" xfId="24158" xr:uid="{D0077708-637D-4FCB-92F0-0D2B14B1E193}"/>
    <cellStyle name="Normal 4 2 4 2 7 3 2 2" xfId="41052" xr:uid="{645C21B1-0BCB-46E5-AC81-99E87E9512B4}"/>
    <cellStyle name="Normal 4 2 4 2 7 3 3" xfId="15711" xr:uid="{5FDB153D-02FD-4D6E-A770-D8651CDC0E06}"/>
    <cellStyle name="Normal 4 2 4 2 7 3 4" xfId="32605" xr:uid="{3503E2EB-0D61-472D-9B38-5AEBBB223AB7}"/>
    <cellStyle name="Normal 4 2 4 2 7 4" xfId="19941" xr:uid="{38976E5D-0259-4969-8C44-6C1223FCAC39}"/>
    <cellStyle name="Normal 4 2 4 2 7 4 2" xfId="36835" xr:uid="{FDABA3DA-3601-4075-96CC-5ABABB55834A}"/>
    <cellStyle name="Normal 4 2 4 2 7 5" xfId="11494" xr:uid="{A817D722-29A1-45B0-8258-3E67F2F68E5A}"/>
    <cellStyle name="Normal 4 2 4 2 7 6" xfId="28388" xr:uid="{854C18F5-00B3-4411-A150-7523D1168AC3}"/>
    <cellStyle name="Normal 4 2 4 2 8" xfId="2515" xr:uid="{00000000-0005-0000-0000-00007A130000}"/>
    <cellStyle name="Normal 4 2 4 2 8 2" xfId="6798" xr:uid="{00000000-0005-0000-0000-00007B130000}"/>
    <cellStyle name="Normal 4 2 4 2 8 2 2" xfId="24571" xr:uid="{D3A98517-55E1-40C2-B545-72A4CBD6CA41}"/>
    <cellStyle name="Normal 4 2 4 2 8 2 2 2" xfId="41465" xr:uid="{ABC5E01B-8050-460B-8EBA-BA8644C837CA}"/>
    <cellStyle name="Normal 4 2 4 2 8 2 3" xfId="16124" xr:uid="{A98052EE-421E-4BF2-8C09-91ED159A3E61}"/>
    <cellStyle name="Normal 4 2 4 2 8 2 4" xfId="33018" xr:uid="{072845D8-114B-4783-891C-90562864885B}"/>
    <cellStyle name="Normal 4 2 4 2 8 3" xfId="20354" xr:uid="{A1ECFE56-E228-40D8-BEBA-E6A285AA8CD4}"/>
    <cellStyle name="Normal 4 2 4 2 8 3 2" xfId="37248" xr:uid="{44D15323-8E09-46EA-80B5-C3AF24DD7A26}"/>
    <cellStyle name="Normal 4 2 4 2 8 4" xfId="11907" xr:uid="{03A33BB5-E707-41AA-8B11-18CCD1AEC6B7}"/>
    <cellStyle name="Normal 4 2 4 2 8 5" xfId="28801" xr:uid="{67BB297C-C909-4BA7-BE84-F48F9AAD588B}"/>
    <cellStyle name="Normal 4 2 4 2 9" xfId="4733" xr:uid="{00000000-0005-0000-0000-00007C130000}"/>
    <cellStyle name="Normal 4 2 4 2 9 2" xfId="22506" xr:uid="{53C9DD84-7033-4047-B3D2-F07EC56F29F1}"/>
    <cellStyle name="Normal 4 2 4 2 9 2 2" xfId="39400" xr:uid="{E31F6A8A-728E-4893-910E-47B9DF606D9D}"/>
    <cellStyle name="Normal 4 2 4 2 9 3" xfId="14059" xr:uid="{9FBD68D8-7F66-44AD-BCE4-79235B225B7A}"/>
    <cellStyle name="Normal 4 2 4 2 9 4" xfId="30953" xr:uid="{4BCED5A3-D259-41CF-BE33-05B9A979ED82}"/>
    <cellStyle name="Normal 4 2 4 3" xfId="360" xr:uid="{00000000-0005-0000-0000-00007D130000}"/>
    <cellStyle name="Normal 4 2 4 3 10" xfId="9846" xr:uid="{F274EE73-0732-4BEF-AF81-6FF0F16C86D2}"/>
    <cellStyle name="Normal 4 2 4 3 11" xfId="26740" xr:uid="{1EDC73F3-6402-4B77-877E-EEE9D556187C}"/>
    <cellStyle name="Normal 4 2 4 3 2" xfId="361" xr:uid="{00000000-0005-0000-0000-00007E130000}"/>
    <cellStyle name="Normal 4 2 4 3 2 10" xfId="26741" xr:uid="{CB5FB76B-7960-4831-8FF3-417B2528A9A6}"/>
    <cellStyle name="Normal 4 2 4 3 2 2" xfId="837" xr:uid="{00000000-0005-0000-0000-00007F130000}"/>
    <cellStyle name="Normal 4 2 4 3 2 2 2" xfId="3074" xr:uid="{00000000-0005-0000-0000-000080130000}"/>
    <cellStyle name="Normal 4 2 4 3 2 2 2 2" xfId="7296" xr:uid="{00000000-0005-0000-0000-000081130000}"/>
    <cellStyle name="Normal 4 2 4 3 2 2 2 2 2" xfId="25069" xr:uid="{567A39F6-A381-4DFB-A27F-D44340D33A9D}"/>
    <cellStyle name="Normal 4 2 4 3 2 2 2 2 2 2" xfId="41963" xr:uid="{97C071AB-6934-4EB1-9D84-E2E42EA5FC8C}"/>
    <cellStyle name="Normal 4 2 4 3 2 2 2 2 3" xfId="16622" xr:uid="{17EE6D28-1F05-4C41-AB13-9FE12E0C91A6}"/>
    <cellStyle name="Normal 4 2 4 3 2 2 2 2 4" xfId="33516" xr:uid="{7B7607E7-3BAD-435C-9408-0AB311E4F193}"/>
    <cellStyle name="Normal 4 2 4 3 2 2 2 3" xfId="20852" xr:uid="{D7E24AC3-F48D-43C0-BF84-22DF0222D926}"/>
    <cellStyle name="Normal 4 2 4 3 2 2 2 3 2" xfId="37746" xr:uid="{C17DC94B-C830-49DA-98B3-91FA9B12D172}"/>
    <cellStyle name="Normal 4 2 4 3 2 2 2 4" xfId="12405" xr:uid="{65DF5C5F-EEFA-4D6A-B68F-4D78C66FDD51}"/>
    <cellStyle name="Normal 4 2 4 3 2 2 2 5" xfId="29299" xr:uid="{96E9AD89-DCEB-4DFD-8B84-646B42B60C9E}"/>
    <cellStyle name="Normal 4 2 4 3 2 2 3" xfId="5151" xr:uid="{00000000-0005-0000-0000-000082130000}"/>
    <cellStyle name="Normal 4 2 4 3 2 2 3 2" xfId="22924" xr:uid="{E3F28FF5-54C4-43F0-940C-2B7C7B1DCACD}"/>
    <cellStyle name="Normal 4 2 4 3 2 2 3 2 2" xfId="39818" xr:uid="{3CE9D071-8922-41B4-8C09-B1BD8DF9DA0E}"/>
    <cellStyle name="Normal 4 2 4 3 2 2 3 3" xfId="14477" xr:uid="{3BA7D7BF-230A-4BDF-A2FD-663FCD9FD68F}"/>
    <cellStyle name="Normal 4 2 4 3 2 2 3 4" xfId="31371" xr:uid="{7F87ACD2-F7D0-4148-8746-CC8F86FF9230}"/>
    <cellStyle name="Normal 4 2 4 3 2 2 4" xfId="9510" xr:uid="{AA534F18-B7F5-44D9-AE7D-03E6DE45E4F9}"/>
    <cellStyle name="Normal 4 2 4 3 2 2 4 2" xfId="18707" xr:uid="{34E2AB5C-CDA5-4BC2-AC75-BCB2B291BC65}"/>
    <cellStyle name="Normal 4 2 4 3 2 2 4 3" xfId="35601" xr:uid="{9167030B-B9CA-4011-98BD-C7ECC9AE9003}"/>
    <cellStyle name="Normal 4 2 4 3 2 2 5" xfId="10260" xr:uid="{A549DABA-736E-4987-B659-F7C361A1526B}"/>
    <cellStyle name="Normal 4 2 4 3 2 2 6" xfId="27154" xr:uid="{55F4FFB9-0097-4045-A1E1-C8FD3A182E3B}"/>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2 2 2" xfId="25482" xr:uid="{24AF1085-3FE7-45D4-BFF3-FFD3EC5963BC}"/>
    <cellStyle name="Normal 4 2 4 3 2 3 2 2 2 2" xfId="42376" xr:uid="{AE686D19-F522-405B-9F53-6412A50917A0}"/>
    <cellStyle name="Normal 4 2 4 3 2 3 2 2 3" xfId="17035" xr:uid="{9BD87323-5610-4F0D-BFEE-3358FF95D070}"/>
    <cellStyle name="Normal 4 2 4 3 2 3 2 2 4" xfId="33929" xr:uid="{AC070D4D-F04C-4C0F-BD9B-6E95AD1DA890}"/>
    <cellStyle name="Normal 4 2 4 3 2 3 2 3" xfId="21265" xr:uid="{C4EC55C5-C5B9-430F-9FB6-3EA8030C7579}"/>
    <cellStyle name="Normal 4 2 4 3 2 3 2 3 2" xfId="38159" xr:uid="{126EE58A-EAA4-4CF4-9D70-AE160C92178F}"/>
    <cellStyle name="Normal 4 2 4 3 2 3 2 4" xfId="12818" xr:uid="{843BB377-C8FC-48EC-A5BE-03351750933C}"/>
    <cellStyle name="Normal 4 2 4 3 2 3 2 5" xfId="29712" xr:uid="{B2E05E64-2E5E-455A-A5CF-3365B3A83881}"/>
    <cellStyle name="Normal 4 2 4 3 2 3 3" xfId="5564" xr:uid="{00000000-0005-0000-0000-000086130000}"/>
    <cellStyle name="Normal 4 2 4 3 2 3 3 2" xfId="23337" xr:uid="{4B419228-BF6F-48F6-9099-1D03C92DC8D6}"/>
    <cellStyle name="Normal 4 2 4 3 2 3 3 2 2" xfId="40231" xr:uid="{B91531CF-C137-4744-9AFF-F0DD00471524}"/>
    <cellStyle name="Normal 4 2 4 3 2 3 3 3" xfId="14890" xr:uid="{BCF04A62-6DEA-4D0B-A673-67A084B12917}"/>
    <cellStyle name="Normal 4 2 4 3 2 3 3 4" xfId="31784" xr:uid="{4603EC35-EFE8-4747-BCD6-09CE92ADE79C}"/>
    <cellStyle name="Normal 4 2 4 3 2 3 4" xfId="19120" xr:uid="{3E594FD3-E787-461D-98AF-8E858AE74699}"/>
    <cellStyle name="Normal 4 2 4 3 2 3 4 2" xfId="36014" xr:uid="{F73FD35E-D0D3-4E0C-9590-36556AE9564C}"/>
    <cellStyle name="Normal 4 2 4 3 2 3 5" xfId="10673" xr:uid="{1C116DBC-D486-4D4F-B3CA-D323DB10EE90}"/>
    <cellStyle name="Normal 4 2 4 3 2 3 6" xfId="27567" xr:uid="{8A92FCA0-48EA-496D-9221-B7B43D5C38DF}"/>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2 2 2" xfId="25895" xr:uid="{57ABBC5C-137B-4B93-B21E-CB0D97B7B4E2}"/>
    <cellStyle name="Normal 4 2 4 3 2 4 2 2 2 2" xfId="42789" xr:uid="{8A9AB34B-43FE-452B-A594-A36BFE5004BF}"/>
    <cellStyle name="Normal 4 2 4 3 2 4 2 2 3" xfId="17448" xr:uid="{C98334C4-FFC5-4B9A-BACF-06894882E2C5}"/>
    <cellStyle name="Normal 4 2 4 3 2 4 2 2 4" xfId="34342" xr:uid="{A2BD5731-5FF3-4136-80DC-93C72511E02C}"/>
    <cellStyle name="Normal 4 2 4 3 2 4 2 3" xfId="21678" xr:uid="{FCF787FD-6E10-43B8-9154-F9EA9701400A}"/>
    <cellStyle name="Normal 4 2 4 3 2 4 2 3 2" xfId="38572" xr:uid="{B555F112-3BCB-46B9-8F47-6D861EC598C2}"/>
    <cellStyle name="Normal 4 2 4 3 2 4 2 4" xfId="13231" xr:uid="{09F430F2-13CE-40E3-B4A6-117EB60868E2}"/>
    <cellStyle name="Normal 4 2 4 3 2 4 2 5" xfId="30125" xr:uid="{693FE57E-CDF1-48E3-99A5-CD034A679B5F}"/>
    <cellStyle name="Normal 4 2 4 3 2 4 3" xfId="5977" xr:uid="{00000000-0005-0000-0000-00008A130000}"/>
    <cellStyle name="Normal 4 2 4 3 2 4 3 2" xfId="23750" xr:uid="{67751120-9CDA-4DF6-9EC3-8098CE0F9AE7}"/>
    <cellStyle name="Normal 4 2 4 3 2 4 3 2 2" xfId="40644" xr:uid="{5BDF608D-0771-4F86-A2A6-A0B21476C51A}"/>
    <cellStyle name="Normal 4 2 4 3 2 4 3 3" xfId="15303" xr:uid="{39C36B2C-3C16-43C1-90B0-1BFBA06A2D2B}"/>
    <cellStyle name="Normal 4 2 4 3 2 4 3 4" xfId="32197" xr:uid="{4E91731E-0A4D-4AB9-8930-234133FE0956}"/>
    <cellStyle name="Normal 4 2 4 3 2 4 4" xfId="19533" xr:uid="{D41BD9E0-2615-41BD-8CA9-C8D081060CB6}"/>
    <cellStyle name="Normal 4 2 4 3 2 4 4 2" xfId="36427" xr:uid="{E5C660DC-15BD-4683-9031-7DEEB2EB667D}"/>
    <cellStyle name="Normal 4 2 4 3 2 4 5" xfId="11086" xr:uid="{CDAE3A5B-3E02-44B3-A420-CED40462F0B5}"/>
    <cellStyle name="Normal 4 2 4 3 2 4 6" xfId="27980" xr:uid="{D726099F-5733-40BE-87BC-87F780860374}"/>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2 2 2" xfId="26308" xr:uid="{4E0B9C26-AAA9-4147-88D5-3A90B010AB64}"/>
    <cellStyle name="Normal 4 2 4 3 2 5 2 2 2 2" xfId="43202" xr:uid="{2B79E311-320B-47A2-B278-23882C1CCF6E}"/>
    <cellStyle name="Normal 4 2 4 3 2 5 2 2 3" xfId="17861" xr:uid="{2F5201CB-A4AE-41AC-94D2-1859B9ADBBDE}"/>
    <cellStyle name="Normal 4 2 4 3 2 5 2 2 4" xfId="34755" xr:uid="{22F661D5-86CF-4F50-AC21-9FF2B9947BD9}"/>
    <cellStyle name="Normal 4 2 4 3 2 5 2 3" xfId="22091" xr:uid="{C1D41C74-6FBD-48A3-89C0-7DE757647D55}"/>
    <cellStyle name="Normal 4 2 4 3 2 5 2 3 2" xfId="38985" xr:uid="{0B06767D-B29E-4FAA-91DF-549A3135B85F}"/>
    <cellStyle name="Normal 4 2 4 3 2 5 2 4" xfId="13644" xr:uid="{67633A6B-3670-434C-B974-7E5E9A7F6901}"/>
    <cellStyle name="Normal 4 2 4 3 2 5 2 5" xfId="30538" xr:uid="{976AD2B8-62F2-4B3D-A748-1C0BB381FFB5}"/>
    <cellStyle name="Normal 4 2 4 3 2 5 3" xfId="6390" xr:uid="{00000000-0005-0000-0000-00008E130000}"/>
    <cellStyle name="Normal 4 2 4 3 2 5 3 2" xfId="24163" xr:uid="{E99AB3E3-5B18-4056-9367-80987214D539}"/>
    <cellStyle name="Normal 4 2 4 3 2 5 3 2 2" xfId="41057" xr:uid="{8DBED698-6B78-461F-BF1A-DD7485FB3ACB}"/>
    <cellStyle name="Normal 4 2 4 3 2 5 3 3" xfId="15716" xr:uid="{B4B350BA-461C-42B3-BB59-2590F43B18C4}"/>
    <cellStyle name="Normal 4 2 4 3 2 5 3 4" xfId="32610" xr:uid="{3A8D40EE-D2C4-4CC2-99FE-E38BEA0CB16C}"/>
    <cellStyle name="Normal 4 2 4 3 2 5 4" xfId="19946" xr:uid="{7C35986B-612D-45DE-981B-7C5B2A9DC563}"/>
    <cellStyle name="Normal 4 2 4 3 2 5 4 2" xfId="36840" xr:uid="{423067FF-3821-46DB-9181-9606E1F3763D}"/>
    <cellStyle name="Normal 4 2 4 3 2 5 5" xfId="11499" xr:uid="{2C4908D3-3DAE-4F22-BEFE-7231FA90AAB4}"/>
    <cellStyle name="Normal 4 2 4 3 2 5 6" xfId="28393" xr:uid="{620AB02A-193A-4360-B573-06376A185E1A}"/>
    <cellStyle name="Normal 4 2 4 3 2 6" xfId="2520" xr:uid="{00000000-0005-0000-0000-00008F130000}"/>
    <cellStyle name="Normal 4 2 4 3 2 6 2" xfId="6803" xr:uid="{00000000-0005-0000-0000-000090130000}"/>
    <cellStyle name="Normal 4 2 4 3 2 6 2 2" xfId="24576" xr:uid="{8E04F7E8-F084-45C4-85EE-9891809E575F}"/>
    <cellStyle name="Normal 4 2 4 3 2 6 2 2 2" xfId="41470" xr:uid="{92A1230A-DCE1-4143-819C-6FFCB14837A7}"/>
    <cellStyle name="Normal 4 2 4 3 2 6 2 3" xfId="16129" xr:uid="{48BF6BCF-FF53-42CF-833A-61FED7D0AE5A}"/>
    <cellStyle name="Normal 4 2 4 3 2 6 2 4" xfId="33023" xr:uid="{FEB447EB-AA24-4160-9721-813BDA873FCD}"/>
    <cellStyle name="Normal 4 2 4 3 2 6 3" xfId="20359" xr:uid="{ED77510F-55C6-454E-BDE0-7D6591748991}"/>
    <cellStyle name="Normal 4 2 4 3 2 6 3 2" xfId="37253" xr:uid="{75082BC2-FE96-4445-96BE-A41709BC9D52}"/>
    <cellStyle name="Normal 4 2 4 3 2 6 4" xfId="11912" xr:uid="{C2463D2C-1C2F-41D8-90A7-1C7E1574D857}"/>
    <cellStyle name="Normal 4 2 4 3 2 6 5" xfId="28806" xr:uid="{84A6C094-3D15-4F85-8A82-CB1ABFCCC480}"/>
    <cellStyle name="Normal 4 2 4 3 2 7" xfId="4738" xr:uid="{00000000-0005-0000-0000-000091130000}"/>
    <cellStyle name="Normal 4 2 4 3 2 7 2" xfId="22511" xr:uid="{9DF467E5-65EE-46F2-B35C-B4CFFB6234C7}"/>
    <cellStyle name="Normal 4 2 4 3 2 7 2 2" xfId="39405" xr:uid="{FA709B4D-1B3E-4A1C-B40F-8C053E19B662}"/>
    <cellStyle name="Normal 4 2 4 3 2 7 3" xfId="14064" xr:uid="{C29EDB72-C080-4C2B-978E-D6F0FE6248AB}"/>
    <cellStyle name="Normal 4 2 4 3 2 7 4" xfId="30958" xr:uid="{0277F269-37D6-496C-AD49-7472DE3CF47C}"/>
    <cellStyle name="Normal 4 2 4 3 2 8" xfId="9085" xr:uid="{0181E53C-86DC-4588-8447-D559FCF01541}"/>
    <cellStyle name="Normal 4 2 4 3 2 8 2" xfId="18294" xr:uid="{D1CCE320-9987-4650-9FAC-905F5392B0D1}"/>
    <cellStyle name="Normal 4 2 4 3 2 8 3" xfId="35188" xr:uid="{48FFB698-3E52-44A6-B254-46FCBE7D9FE1}"/>
    <cellStyle name="Normal 4 2 4 3 2 9" xfId="9847" xr:uid="{2E38CA58-1D70-492F-ACC8-753C6384BCA5}"/>
    <cellStyle name="Normal 4 2 4 3 3" xfId="836" xr:uid="{00000000-0005-0000-0000-000092130000}"/>
    <cellStyle name="Normal 4 2 4 3 3 2" xfId="3073" xr:uid="{00000000-0005-0000-0000-000093130000}"/>
    <cellStyle name="Normal 4 2 4 3 3 2 2" xfId="7295" xr:uid="{00000000-0005-0000-0000-000094130000}"/>
    <cellStyle name="Normal 4 2 4 3 3 2 2 2" xfId="25068" xr:uid="{3886D5C2-5954-47FE-933E-D222F2D502C6}"/>
    <cellStyle name="Normal 4 2 4 3 3 2 2 2 2" xfId="41962" xr:uid="{925A8748-4971-4875-AE45-1215C538805D}"/>
    <cellStyle name="Normal 4 2 4 3 3 2 2 3" xfId="16621" xr:uid="{F1621C8A-F6C1-4E8B-A514-66A123066035}"/>
    <cellStyle name="Normal 4 2 4 3 3 2 2 4" xfId="33515" xr:uid="{CE914A29-9FBC-4165-B583-24F4EDF044E5}"/>
    <cellStyle name="Normal 4 2 4 3 3 2 3" xfId="20851" xr:uid="{AC715DAE-3475-4B7C-9822-74078C56EA92}"/>
    <cellStyle name="Normal 4 2 4 3 3 2 3 2" xfId="37745" xr:uid="{6B41EFDF-5E5F-41D3-BA43-007A3B24C2D5}"/>
    <cellStyle name="Normal 4 2 4 3 3 2 4" xfId="12404" xr:uid="{791AE262-9BCC-4BE2-8625-607152F50C58}"/>
    <cellStyle name="Normal 4 2 4 3 3 2 5" xfId="29298" xr:uid="{36C5772C-EE3F-40DF-97C9-D9BCAB034970}"/>
    <cellStyle name="Normal 4 2 4 3 3 3" xfId="5150" xr:uid="{00000000-0005-0000-0000-000095130000}"/>
    <cellStyle name="Normal 4 2 4 3 3 3 2" xfId="22923" xr:uid="{09785EFA-157C-4947-8629-346726D015EB}"/>
    <cellStyle name="Normal 4 2 4 3 3 3 2 2" xfId="39817" xr:uid="{8EECD4A4-FF01-49C4-83D0-4009AE2931F6}"/>
    <cellStyle name="Normal 4 2 4 3 3 3 3" xfId="14476" xr:uid="{BA24B42B-F630-456C-919A-6A2E2AEE03D7}"/>
    <cellStyle name="Normal 4 2 4 3 3 3 4" xfId="31370" xr:uid="{10FDDC33-0C77-473F-BAE9-5D1BEBD272F1}"/>
    <cellStyle name="Normal 4 2 4 3 3 4" xfId="9303" xr:uid="{51CE977A-E9B9-47DD-B6CE-3ECF34A578F1}"/>
    <cellStyle name="Normal 4 2 4 3 3 4 2" xfId="18706" xr:uid="{B0864712-72CA-457D-BD6B-2E47BFC0077C}"/>
    <cellStyle name="Normal 4 2 4 3 3 4 3" xfId="35600" xr:uid="{F136067E-D956-4B74-AE59-CB1553CE2B82}"/>
    <cellStyle name="Normal 4 2 4 3 3 5" xfId="10259" xr:uid="{C75A6F7D-1437-4DBF-B99C-ADCE0246E099}"/>
    <cellStyle name="Normal 4 2 4 3 3 6" xfId="27153" xr:uid="{FC5B6183-534A-4FD1-9D3F-51F01F2DE676}"/>
    <cellStyle name="Normal 4 2 4 3 4" xfId="1256" xr:uid="{00000000-0005-0000-0000-000096130000}"/>
    <cellStyle name="Normal 4 2 4 3 4 2" xfId="3486" xr:uid="{00000000-0005-0000-0000-000097130000}"/>
    <cellStyle name="Normal 4 2 4 3 4 2 2" xfId="7708" xr:uid="{00000000-0005-0000-0000-000098130000}"/>
    <cellStyle name="Normal 4 2 4 3 4 2 2 2" xfId="25481" xr:uid="{4FF5FFBA-467B-4533-AA7A-1734951093BC}"/>
    <cellStyle name="Normal 4 2 4 3 4 2 2 2 2" xfId="42375" xr:uid="{17BE2AF5-5AD5-4B3E-A78E-A8494F65358E}"/>
    <cellStyle name="Normal 4 2 4 3 4 2 2 3" xfId="17034" xr:uid="{9AD6F00C-8341-43A4-991A-02B9BD0E0B8D}"/>
    <cellStyle name="Normal 4 2 4 3 4 2 2 4" xfId="33928" xr:uid="{C3284A61-4E2F-4F7B-86F0-8A962261F303}"/>
    <cellStyle name="Normal 4 2 4 3 4 2 3" xfId="21264" xr:uid="{0505531B-8AE0-4135-A5CA-9068FAF191F4}"/>
    <cellStyle name="Normal 4 2 4 3 4 2 3 2" xfId="38158" xr:uid="{D786ABDF-EF62-4F5B-B742-E82019BAF543}"/>
    <cellStyle name="Normal 4 2 4 3 4 2 4" xfId="12817" xr:uid="{0E0D9462-E9DF-411A-9475-39A3D1D17C7F}"/>
    <cellStyle name="Normal 4 2 4 3 4 2 5" xfId="29711" xr:uid="{8C5E90D6-2EC0-4AB0-BDF6-0E93340357EB}"/>
    <cellStyle name="Normal 4 2 4 3 4 3" xfId="5563" xr:uid="{00000000-0005-0000-0000-000099130000}"/>
    <cellStyle name="Normal 4 2 4 3 4 3 2" xfId="23336" xr:uid="{769C9FEF-4733-4B4A-8E2E-67490A0839DF}"/>
    <cellStyle name="Normal 4 2 4 3 4 3 2 2" xfId="40230" xr:uid="{034E92CE-4CE6-4B68-B3EE-3B0DB093751E}"/>
    <cellStyle name="Normal 4 2 4 3 4 3 3" xfId="14889" xr:uid="{E00B2CAD-B753-4575-8809-A334E8E85035}"/>
    <cellStyle name="Normal 4 2 4 3 4 3 4" xfId="31783" xr:uid="{0FC74A70-391A-4494-AD10-D5F6DB518EAB}"/>
    <cellStyle name="Normal 4 2 4 3 4 4" xfId="19119" xr:uid="{00B8F785-7E74-4DC8-9218-AF0DCA00AECB}"/>
    <cellStyle name="Normal 4 2 4 3 4 4 2" xfId="36013" xr:uid="{46BA6E85-28CB-4FB7-9824-2FF50B883C38}"/>
    <cellStyle name="Normal 4 2 4 3 4 5" xfId="10672" xr:uid="{68337219-1AFE-449C-9E65-1B5AD0318693}"/>
    <cellStyle name="Normal 4 2 4 3 4 6" xfId="27566" xr:uid="{CCD0F019-543E-4812-97B0-77282A2752DC}"/>
    <cellStyle name="Normal 4 2 4 3 5" xfId="1669" xr:uid="{00000000-0005-0000-0000-00009A130000}"/>
    <cellStyle name="Normal 4 2 4 3 5 2" xfId="3899" xr:uid="{00000000-0005-0000-0000-00009B130000}"/>
    <cellStyle name="Normal 4 2 4 3 5 2 2" xfId="8121" xr:uid="{00000000-0005-0000-0000-00009C130000}"/>
    <cellStyle name="Normal 4 2 4 3 5 2 2 2" xfId="25894" xr:uid="{A700972A-6F7A-4908-8994-397934F6D1F4}"/>
    <cellStyle name="Normal 4 2 4 3 5 2 2 2 2" xfId="42788" xr:uid="{FCA8E6DE-B768-4E29-8048-8D1898B10D0C}"/>
    <cellStyle name="Normal 4 2 4 3 5 2 2 3" xfId="17447" xr:uid="{CFE5F7D6-D0E9-4E3A-B5F0-8B0C0F0D17A3}"/>
    <cellStyle name="Normal 4 2 4 3 5 2 2 4" xfId="34341" xr:uid="{B6BCC1F2-3F2A-4A6A-B838-7FB37A7B9550}"/>
    <cellStyle name="Normal 4 2 4 3 5 2 3" xfId="21677" xr:uid="{79C5D0BD-546F-4180-AC45-792B09FFDE3F}"/>
    <cellStyle name="Normal 4 2 4 3 5 2 3 2" xfId="38571" xr:uid="{190C9841-AFC9-49B0-834B-4666B80F2518}"/>
    <cellStyle name="Normal 4 2 4 3 5 2 4" xfId="13230" xr:uid="{B11B5E4A-6176-4104-80BB-256DBAC0BD47}"/>
    <cellStyle name="Normal 4 2 4 3 5 2 5" xfId="30124" xr:uid="{72C3A4E4-933E-40CA-AABD-1A2FF96A090B}"/>
    <cellStyle name="Normal 4 2 4 3 5 3" xfId="5976" xr:uid="{00000000-0005-0000-0000-00009D130000}"/>
    <cellStyle name="Normal 4 2 4 3 5 3 2" xfId="23749" xr:uid="{8B760730-5D38-451C-A4BA-67722985DEE7}"/>
    <cellStyle name="Normal 4 2 4 3 5 3 2 2" xfId="40643" xr:uid="{81AA4296-F420-4015-B0F7-B6FFB9663C0D}"/>
    <cellStyle name="Normal 4 2 4 3 5 3 3" xfId="15302" xr:uid="{C5EE4E4C-47BC-436D-A116-73B9AABF0756}"/>
    <cellStyle name="Normal 4 2 4 3 5 3 4" xfId="32196" xr:uid="{54C264F5-3114-4272-8F2D-4B5D8BE7DF95}"/>
    <cellStyle name="Normal 4 2 4 3 5 4" xfId="19532" xr:uid="{85739AC2-FD36-425F-985D-6314261DD7C5}"/>
    <cellStyle name="Normal 4 2 4 3 5 4 2" xfId="36426" xr:uid="{28AE3057-B1A1-4CB5-94A9-C5AEAF4115A5}"/>
    <cellStyle name="Normal 4 2 4 3 5 5" xfId="11085" xr:uid="{E501624A-6068-4060-A660-C4F8B3709969}"/>
    <cellStyle name="Normal 4 2 4 3 5 6" xfId="27979" xr:uid="{B75B594C-4A2C-4323-A7F3-BBD2309702F3}"/>
    <cellStyle name="Normal 4 2 4 3 6" xfId="2083" xr:uid="{00000000-0005-0000-0000-00009E130000}"/>
    <cellStyle name="Normal 4 2 4 3 6 2" xfId="4312" xr:uid="{00000000-0005-0000-0000-00009F130000}"/>
    <cellStyle name="Normal 4 2 4 3 6 2 2" xfId="8534" xr:uid="{00000000-0005-0000-0000-0000A0130000}"/>
    <cellStyle name="Normal 4 2 4 3 6 2 2 2" xfId="26307" xr:uid="{AFB9517B-C72F-45A6-9568-21B72118D7D5}"/>
    <cellStyle name="Normal 4 2 4 3 6 2 2 2 2" xfId="43201" xr:uid="{72842983-1D6D-493A-9B18-949358E5D04A}"/>
    <cellStyle name="Normal 4 2 4 3 6 2 2 3" xfId="17860" xr:uid="{E7F4D056-A849-4009-B267-7EAEAF75F76D}"/>
    <cellStyle name="Normal 4 2 4 3 6 2 2 4" xfId="34754" xr:uid="{A32F9F2C-5193-4C46-997B-BAEE79F84E57}"/>
    <cellStyle name="Normal 4 2 4 3 6 2 3" xfId="22090" xr:uid="{70FC6F07-03ED-421E-8F3B-833928C77807}"/>
    <cellStyle name="Normal 4 2 4 3 6 2 3 2" xfId="38984" xr:uid="{959432B6-BE69-429C-BA28-325274495BE7}"/>
    <cellStyle name="Normal 4 2 4 3 6 2 4" xfId="13643" xr:uid="{8987486C-C9C2-4441-BD33-E600DA14AEF3}"/>
    <cellStyle name="Normal 4 2 4 3 6 2 5" xfId="30537" xr:uid="{7E94EBD8-08CA-421C-9A9D-D4C2A59CA362}"/>
    <cellStyle name="Normal 4 2 4 3 6 3" xfId="6389" xr:uid="{00000000-0005-0000-0000-0000A1130000}"/>
    <cellStyle name="Normal 4 2 4 3 6 3 2" xfId="24162" xr:uid="{514CB856-D433-4941-8AEA-588984A6C7F8}"/>
    <cellStyle name="Normal 4 2 4 3 6 3 2 2" xfId="41056" xr:uid="{7691A1CC-E94B-4FAA-8DAF-CBAB4BBBB4AD}"/>
    <cellStyle name="Normal 4 2 4 3 6 3 3" xfId="15715" xr:uid="{5D3ECFA2-B081-4510-9D4B-9FA801CA3B0C}"/>
    <cellStyle name="Normal 4 2 4 3 6 3 4" xfId="32609" xr:uid="{BB435B02-F0AB-4B98-AE41-7E9BDED18DD4}"/>
    <cellStyle name="Normal 4 2 4 3 6 4" xfId="19945" xr:uid="{C453A4C3-A82F-4588-BD4C-F847D39EC015}"/>
    <cellStyle name="Normal 4 2 4 3 6 4 2" xfId="36839" xr:uid="{4BF74131-587B-4D49-8A08-768B0ED6DFB7}"/>
    <cellStyle name="Normal 4 2 4 3 6 5" xfId="11498" xr:uid="{75D41F7C-E4BB-4F73-BE06-A3FB7B70449B}"/>
    <cellStyle name="Normal 4 2 4 3 6 6" xfId="28392" xr:uid="{78F9D63E-9856-47E6-A3DA-04B4A096D665}"/>
    <cellStyle name="Normal 4 2 4 3 7" xfId="2519" xr:uid="{00000000-0005-0000-0000-0000A2130000}"/>
    <cellStyle name="Normal 4 2 4 3 7 2" xfId="6802" xr:uid="{00000000-0005-0000-0000-0000A3130000}"/>
    <cellStyle name="Normal 4 2 4 3 7 2 2" xfId="24575" xr:uid="{8FEF5A6A-6FBE-4531-9DF8-8CE49E3ED82B}"/>
    <cellStyle name="Normal 4 2 4 3 7 2 2 2" xfId="41469" xr:uid="{5CA40EB3-100B-44DC-BEF2-26ED85F6E5A8}"/>
    <cellStyle name="Normal 4 2 4 3 7 2 3" xfId="16128" xr:uid="{D34E30B4-C4AE-4986-868B-6F778B4AC3D1}"/>
    <cellStyle name="Normal 4 2 4 3 7 2 4" xfId="33022" xr:uid="{DB35BFCE-A9FA-4069-B16E-FA7FF8C72960}"/>
    <cellStyle name="Normal 4 2 4 3 7 3" xfId="20358" xr:uid="{19D41ECA-C602-41D6-B904-7E4BEF1675E2}"/>
    <cellStyle name="Normal 4 2 4 3 7 3 2" xfId="37252" xr:uid="{E84B0057-A6C7-42A6-B3E5-F168AFC75F26}"/>
    <cellStyle name="Normal 4 2 4 3 7 4" xfId="11911" xr:uid="{E32F2F0B-B45F-45C5-852E-3AD068C72F14}"/>
    <cellStyle name="Normal 4 2 4 3 7 5" xfId="28805" xr:uid="{887578B9-26C3-4F8A-836D-E333F7CA31A7}"/>
    <cellStyle name="Normal 4 2 4 3 8" xfId="4737" xr:uid="{00000000-0005-0000-0000-0000A4130000}"/>
    <cellStyle name="Normal 4 2 4 3 8 2" xfId="22510" xr:uid="{DFC90C10-1B27-4BF4-9B70-DCDE0754B49A}"/>
    <cellStyle name="Normal 4 2 4 3 8 2 2" xfId="39404" xr:uid="{550AFC7C-23F8-4BF7-949C-9535A0F2EA8B}"/>
    <cellStyle name="Normal 4 2 4 3 8 3" xfId="14063" xr:uid="{FED07D1F-B91C-452B-9FFF-678E61151FB1}"/>
    <cellStyle name="Normal 4 2 4 3 8 4" xfId="30957" xr:uid="{32C6C59F-773B-4AB9-A08C-7B0D8ED3E2F2}"/>
    <cellStyle name="Normal 4 2 4 3 9" xfId="8878" xr:uid="{B73EE68A-BBFC-4E7A-B773-E14FCCFC8837}"/>
    <cellStyle name="Normal 4 2 4 3 9 2" xfId="18293" xr:uid="{1C3DDFE1-2A62-49F3-8E64-1C11EECDBF81}"/>
    <cellStyle name="Normal 4 2 4 3 9 3" xfId="35187" xr:uid="{18C3E554-F2FD-4B51-A298-1F622C43F73C}"/>
    <cellStyle name="Normal 4 2 4 4" xfId="362" xr:uid="{00000000-0005-0000-0000-0000A5130000}"/>
    <cellStyle name="Normal 4 2 4 4 10" xfId="26742" xr:uid="{ACF41406-18C9-4993-96E7-7C987F84602F}"/>
    <cellStyle name="Normal 4 2 4 4 2" xfId="838" xr:uid="{00000000-0005-0000-0000-0000A6130000}"/>
    <cellStyle name="Normal 4 2 4 4 2 2" xfId="3075" xr:uid="{00000000-0005-0000-0000-0000A7130000}"/>
    <cellStyle name="Normal 4 2 4 4 2 2 2" xfId="7297" xr:uid="{00000000-0005-0000-0000-0000A8130000}"/>
    <cellStyle name="Normal 4 2 4 4 2 2 2 2" xfId="25070" xr:uid="{2C271FB5-12B5-4825-8F96-C9F194E5266D}"/>
    <cellStyle name="Normal 4 2 4 4 2 2 2 2 2" xfId="41964" xr:uid="{4C36812D-ACC6-4151-98E0-9A6D788A921F}"/>
    <cellStyle name="Normal 4 2 4 4 2 2 2 3" xfId="16623" xr:uid="{12EFB8F6-052F-4638-920C-ADD4051F0463}"/>
    <cellStyle name="Normal 4 2 4 4 2 2 2 4" xfId="33517" xr:uid="{6A852CC4-C0B6-4822-AAAF-1ABB6AB5A5E0}"/>
    <cellStyle name="Normal 4 2 4 4 2 2 3" xfId="20853" xr:uid="{5E55C579-3F9B-4546-9CB0-EE87A7BF8382}"/>
    <cellStyle name="Normal 4 2 4 4 2 2 3 2" xfId="37747" xr:uid="{82B02981-488C-477A-BD3B-859857F0CC0F}"/>
    <cellStyle name="Normal 4 2 4 4 2 2 4" xfId="12406" xr:uid="{6A2E534C-1BC4-426C-B7AF-D21430C73D96}"/>
    <cellStyle name="Normal 4 2 4 4 2 2 5" xfId="29300" xr:uid="{8FA58645-7137-4505-8343-6136149E4176}"/>
    <cellStyle name="Normal 4 2 4 4 2 3" xfId="5152" xr:uid="{00000000-0005-0000-0000-0000A9130000}"/>
    <cellStyle name="Normal 4 2 4 4 2 3 2" xfId="22925" xr:uid="{16D3D2B5-E637-46D9-9456-F1F9F010DBD4}"/>
    <cellStyle name="Normal 4 2 4 4 2 3 2 2" xfId="39819" xr:uid="{67273766-0500-4983-982A-5C84AE8BD9E4}"/>
    <cellStyle name="Normal 4 2 4 4 2 3 3" xfId="14478" xr:uid="{BF22748B-B9D7-4911-9215-F5D18B897EC3}"/>
    <cellStyle name="Normal 4 2 4 4 2 3 4" xfId="31372" xr:uid="{F1738836-26D4-4349-A55E-4AE0451C1BE0}"/>
    <cellStyle name="Normal 4 2 4 4 2 4" xfId="9407" xr:uid="{5D8D6A7A-388E-41EC-80E9-28307FA015D6}"/>
    <cellStyle name="Normal 4 2 4 4 2 4 2" xfId="18708" xr:uid="{E9714727-F7BE-4F47-857C-0DB79F42314F}"/>
    <cellStyle name="Normal 4 2 4 4 2 4 3" xfId="35602" xr:uid="{B40EEF0B-EB3A-4B1F-80AB-73F6CAFC24DA}"/>
    <cellStyle name="Normal 4 2 4 4 2 5" xfId="10261" xr:uid="{18E5753B-91F6-44EA-8A81-571FE992BCE5}"/>
    <cellStyle name="Normal 4 2 4 4 2 6" xfId="27155" xr:uid="{1F76E200-FAE8-4DDD-A048-A918D7F69ADD}"/>
    <cellStyle name="Normal 4 2 4 4 3" xfId="1258" xr:uid="{00000000-0005-0000-0000-0000AA130000}"/>
    <cellStyle name="Normal 4 2 4 4 3 2" xfId="3488" xr:uid="{00000000-0005-0000-0000-0000AB130000}"/>
    <cellStyle name="Normal 4 2 4 4 3 2 2" xfId="7710" xr:uid="{00000000-0005-0000-0000-0000AC130000}"/>
    <cellStyle name="Normal 4 2 4 4 3 2 2 2" xfId="25483" xr:uid="{0A89BB3B-F145-4C3C-A139-EC75321C7914}"/>
    <cellStyle name="Normal 4 2 4 4 3 2 2 2 2" xfId="42377" xr:uid="{97D95504-689B-4A77-9176-612C268C54AA}"/>
    <cellStyle name="Normal 4 2 4 4 3 2 2 3" xfId="17036" xr:uid="{C73BE596-1CA1-4414-AF83-90233D8EFB4A}"/>
    <cellStyle name="Normal 4 2 4 4 3 2 2 4" xfId="33930" xr:uid="{3A525D81-7815-451F-BB47-1DAE5CB589FF}"/>
    <cellStyle name="Normal 4 2 4 4 3 2 3" xfId="21266" xr:uid="{554E942E-77FC-4491-9CA9-738F8EB5DD51}"/>
    <cellStyle name="Normal 4 2 4 4 3 2 3 2" xfId="38160" xr:uid="{6F650467-DB3E-4636-A277-F7CC97BC140B}"/>
    <cellStyle name="Normal 4 2 4 4 3 2 4" xfId="12819" xr:uid="{B5CF0AD6-D14E-4462-96EB-C31610930714}"/>
    <cellStyle name="Normal 4 2 4 4 3 2 5" xfId="29713" xr:uid="{B1F61D6B-347C-44B9-80EA-50D2D9DE512E}"/>
    <cellStyle name="Normal 4 2 4 4 3 3" xfId="5565" xr:uid="{00000000-0005-0000-0000-0000AD130000}"/>
    <cellStyle name="Normal 4 2 4 4 3 3 2" xfId="23338" xr:uid="{974F7F65-206E-48F0-97A0-49902742D96B}"/>
    <cellStyle name="Normal 4 2 4 4 3 3 2 2" xfId="40232" xr:uid="{8AC3B64C-6745-4423-8130-C31E55B3C81F}"/>
    <cellStyle name="Normal 4 2 4 4 3 3 3" xfId="14891" xr:uid="{F5BCF99C-4D65-431D-9CDA-308EEF382F67}"/>
    <cellStyle name="Normal 4 2 4 4 3 3 4" xfId="31785" xr:uid="{F13B0A35-9D3C-4292-96BC-36BB3651B729}"/>
    <cellStyle name="Normal 4 2 4 4 3 4" xfId="19121" xr:uid="{826CA123-FB48-4AF3-B9BC-1A1644682B59}"/>
    <cellStyle name="Normal 4 2 4 4 3 4 2" xfId="36015" xr:uid="{1C808D5D-ACE5-4255-8252-D35FB19411BE}"/>
    <cellStyle name="Normal 4 2 4 4 3 5" xfId="10674" xr:uid="{05066DCC-7763-4285-A87F-D47FF36794C2}"/>
    <cellStyle name="Normal 4 2 4 4 3 6" xfId="27568" xr:uid="{A11C853D-261B-4E6F-A066-93587DA0E781}"/>
    <cellStyle name="Normal 4 2 4 4 4" xfId="1671" xr:uid="{00000000-0005-0000-0000-0000AE130000}"/>
    <cellStyle name="Normal 4 2 4 4 4 2" xfId="3901" xr:uid="{00000000-0005-0000-0000-0000AF130000}"/>
    <cellStyle name="Normal 4 2 4 4 4 2 2" xfId="8123" xr:uid="{00000000-0005-0000-0000-0000B0130000}"/>
    <cellStyle name="Normal 4 2 4 4 4 2 2 2" xfId="25896" xr:uid="{6CB3F322-3E32-4622-AC3E-95C8AADD6D7A}"/>
    <cellStyle name="Normal 4 2 4 4 4 2 2 2 2" xfId="42790" xr:uid="{20DFBA76-6243-43B6-B9A2-E0A8D2A85D47}"/>
    <cellStyle name="Normal 4 2 4 4 4 2 2 3" xfId="17449" xr:uid="{7F2DDFBE-5311-4ADC-89A7-165F0CD6D815}"/>
    <cellStyle name="Normal 4 2 4 4 4 2 2 4" xfId="34343" xr:uid="{402C4064-806F-4005-A0A5-DDD4ACFBB0A0}"/>
    <cellStyle name="Normal 4 2 4 4 4 2 3" xfId="21679" xr:uid="{8DAFE270-01CB-4D89-B903-B95204361C31}"/>
    <cellStyle name="Normal 4 2 4 4 4 2 3 2" xfId="38573" xr:uid="{384B8A4D-C01E-4962-A691-697D64C54734}"/>
    <cellStyle name="Normal 4 2 4 4 4 2 4" xfId="13232" xr:uid="{03EFA79C-1018-4C76-8E97-2B1538430E8A}"/>
    <cellStyle name="Normal 4 2 4 4 4 2 5" xfId="30126" xr:uid="{3C7E7BD4-CB5A-47C8-B5F9-4B4893898B42}"/>
    <cellStyle name="Normal 4 2 4 4 4 3" xfId="5978" xr:uid="{00000000-0005-0000-0000-0000B1130000}"/>
    <cellStyle name="Normal 4 2 4 4 4 3 2" xfId="23751" xr:uid="{70B529C6-96C8-47B2-8B63-5B316A1D3862}"/>
    <cellStyle name="Normal 4 2 4 4 4 3 2 2" xfId="40645" xr:uid="{8D756480-4431-4488-99C0-2234423B2E14}"/>
    <cellStyle name="Normal 4 2 4 4 4 3 3" xfId="15304" xr:uid="{4F71D157-A1DD-4C96-8DD6-4A6A2A7E66AA}"/>
    <cellStyle name="Normal 4 2 4 4 4 3 4" xfId="32198" xr:uid="{414E6BF1-7C73-4349-B44E-7C7358138EBA}"/>
    <cellStyle name="Normal 4 2 4 4 4 4" xfId="19534" xr:uid="{AB484D99-5E61-4184-98F3-2E5F6276EA6B}"/>
    <cellStyle name="Normal 4 2 4 4 4 4 2" xfId="36428" xr:uid="{30858377-56DA-44CD-9A02-308B9AB7601D}"/>
    <cellStyle name="Normal 4 2 4 4 4 5" xfId="11087" xr:uid="{DE4D84E2-16C6-425E-83AB-42AFAED271BA}"/>
    <cellStyle name="Normal 4 2 4 4 4 6" xfId="27981" xr:uid="{905A6336-134F-4C13-909C-A8C6E1B3C6DE}"/>
    <cellStyle name="Normal 4 2 4 4 5" xfId="2085" xr:uid="{00000000-0005-0000-0000-0000B2130000}"/>
    <cellStyle name="Normal 4 2 4 4 5 2" xfId="4314" xr:uid="{00000000-0005-0000-0000-0000B3130000}"/>
    <cellStyle name="Normal 4 2 4 4 5 2 2" xfId="8536" xr:uid="{00000000-0005-0000-0000-0000B4130000}"/>
    <cellStyle name="Normal 4 2 4 4 5 2 2 2" xfId="26309" xr:uid="{8E233E30-D3EF-4215-B22A-A1290D955F0A}"/>
    <cellStyle name="Normal 4 2 4 4 5 2 2 2 2" xfId="43203" xr:uid="{48C3985D-3271-47D3-9F73-3A809AFB520D}"/>
    <cellStyle name="Normal 4 2 4 4 5 2 2 3" xfId="17862" xr:uid="{66B7F817-4CAE-4097-B63A-3B437C139772}"/>
    <cellStyle name="Normal 4 2 4 4 5 2 2 4" xfId="34756" xr:uid="{5C229148-AC0F-4305-9494-8868BB6CBBA5}"/>
    <cellStyle name="Normal 4 2 4 4 5 2 3" xfId="22092" xr:uid="{D63BA165-ACF4-409C-8D5E-DAC2B9C88755}"/>
    <cellStyle name="Normal 4 2 4 4 5 2 3 2" xfId="38986" xr:uid="{5C2E483A-85E1-44DC-8570-49D431D9E558}"/>
    <cellStyle name="Normal 4 2 4 4 5 2 4" xfId="13645" xr:uid="{5B4B9B31-4D47-4CE6-9EFF-AA59B840F6BB}"/>
    <cellStyle name="Normal 4 2 4 4 5 2 5" xfId="30539" xr:uid="{B6B0327E-672A-4C30-85D0-0456EF6D3715}"/>
    <cellStyle name="Normal 4 2 4 4 5 3" xfId="6391" xr:uid="{00000000-0005-0000-0000-0000B5130000}"/>
    <cellStyle name="Normal 4 2 4 4 5 3 2" xfId="24164" xr:uid="{EB3FB0F7-7227-4A7E-A36F-2EA26E51D141}"/>
    <cellStyle name="Normal 4 2 4 4 5 3 2 2" xfId="41058" xr:uid="{65631546-2DD7-4206-9B75-D9ED54AC3E8E}"/>
    <cellStyle name="Normal 4 2 4 4 5 3 3" xfId="15717" xr:uid="{EF148BDB-12FD-43B2-8217-70CB96AD29A2}"/>
    <cellStyle name="Normal 4 2 4 4 5 3 4" xfId="32611" xr:uid="{55B0D224-93B9-4252-AC1B-3B1BA5CB422C}"/>
    <cellStyle name="Normal 4 2 4 4 5 4" xfId="19947" xr:uid="{AAD77D8F-6557-4C72-BA8B-4143F30344BE}"/>
    <cellStyle name="Normal 4 2 4 4 5 4 2" xfId="36841" xr:uid="{08B6EBBF-253F-4DD9-87AA-C73B7B9A5863}"/>
    <cellStyle name="Normal 4 2 4 4 5 5" xfId="11500" xr:uid="{3151494F-54B5-4127-BF9E-7302BBA3C5BC}"/>
    <cellStyle name="Normal 4 2 4 4 5 6" xfId="28394" xr:uid="{017BD79E-00CF-4BA3-844C-CD43D3B1C6B6}"/>
    <cellStyle name="Normal 4 2 4 4 6" xfId="2521" xr:uid="{00000000-0005-0000-0000-0000B6130000}"/>
    <cellStyle name="Normal 4 2 4 4 6 2" xfId="6804" xr:uid="{00000000-0005-0000-0000-0000B7130000}"/>
    <cellStyle name="Normal 4 2 4 4 6 2 2" xfId="24577" xr:uid="{AFC01236-6644-442B-8CCD-23250CC47729}"/>
    <cellStyle name="Normal 4 2 4 4 6 2 2 2" xfId="41471" xr:uid="{A0B72BEC-0B52-4619-8C36-46D0ADB09C18}"/>
    <cellStyle name="Normal 4 2 4 4 6 2 3" xfId="16130" xr:uid="{431F25E3-690B-4D13-B63D-29616BCE2DDA}"/>
    <cellStyle name="Normal 4 2 4 4 6 2 4" xfId="33024" xr:uid="{8244C384-57AB-4CEF-8F84-1A010C9746FA}"/>
    <cellStyle name="Normal 4 2 4 4 6 3" xfId="20360" xr:uid="{1635BB0F-93EE-41AF-926C-28CEA7469D56}"/>
    <cellStyle name="Normal 4 2 4 4 6 3 2" xfId="37254" xr:uid="{01447B67-488C-421B-8596-A2909E2FD125}"/>
    <cellStyle name="Normal 4 2 4 4 6 4" xfId="11913" xr:uid="{5CF77EFC-372D-41B5-8F79-C806B666DD97}"/>
    <cellStyle name="Normal 4 2 4 4 6 5" xfId="28807" xr:uid="{68B7DA9D-95BE-4C60-8B34-25B1227ED768}"/>
    <cellStyle name="Normal 4 2 4 4 7" xfId="4739" xr:uid="{00000000-0005-0000-0000-0000B8130000}"/>
    <cellStyle name="Normal 4 2 4 4 7 2" xfId="22512" xr:uid="{87BA38D6-ACC6-412E-BFF4-31EE287DE523}"/>
    <cellStyle name="Normal 4 2 4 4 7 2 2" xfId="39406" xr:uid="{C2FB7423-0395-4F5F-8C1D-8024971E4136}"/>
    <cellStyle name="Normal 4 2 4 4 7 3" xfId="14065" xr:uid="{A962F543-881D-4E7F-B341-322A02D25164}"/>
    <cellStyle name="Normal 4 2 4 4 7 4" xfId="30959" xr:uid="{DCDEE939-6F8C-47E0-9FF8-3C5FCD893E2A}"/>
    <cellStyle name="Normal 4 2 4 4 8" xfId="8982" xr:uid="{4C273C9B-E12E-4EF2-812F-666600229207}"/>
    <cellStyle name="Normal 4 2 4 4 8 2" xfId="18295" xr:uid="{9B9B349D-949C-4ADE-A754-2DFD6E189C6D}"/>
    <cellStyle name="Normal 4 2 4 4 8 3" xfId="35189" xr:uid="{634F5005-0988-45B9-B12C-791192A6B40A}"/>
    <cellStyle name="Normal 4 2 4 4 9" xfId="9848" xr:uid="{D3F445C4-4CF9-4C95-AF68-E90A1E101267}"/>
    <cellStyle name="Normal 4 2 4 5" xfId="831" xr:uid="{00000000-0005-0000-0000-0000B9130000}"/>
    <cellStyle name="Normal 4 2 4 5 2" xfId="3068" xr:uid="{00000000-0005-0000-0000-0000BA130000}"/>
    <cellStyle name="Normal 4 2 4 5 2 2" xfId="7290" xr:uid="{00000000-0005-0000-0000-0000BB130000}"/>
    <cellStyle name="Normal 4 2 4 5 2 2 2" xfId="25063" xr:uid="{105A2502-14ED-4838-95E6-CFB4187F5C4B}"/>
    <cellStyle name="Normal 4 2 4 5 2 2 2 2" xfId="41957" xr:uid="{128763BF-12AD-4B4B-89DF-9F7B7AB148A2}"/>
    <cellStyle name="Normal 4 2 4 5 2 2 3" xfId="16616" xr:uid="{D697D35A-58DF-4782-92BB-974A70BBF746}"/>
    <cellStyle name="Normal 4 2 4 5 2 2 4" xfId="33510" xr:uid="{C17E673C-316D-4992-9B62-B84BD093B5D4}"/>
    <cellStyle name="Normal 4 2 4 5 2 3" xfId="20846" xr:uid="{EDD415E4-5279-4554-B223-121D98B7311C}"/>
    <cellStyle name="Normal 4 2 4 5 2 3 2" xfId="37740" xr:uid="{D6BB8BFC-0C95-4302-8247-51539905DEF5}"/>
    <cellStyle name="Normal 4 2 4 5 2 4" xfId="12399" xr:uid="{0F4F52D8-B1DF-407D-B053-A1063E1E4CD4}"/>
    <cellStyle name="Normal 4 2 4 5 2 5" xfId="29293" xr:uid="{C1FB70A5-54E2-4875-8612-57BDDE79C731}"/>
    <cellStyle name="Normal 4 2 4 5 3" xfId="5145" xr:uid="{00000000-0005-0000-0000-0000BC130000}"/>
    <cellStyle name="Normal 4 2 4 5 3 2" xfId="22918" xr:uid="{FF46BCC7-3096-408A-830F-5A0355D67495}"/>
    <cellStyle name="Normal 4 2 4 5 3 2 2" xfId="39812" xr:uid="{3EC9B803-2DB9-4B58-938D-60E53079A191}"/>
    <cellStyle name="Normal 4 2 4 5 3 3" xfId="14471" xr:uid="{3E2359D6-6E38-4CE5-8694-30FFCB198DEE}"/>
    <cellStyle name="Normal 4 2 4 5 3 4" xfId="31365" xr:uid="{B7E9CDA4-ABE9-4EA2-A3DC-861364B97D34}"/>
    <cellStyle name="Normal 4 2 4 5 4" xfId="9199" xr:uid="{1A9A2DC3-2FEA-4A30-A92C-84708E9B2741}"/>
    <cellStyle name="Normal 4 2 4 5 4 2" xfId="18701" xr:uid="{74EAAAB0-9BAF-4FE1-90AC-0626EF211D29}"/>
    <cellStyle name="Normal 4 2 4 5 4 3" xfId="35595" xr:uid="{485D5522-E1DE-4BD6-92FC-1F5EF2F3C160}"/>
    <cellStyle name="Normal 4 2 4 5 5" xfId="10254" xr:uid="{E4C80384-7610-4B5A-93C5-C9142E695FA4}"/>
    <cellStyle name="Normal 4 2 4 5 6" xfId="27148" xr:uid="{1911789D-44FB-4A88-AFD4-BA2EF008B7BA}"/>
    <cellStyle name="Normal 4 2 4 6" xfId="1251" xr:uid="{00000000-0005-0000-0000-0000BD130000}"/>
    <cellStyle name="Normal 4 2 4 6 2" xfId="3481" xr:uid="{00000000-0005-0000-0000-0000BE130000}"/>
    <cellStyle name="Normal 4 2 4 6 2 2" xfId="7703" xr:uid="{00000000-0005-0000-0000-0000BF130000}"/>
    <cellStyle name="Normal 4 2 4 6 2 2 2" xfId="25476" xr:uid="{84742712-1A9A-4CDD-9BC8-09645E812259}"/>
    <cellStyle name="Normal 4 2 4 6 2 2 2 2" xfId="42370" xr:uid="{712C54AB-4E71-49D9-80FB-E46E050A6A08}"/>
    <cellStyle name="Normal 4 2 4 6 2 2 3" xfId="17029" xr:uid="{304496C6-448B-4F76-B0D1-1C036BBF41A5}"/>
    <cellStyle name="Normal 4 2 4 6 2 2 4" xfId="33923" xr:uid="{63035A64-E91A-420D-8383-56BDB4E8C67F}"/>
    <cellStyle name="Normal 4 2 4 6 2 3" xfId="21259" xr:uid="{4DB0EC48-8DAC-4814-AA6A-78F1FB6CF5CF}"/>
    <cellStyle name="Normal 4 2 4 6 2 3 2" xfId="38153" xr:uid="{94DD1513-EC93-4366-9B6E-0B38877A6E61}"/>
    <cellStyle name="Normal 4 2 4 6 2 4" xfId="12812" xr:uid="{BA8A8125-7A2A-4444-841F-332F2D0794CC}"/>
    <cellStyle name="Normal 4 2 4 6 2 5" xfId="29706" xr:uid="{725074C4-84F0-49EE-835A-D3EEE7B3061E}"/>
    <cellStyle name="Normal 4 2 4 6 3" xfId="5558" xr:uid="{00000000-0005-0000-0000-0000C0130000}"/>
    <cellStyle name="Normal 4 2 4 6 3 2" xfId="23331" xr:uid="{DB613F4C-FE4A-4F2F-9791-D56993A75AEC}"/>
    <cellStyle name="Normal 4 2 4 6 3 2 2" xfId="40225" xr:uid="{32687B6F-B873-4AA0-BFB8-53E4DF02553E}"/>
    <cellStyle name="Normal 4 2 4 6 3 3" xfId="14884" xr:uid="{390E6D7B-F8BD-46EE-84C2-B51A6A360FDB}"/>
    <cellStyle name="Normal 4 2 4 6 3 4" xfId="31778" xr:uid="{01DD9D69-D925-47F3-B799-E79B2DBE0A0C}"/>
    <cellStyle name="Normal 4 2 4 6 4" xfId="19114" xr:uid="{FFB0A794-1678-44B8-BF07-E4E4726BCB8B}"/>
    <cellStyle name="Normal 4 2 4 6 4 2" xfId="36008" xr:uid="{F9DA2E23-CDF7-4EE4-ABF4-BE66B0271720}"/>
    <cellStyle name="Normal 4 2 4 6 5" xfId="10667" xr:uid="{0D5E5428-B75F-4658-A25C-A3854EA7BF55}"/>
    <cellStyle name="Normal 4 2 4 6 6" xfId="27561" xr:uid="{A3010F35-88F1-4AEC-A6A1-FB5347C5AAF7}"/>
    <cellStyle name="Normal 4 2 4 7" xfId="1664" xr:uid="{00000000-0005-0000-0000-0000C1130000}"/>
    <cellStyle name="Normal 4 2 4 7 2" xfId="3894" xr:uid="{00000000-0005-0000-0000-0000C2130000}"/>
    <cellStyle name="Normal 4 2 4 7 2 2" xfId="8116" xr:uid="{00000000-0005-0000-0000-0000C3130000}"/>
    <cellStyle name="Normal 4 2 4 7 2 2 2" xfId="25889" xr:uid="{A10677D7-D969-4C72-9586-828EA7A13834}"/>
    <cellStyle name="Normal 4 2 4 7 2 2 2 2" xfId="42783" xr:uid="{AAC8CB3A-5978-4B29-A491-6E44E60D4028}"/>
    <cellStyle name="Normal 4 2 4 7 2 2 3" xfId="17442" xr:uid="{1ACC010D-9CD3-4F16-B180-0F315CED12B2}"/>
    <cellStyle name="Normal 4 2 4 7 2 2 4" xfId="34336" xr:uid="{9893BC6C-58AF-4AD7-A550-BE9EBE1FF89B}"/>
    <cellStyle name="Normal 4 2 4 7 2 3" xfId="21672" xr:uid="{12CD665A-C6DD-40C6-87FC-24D86EA36E09}"/>
    <cellStyle name="Normal 4 2 4 7 2 3 2" xfId="38566" xr:uid="{FDC5A624-E76A-4A46-9053-AB9BFE2468AC}"/>
    <cellStyle name="Normal 4 2 4 7 2 4" xfId="13225" xr:uid="{B620EE2D-F78C-4321-89C2-54107E93EF7D}"/>
    <cellStyle name="Normal 4 2 4 7 2 5" xfId="30119" xr:uid="{03099CA1-21C3-4C36-8F01-054500C05171}"/>
    <cellStyle name="Normal 4 2 4 7 3" xfId="5971" xr:uid="{00000000-0005-0000-0000-0000C4130000}"/>
    <cellStyle name="Normal 4 2 4 7 3 2" xfId="23744" xr:uid="{60B2FF25-E062-4C36-A70E-8E5D79A26E94}"/>
    <cellStyle name="Normal 4 2 4 7 3 2 2" xfId="40638" xr:uid="{419D9E13-000B-4309-B5C5-6E742175B68D}"/>
    <cellStyle name="Normal 4 2 4 7 3 3" xfId="15297" xr:uid="{B832AA9F-83B4-4868-8C78-F64AAA5F7F39}"/>
    <cellStyle name="Normal 4 2 4 7 3 4" xfId="32191" xr:uid="{A7B4AC39-8A74-4B17-99C3-7A03A1597A75}"/>
    <cellStyle name="Normal 4 2 4 7 4" xfId="19527" xr:uid="{D70603F6-C12A-4CEB-8E2E-E3AF367EF806}"/>
    <cellStyle name="Normal 4 2 4 7 4 2" xfId="36421" xr:uid="{ADA33DEA-319F-452E-BB5F-061C5CDC3F6B}"/>
    <cellStyle name="Normal 4 2 4 7 5" xfId="11080" xr:uid="{756B0DCB-4DD9-4E6C-8345-713AFFB8D6D9}"/>
    <cellStyle name="Normal 4 2 4 7 6" xfId="27974" xr:uid="{CBA33829-8A66-418B-9B84-8C947B6C64F3}"/>
    <cellStyle name="Normal 4 2 4 8" xfId="2078" xr:uid="{00000000-0005-0000-0000-0000C5130000}"/>
    <cellStyle name="Normal 4 2 4 8 2" xfId="4307" xr:uid="{00000000-0005-0000-0000-0000C6130000}"/>
    <cellStyle name="Normal 4 2 4 8 2 2" xfId="8529" xr:uid="{00000000-0005-0000-0000-0000C7130000}"/>
    <cellStyle name="Normal 4 2 4 8 2 2 2" xfId="26302" xr:uid="{1F582014-F49C-4A39-BBC0-680BC31259F3}"/>
    <cellStyle name="Normal 4 2 4 8 2 2 2 2" xfId="43196" xr:uid="{1B131077-6C42-4409-A4CA-4563B73700EC}"/>
    <cellStyle name="Normal 4 2 4 8 2 2 3" xfId="17855" xr:uid="{04D340BA-0684-43FF-878B-8FEB438C3B58}"/>
    <cellStyle name="Normal 4 2 4 8 2 2 4" xfId="34749" xr:uid="{246F26C3-95D1-483A-A23B-C5EB820D79E3}"/>
    <cellStyle name="Normal 4 2 4 8 2 3" xfId="22085" xr:uid="{A84B20D7-A7C9-43E9-97D5-3CFC67FDFBB1}"/>
    <cellStyle name="Normal 4 2 4 8 2 3 2" xfId="38979" xr:uid="{DAD5111C-5B26-4740-9CB7-011206E07C1E}"/>
    <cellStyle name="Normal 4 2 4 8 2 4" xfId="13638" xr:uid="{BF601312-3C28-4C40-8CFB-C7FEE92EDFF8}"/>
    <cellStyle name="Normal 4 2 4 8 2 5" xfId="30532" xr:uid="{7BAB79B1-2570-4A58-8351-928B79ADAE64}"/>
    <cellStyle name="Normal 4 2 4 8 3" xfId="6384" xr:uid="{00000000-0005-0000-0000-0000C8130000}"/>
    <cellStyle name="Normal 4 2 4 8 3 2" xfId="24157" xr:uid="{F5002CFD-CBD9-4426-9761-5F7CD75DD3BB}"/>
    <cellStyle name="Normal 4 2 4 8 3 2 2" xfId="41051" xr:uid="{71ECDC6B-A4DD-4529-BD03-69D1EF133820}"/>
    <cellStyle name="Normal 4 2 4 8 3 3" xfId="15710" xr:uid="{9F5AD30D-F51D-48A0-A1AB-4E1186DA9B95}"/>
    <cellStyle name="Normal 4 2 4 8 3 4" xfId="32604" xr:uid="{333C9F89-DB3B-4AC1-B80E-9719AEF34A21}"/>
    <cellStyle name="Normal 4 2 4 8 4" xfId="19940" xr:uid="{65CFF32A-12FF-4923-A402-43110C3C6346}"/>
    <cellStyle name="Normal 4 2 4 8 4 2" xfId="36834" xr:uid="{E4AAD89F-01D4-44F9-9C5F-CC10D8EB8246}"/>
    <cellStyle name="Normal 4 2 4 8 5" xfId="11493" xr:uid="{E9F3B7F5-E772-4D70-A266-89E8D4E16DA9}"/>
    <cellStyle name="Normal 4 2 4 8 6" xfId="28387" xr:uid="{C29071B4-393E-44E6-86C4-2DE36B9701D8}"/>
    <cellStyle name="Normal 4 2 4 9" xfId="2514" xr:uid="{00000000-0005-0000-0000-0000C9130000}"/>
    <cellStyle name="Normal 4 2 4 9 2" xfId="6797" xr:uid="{00000000-0005-0000-0000-0000CA130000}"/>
    <cellStyle name="Normal 4 2 4 9 2 2" xfId="24570" xr:uid="{CAF29D76-3D1D-403C-BCEF-5F39E06D88D7}"/>
    <cellStyle name="Normal 4 2 4 9 2 2 2" xfId="41464" xr:uid="{A5C3C9BB-104B-467C-A227-B9DEB92B8615}"/>
    <cellStyle name="Normal 4 2 4 9 2 3" xfId="16123" xr:uid="{D35CECF1-C565-4FBF-8E98-B8B698D9C7F9}"/>
    <cellStyle name="Normal 4 2 4 9 2 4" xfId="33017" xr:uid="{226745F7-8158-43CA-9529-5A6DCB507747}"/>
    <cellStyle name="Normal 4 2 4 9 3" xfId="20353" xr:uid="{8E8B71C7-3D0E-44B8-ADF8-59B212EDBCCE}"/>
    <cellStyle name="Normal 4 2 4 9 3 2" xfId="37247" xr:uid="{F28D7038-D577-4ED4-81BF-3D53F0A7A8C0}"/>
    <cellStyle name="Normal 4 2 4 9 4" xfId="11906" xr:uid="{5BDC4734-76D9-43DB-9B09-07D07025F719}"/>
    <cellStyle name="Normal 4 2 4 9 5" xfId="28800" xr:uid="{D7A68F69-5BA9-4C1F-8DFF-7E08A1131FED}"/>
    <cellStyle name="Normal 4 2 5" xfId="363" xr:uid="{00000000-0005-0000-0000-0000CB130000}"/>
    <cellStyle name="Normal 4 2 5 10" xfId="9849" xr:uid="{5BBB0D82-014F-4A76-B44F-6633E1E2D3A3}"/>
    <cellStyle name="Normal 4 2 5 11" xfId="26743" xr:uid="{FBF784AF-B9DD-4087-B5E7-208B3AAD6D7F}"/>
    <cellStyle name="Normal 4 2 5 2" xfId="364" xr:uid="{00000000-0005-0000-0000-0000CC130000}"/>
    <cellStyle name="Normal 4 2 5 2 10" xfId="26744" xr:uid="{6E1E1827-E56F-486C-8C9F-110650EF259E}"/>
    <cellStyle name="Normal 4 2 5 2 2" xfId="840" xr:uid="{00000000-0005-0000-0000-0000CD130000}"/>
    <cellStyle name="Normal 4 2 5 2 2 2" xfId="3077" xr:uid="{00000000-0005-0000-0000-0000CE130000}"/>
    <cellStyle name="Normal 4 2 5 2 2 2 2" xfId="7299" xr:uid="{00000000-0005-0000-0000-0000CF130000}"/>
    <cellStyle name="Normal 4 2 5 2 2 2 2 2" xfId="25072" xr:uid="{7B31399B-66B9-4EC5-9801-630A0E2F9496}"/>
    <cellStyle name="Normal 4 2 5 2 2 2 2 2 2" xfId="41966" xr:uid="{799E9AFA-7EE1-4770-812E-1D25D3C84F22}"/>
    <cellStyle name="Normal 4 2 5 2 2 2 2 3" xfId="16625" xr:uid="{50366DAA-B12A-427C-A8CE-A611E1E80F2D}"/>
    <cellStyle name="Normal 4 2 5 2 2 2 2 4" xfId="33519" xr:uid="{867B2D04-D560-4EA9-8366-43DC6F9C0440}"/>
    <cellStyle name="Normal 4 2 5 2 2 2 3" xfId="20855" xr:uid="{223510D6-D78D-4D9A-A428-91691559D93F}"/>
    <cellStyle name="Normal 4 2 5 2 2 2 3 2" xfId="37749" xr:uid="{7B85D121-F4F0-45D6-B158-E26F266C7D84}"/>
    <cellStyle name="Normal 4 2 5 2 2 2 4" xfId="12408" xr:uid="{262359B6-1F53-407C-A43D-698E0F1CCA01}"/>
    <cellStyle name="Normal 4 2 5 2 2 2 5" xfId="29302" xr:uid="{8540DAEF-5C7D-442C-BB7B-A7335FA2B7C1}"/>
    <cellStyle name="Normal 4 2 5 2 2 3" xfId="5154" xr:uid="{00000000-0005-0000-0000-0000D0130000}"/>
    <cellStyle name="Normal 4 2 5 2 2 3 2" xfId="22927" xr:uid="{226CE071-6FA2-4000-A38B-B8154194EAFD}"/>
    <cellStyle name="Normal 4 2 5 2 2 3 2 2" xfId="39821" xr:uid="{24CB3E57-D28B-4AA8-89B7-181192D7FF1F}"/>
    <cellStyle name="Normal 4 2 5 2 2 3 3" xfId="14480" xr:uid="{06E7ED04-61DD-459F-A826-6213DCECCCF9}"/>
    <cellStyle name="Normal 4 2 5 2 2 3 4" xfId="31374" xr:uid="{41071E34-435A-44C7-B34D-91A7FAE9E86C}"/>
    <cellStyle name="Normal 4 2 5 2 2 4" xfId="9478" xr:uid="{9FEAEEC2-067D-4244-BB0F-0858128140EB}"/>
    <cellStyle name="Normal 4 2 5 2 2 4 2" xfId="18710" xr:uid="{F538D712-F4BF-46E3-9156-351BDBB2C193}"/>
    <cellStyle name="Normal 4 2 5 2 2 4 3" xfId="35604" xr:uid="{E253A2EC-752B-4161-A384-9D5FC2FFD9EF}"/>
    <cellStyle name="Normal 4 2 5 2 2 5" xfId="10263" xr:uid="{C87F6326-F1AA-4B5E-81F2-F68195629E1A}"/>
    <cellStyle name="Normal 4 2 5 2 2 6" xfId="27157" xr:uid="{20706B64-B51D-4395-9B9D-4E135FC10FE1}"/>
    <cellStyle name="Normal 4 2 5 2 3" xfId="1260" xr:uid="{00000000-0005-0000-0000-0000D1130000}"/>
    <cellStyle name="Normal 4 2 5 2 3 2" xfId="3490" xr:uid="{00000000-0005-0000-0000-0000D2130000}"/>
    <cellStyle name="Normal 4 2 5 2 3 2 2" xfId="7712" xr:uid="{00000000-0005-0000-0000-0000D3130000}"/>
    <cellStyle name="Normal 4 2 5 2 3 2 2 2" xfId="25485" xr:uid="{5AEB81E7-4109-42EB-84EF-73F81545073C}"/>
    <cellStyle name="Normal 4 2 5 2 3 2 2 2 2" xfId="42379" xr:uid="{EB5A638C-8178-4EAB-8C68-37DE8F3C5E5F}"/>
    <cellStyle name="Normal 4 2 5 2 3 2 2 3" xfId="17038" xr:uid="{EC69323A-AAF8-439B-BEF0-75D77BC48AFC}"/>
    <cellStyle name="Normal 4 2 5 2 3 2 2 4" xfId="33932" xr:uid="{DC38EA3E-B44A-40EF-BCD3-289360E1C187}"/>
    <cellStyle name="Normal 4 2 5 2 3 2 3" xfId="21268" xr:uid="{E6240FFB-1839-4248-B2E5-D7C3DF4BFA6B}"/>
    <cellStyle name="Normal 4 2 5 2 3 2 3 2" xfId="38162" xr:uid="{E91DEF6E-B097-478E-9E4A-FDE85CB91CF8}"/>
    <cellStyle name="Normal 4 2 5 2 3 2 4" xfId="12821" xr:uid="{D7C6B18A-CAE4-4BC8-B26B-8787A6FF81F0}"/>
    <cellStyle name="Normal 4 2 5 2 3 2 5" xfId="29715" xr:uid="{2CD40004-537B-413E-965F-4C89AD81957E}"/>
    <cellStyle name="Normal 4 2 5 2 3 3" xfId="5567" xr:uid="{00000000-0005-0000-0000-0000D4130000}"/>
    <cellStyle name="Normal 4 2 5 2 3 3 2" xfId="23340" xr:uid="{63CE74FC-F8F1-4567-A62F-8C380E176675}"/>
    <cellStyle name="Normal 4 2 5 2 3 3 2 2" xfId="40234" xr:uid="{9A429D48-E150-466F-8E8C-36D6394852B8}"/>
    <cellStyle name="Normal 4 2 5 2 3 3 3" xfId="14893" xr:uid="{66673F4C-4238-44D8-9355-E2C69F78711C}"/>
    <cellStyle name="Normal 4 2 5 2 3 3 4" xfId="31787" xr:uid="{E355755B-C2FF-422F-A9A5-A94143688004}"/>
    <cellStyle name="Normal 4 2 5 2 3 4" xfId="19123" xr:uid="{4CB5FCE3-C954-4F35-BE72-E4FAD32EA3C5}"/>
    <cellStyle name="Normal 4 2 5 2 3 4 2" xfId="36017" xr:uid="{F9F41489-56A6-4A75-A282-08A3ADD233C2}"/>
    <cellStyle name="Normal 4 2 5 2 3 5" xfId="10676" xr:uid="{F81EC4D7-0271-48FF-AD94-4248CEE49EBC}"/>
    <cellStyle name="Normal 4 2 5 2 3 6" xfId="27570" xr:uid="{C3184512-45D2-4C1F-AB22-6F7ACDC810DC}"/>
    <cellStyle name="Normal 4 2 5 2 4" xfId="1673" xr:uid="{00000000-0005-0000-0000-0000D5130000}"/>
    <cellStyle name="Normal 4 2 5 2 4 2" xfId="3903" xr:uid="{00000000-0005-0000-0000-0000D6130000}"/>
    <cellStyle name="Normal 4 2 5 2 4 2 2" xfId="8125" xr:uid="{00000000-0005-0000-0000-0000D7130000}"/>
    <cellStyle name="Normal 4 2 5 2 4 2 2 2" xfId="25898" xr:uid="{60F8E931-AF7A-4DD9-B69E-D6F6FE7CC97A}"/>
    <cellStyle name="Normal 4 2 5 2 4 2 2 2 2" xfId="42792" xr:uid="{D7DAF8C2-07E8-4CA1-A963-6B3655F2FA81}"/>
    <cellStyle name="Normal 4 2 5 2 4 2 2 3" xfId="17451" xr:uid="{94146814-3A09-494D-9975-FA3846CCA175}"/>
    <cellStyle name="Normal 4 2 5 2 4 2 2 4" xfId="34345" xr:uid="{569ED2B5-769B-483A-B871-37838F7D36B5}"/>
    <cellStyle name="Normal 4 2 5 2 4 2 3" xfId="21681" xr:uid="{EA3EE1BA-6B8C-4265-BC8F-C403F7D50BB7}"/>
    <cellStyle name="Normal 4 2 5 2 4 2 3 2" xfId="38575" xr:uid="{AC8709CF-01D5-430E-9492-0AB19E689133}"/>
    <cellStyle name="Normal 4 2 5 2 4 2 4" xfId="13234" xr:uid="{9BDE0EE7-7922-4236-AE76-039DAFA106FD}"/>
    <cellStyle name="Normal 4 2 5 2 4 2 5" xfId="30128" xr:uid="{FF636959-B111-41B0-98DE-743BA36505A9}"/>
    <cellStyle name="Normal 4 2 5 2 4 3" xfId="5980" xr:uid="{00000000-0005-0000-0000-0000D8130000}"/>
    <cellStyle name="Normal 4 2 5 2 4 3 2" xfId="23753" xr:uid="{BBF990F9-1E9E-4F81-990C-8765D60C8520}"/>
    <cellStyle name="Normal 4 2 5 2 4 3 2 2" xfId="40647" xr:uid="{EF7A156D-4579-4078-8C66-879C7F8F8F9F}"/>
    <cellStyle name="Normal 4 2 5 2 4 3 3" xfId="15306" xr:uid="{1A5E9265-6F50-44FE-BFA4-EA52CC834ECB}"/>
    <cellStyle name="Normal 4 2 5 2 4 3 4" xfId="32200" xr:uid="{642DEEDB-A2F1-4BC0-A890-077218D03092}"/>
    <cellStyle name="Normal 4 2 5 2 4 4" xfId="19536" xr:uid="{0AA6FA08-76CC-464D-8805-79DB8CB8E6ED}"/>
    <cellStyle name="Normal 4 2 5 2 4 4 2" xfId="36430" xr:uid="{0789D685-7044-470A-ADA6-7AF98804B21A}"/>
    <cellStyle name="Normal 4 2 5 2 4 5" xfId="11089" xr:uid="{A44648FE-50FB-471F-9426-A312DB243021}"/>
    <cellStyle name="Normal 4 2 5 2 4 6" xfId="27983" xr:uid="{C722471D-77A8-4ACE-BEE8-C6C602790BA9}"/>
    <cellStyle name="Normal 4 2 5 2 5" xfId="2087" xr:uid="{00000000-0005-0000-0000-0000D9130000}"/>
    <cellStyle name="Normal 4 2 5 2 5 2" xfId="4316" xr:uid="{00000000-0005-0000-0000-0000DA130000}"/>
    <cellStyle name="Normal 4 2 5 2 5 2 2" xfId="8538" xr:uid="{00000000-0005-0000-0000-0000DB130000}"/>
    <cellStyle name="Normal 4 2 5 2 5 2 2 2" xfId="26311" xr:uid="{C12E325B-1A27-47B3-B390-9DC3023D783A}"/>
    <cellStyle name="Normal 4 2 5 2 5 2 2 2 2" xfId="43205" xr:uid="{323097A1-D90C-440B-BD0D-52973B92F1F0}"/>
    <cellStyle name="Normal 4 2 5 2 5 2 2 3" xfId="17864" xr:uid="{AD241011-B1A8-446E-B222-93BD15AE9D79}"/>
    <cellStyle name="Normal 4 2 5 2 5 2 2 4" xfId="34758" xr:uid="{6B66DBBA-1C51-4B0C-AA16-425ADF599758}"/>
    <cellStyle name="Normal 4 2 5 2 5 2 3" xfId="22094" xr:uid="{A609B4BD-B267-4719-8F16-26309F28AE4B}"/>
    <cellStyle name="Normal 4 2 5 2 5 2 3 2" xfId="38988" xr:uid="{34266DC4-D05A-4353-9A76-D73ADE43FD21}"/>
    <cellStyle name="Normal 4 2 5 2 5 2 4" xfId="13647" xr:uid="{CEE46783-7EBC-43C4-BDB5-9395FFABFA9F}"/>
    <cellStyle name="Normal 4 2 5 2 5 2 5" xfId="30541" xr:uid="{4E78C12B-68CE-4567-A931-1ACD81A430FB}"/>
    <cellStyle name="Normal 4 2 5 2 5 3" xfId="6393" xr:uid="{00000000-0005-0000-0000-0000DC130000}"/>
    <cellStyle name="Normal 4 2 5 2 5 3 2" xfId="24166" xr:uid="{C0D142B1-7559-49C8-B8F2-5D8CA3E173E3}"/>
    <cellStyle name="Normal 4 2 5 2 5 3 2 2" xfId="41060" xr:uid="{7D583418-53C1-4930-8AFA-8B42072C5D42}"/>
    <cellStyle name="Normal 4 2 5 2 5 3 3" xfId="15719" xr:uid="{17FF8304-B7CE-4688-9EBD-BAA84A1FC0E8}"/>
    <cellStyle name="Normal 4 2 5 2 5 3 4" xfId="32613" xr:uid="{7C7E663E-F181-4D92-9245-75A9130CD2DB}"/>
    <cellStyle name="Normal 4 2 5 2 5 4" xfId="19949" xr:uid="{B5E118E2-78BC-4C38-B7CA-4F0C46FFA258}"/>
    <cellStyle name="Normal 4 2 5 2 5 4 2" xfId="36843" xr:uid="{66D95403-A2DF-4128-9D36-A46328FE62CD}"/>
    <cellStyle name="Normal 4 2 5 2 5 5" xfId="11502" xr:uid="{94C591D1-E8B5-444C-9FCA-E1F697B88581}"/>
    <cellStyle name="Normal 4 2 5 2 5 6" xfId="28396" xr:uid="{422BAECC-84D7-47B7-9708-0878D1B737AA}"/>
    <cellStyle name="Normal 4 2 5 2 6" xfId="2523" xr:uid="{00000000-0005-0000-0000-0000DD130000}"/>
    <cellStyle name="Normal 4 2 5 2 6 2" xfId="6806" xr:uid="{00000000-0005-0000-0000-0000DE130000}"/>
    <cellStyle name="Normal 4 2 5 2 6 2 2" xfId="24579" xr:uid="{344B24EF-AE2A-464A-A842-E92A1427C20C}"/>
    <cellStyle name="Normal 4 2 5 2 6 2 2 2" xfId="41473" xr:uid="{B2185306-6DD1-4EAA-871E-FEAB121A8496}"/>
    <cellStyle name="Normal 4 2 5 2 6 2 3" xfId="16132" xr:uid="{3B0247F8-B9AF-454D-86C6-26718323CC6B}"/>
    <cellStyle name="Normal 4 2 5 2 6 2 4" xfId="33026" xr:uid="{FC1E66A4-75E5-4655-A6EA-FB550FBD9312}"/>
    <cellStyle name="Normal 4 2 5 2 6 3" xfId="20362" xr:uid="{E03E2B7C-CFD2-453F-A79E-A9B09BA4B3D8}"/>
    <cellStyle name="Normal 4 2 5 2 6 3 2" xfId="37256" xr:uid="{86106673-56E2-4DA6-A7E1-3719C0852747}"/>
    <cellStyle name="Normal 4 2 5 2 6 4" xfId="11915" xr:uid="{26AF9650-6BA4-4DE1-AA4B-0E0FA649957C}"/>
    <cellStyle name="Normal 4 2 5 2 6 5" xfId="28809" xr:uid="{6BFF010F-3244-4726-A195-AF87FA89C58A}"/>
    <cellStyle name="Normal 4 2 5 2 7" xfId="4741" xr:uid="{00000000-0005-0000-0000-0000DF130000}"/>
    <cellStyle name="Normal 4 2 5 2 7 2" xfId="22514" xr:uid="{5D9DB51C-27D7-4B48-8466-E9507487332F}"/>
    <cellStyle name="Normal 4 2 5 2 7 2 2" xfId="39408" xr:uid="{9D8A5F3D-BC65-4F4A-99F0-CCAC3FFDC44C}"/>
    <cellStyle name="Normal 4 2 5 2 7 3" xfId="14067" xr:uid="{8AED07F2-5D86-4B90-8B5E-4D56E8F1FC1E}"/>
    <cellStyle name="Normal 4 2 5 2 7 4" xfId="30961" xr:uid="{0A681329-723C-42F5-892C-7CDA03D53FEF}"/>
    <cellStyle name="Normal 4 2 5 2 8" xfId="9053" xr:uid="{0AE18A98-D9E6-47B9-86B0-DDAD3BC77B48}"/>
    <cellStyle name="Normal 4 2 5 2 8 2" xfId="18297" xr:uid="{F1BDE8B2-3931-451A-8DCE-3732D75F4D16}"/>
    <cellStyle name="Normal 4 2 5 2 8 3" xfId="35191" xr:uid="{AE1FFA2F-E366-4F67-ABFE-255F062692C9}"/>
    <cellStyle name="Normal 4 2 5 2 9" xfId="9850" xr:uid="{87C95857-1B6A-439E-BDCC-D50F26873C8B}"/>
    <cellStyle name="Normal 4 2 5 3" xfId="839" xr:uid="{00000000-0005-0000-0000-0000E0130000}"/>
    <cellStyle name="Normal 4 2 5 3 2" xfId="3076" xr:uid="{00000000-0005-0000-0000-0000E1130000}"/>
    <cellStyle name="Normal 4 2 5 3 2 2" xfId="7298" xr:uid="{00000000-0005-0000-0000-0000E2130000}"/>
    <cellStyle name="Normal 4 2 5 3 2 2 2" xfId="25071" xr:uid="{B89474D1-10C2-45D3-88CA-B092CD06A353}"/>
    <cellStyle name="Normal 4 2 5 3 2 2 2 2" xfId="41965" xr:uid="{A99E06D9-246D-4D0C-9170-BDCC853D8CA3}"/>
    <cellStyle name="Normal 4 2 5 3 2 2 3" xfId="16624" xr:uid="{A844C304-6495-490A-858D-2AA0DAD08A91}"/>
    <cellStyle name="Normal 4 2 5 3 2 2 4" xfId="33518" xr:uid="{30691801-61D4-46EB-B540-05E5C86A7D29}"/>
    <cellStyle name="Normal 4 2 5 3 2 3" xfId="20854" xr:uid="{336AE4BE-518C-4AD7-8EB5-9A51D35CB416}"/>
    <cellStyle name="Normal 4 2 5 3 2 3 2" xfId="37748" xr:uid="{70E10844-D938-492E-88F2-9EDCCDE4F082}"/>
    <cellStyle name="Normal 4 2 5 3 2 4" xfId="12407" xr:uid="{03DFE074-3307-4AA7-BA9B-573A47104A6A}"/>
    <cellStyle name="Normal 4 2 5 3 2 5" xfId="29301" xr:uid="{F52349FD-ADB5-49A9-AF73-3B676D1C7B99}"/>
    <cellStyle name="Normal 4 2 5 3 3" xfId="5153" xr:uid="{00000000-0005-0000-0000-0000E3130000}"/>
    <cellStyle name="Normal 4 2 5 3 3 2" xfId="22926" xr:uid="{0FFB0417-3283-4241-B7A9-788A1DECDFBD}"/>
    <cellStyle name="Normal 4 2 5 3 3 2 2" xfId="39820" xr:uid="{C8181DBF-3888-429C-A550-C4B3F283EC84}"/>
    <cellStyle name="Normal 4 2 5 3 3 3" xfId="14479" xr:uid="{86B0F1C0-4500-4BB2-88D4-14469F8D2D5D}"/>
    <cellStyle name="Normal 4 2 5 3 3 4" xfId="31373" xr:uid="{286BD273-996D-4415-A441-EEAF83C9EB11}"/>
    <cellStyle name="Normal 4 2 5 3 4" xfId="9271" xr:uid="{41AE7BB1-E3C7-48BD-B24F-55AE39E68BB6}"/>
    <cellStyle name="Normal 4 2 5 3 4 2" xfId="18709" xr:uid="{6DE0BA74-C419-4306-96E6-98A9777702FF}"/>
    <cellStyle name="Normal 4 2 5 3 4 3" xfId="35603" xr:uid="{3BE21536-E402-4EAD-94CD-28D1C13D7CCF}"/>
    <cellStyle name="Normal 4 2 5 3 5" xfId="10262" xr:uid="{248F6B72-EB0B-4B3D-9DEF-1D3BBFD84474}"/>
    <cellStyle name="Normal 4 2 5 3 6" xfId="27156" xr:uid="{312AF607-E1BA-429F-9406-AE8B6CF62F15}"/>
    <cellStyle name="Normal 4 2 5 4" xfId="1259" xr:uid="{00000000-0005-0000-0000-0000E4130000}"/>
    <cellStyle name="Normal 4 2 5 4 2" xfId="3489" xr:uid="{00000000-0005-0000-0000-0000E5130000}"/>
    <cellStyle name="Normal 4 2 5 4 2 2" xfId="7711" xr:uid="{00000000-0005-0000-0000-0000E6130000}"/>
    <cellStyle name="Normal 4 2 5 4 2 2 2" xfId="25484" xr:uid="{8EC21765-7E72-44F5-B240-B427B1DF48C4}"/>
    <cellStyle name="Normal 4 2 5 4 2 2 2 2" xfId="42378" xr:uid="{F2697F80-C6EF-40E6-BE94-C90C59F4DCA5}"/>
    <cellStyle name="Normal 4 2 5 4 2 2 3" xfId="17037" xr:uid="{556FDCF5-027B-42F7-B8B2-23A2EADDA24A}"/>
    <cellStyle name="Normal 4 2 5 4 2 2 4" xfId="33931" xr:uid="{91B6594D-0997-413B-B90B-282BD127937F}"/>
    <cellStyle name="Normal 4 2 5 4 2 3" xfId="21267" xr:uid="{EB576760-7E88-4C67-A4A3-E79C7C61D56F}"/>
    <cellStyle name="Normal 4 2 5 4 2 3 2" xfId="38161" xr:uid="{442AAFAE-DE31-4D57-8C45-CA90544BBA71}"/>
    <cellStyle name="Normal 4 2 5 4 2 4" xfId="12820" xr:uid="{CB59A389-501D-49A6-B8C6-4DAF3C313036}"/>
    <cellStyle name="Normal 4 2 5 4 2 5" xfId="29714" xr:uid="{B151058F-A47E-4CCA-AEF8-39ADDE468C1A}"/>
    <cellStyle name="Normal 4 2 5 4 3" xfId="5566" xr:uid="{00000000-0005-0000-0000-0000E7130000}"/>
    <cellStyle name="Normal 4 2 5 4 3 2" xfId="23339" xr:uid="{1B45F041-4625-470D-B61B-3EFDF6F53046}"/>
    <cellStyle name="Normal 4 2 5 4 3 2 2" xfId="40233" xr:uid="{5B9F1608-799D-493A-9FC1-497B4F368681}"/>
    <cellStyle name="Normal 4 2 5 4 3 3" xfId="14892" xr:uid="{EA543A77-C66C-4A3C-A2EC-9B9ED0B05CF5}"/>
    <cellStyle name="Normal 4 2 5 4 3 4" xfId="31786" xr:uid="{1AE0B91D-A1A1-4F3A-B00D-C89F5E19FB0D}"/>
    <cellStyle name="Normal 4 2 5 4 4" xfId="19122" xr:uid="{8A73C6BC-7930-4A7D-A543-A689CA8DC027}"/>
    <cellStyle name="Normal 4 2 5 4 4 2" xfId="36016" xr:uid="{543832FC-4B3E-401D-87AC-E4A35B0DE685}"/>
    <cellStyle name="Normal 4 2 5 4 5" xfId="10675" xr:uid="{70AFCDFE-0605-4A1E-A640-E76DD0AB3B1C}"/>
    <cellStyle name="Normal 4 2 5 4 6" xfId="27569" xr:uid="{617EA3F9-977C-40F6-9D00-FDF6A2C5B63E}"/>
    <cellStyle name="Normal 4 2 5 5" xfId="1672" xr:uid="{00000000-0005-0000-0000-0000E8130000}"/>
    <cellStyle name="Normal 4 2 5 5 2" xfId="3902" xr:uid="{00000000-0005-0000-0000-0000E9130000}"/>
    <cellStyle name="Normal 4 2 5 5 2 2" xfId="8124" xr:uid="{00000000-0005-0000-0000-0000EA130000}"/>
    <cellStyle name="Normal 4 2 5 5 2 2 2" xfId="25897" xr:uid="{80C929ED-BC4D-4115-88F6-C9D2A6BA720E}"/>
    <cellStyle name="Normal 4 2 5 5 2 2 2 2" xfId="42791" xr:uid="{C3B4CA97-957F-463F-B3C2-4057D83E49BD}"/>
    <cellStyle name="Normal 4 2 5 5 2 2 3" xfId="17450" xr:uid="{95E59036-775A-4BF8-9F17-9486ECCD0B85}"/>
    <cellStyle name="Normal 4 2 5 5 2 2 4" xfId="34344" xr:uid="{8CC37BC2-3EA5-4AE5-B59C-73C91F60A84B}"/>
    <cellStyle name="Normal 4 2 5 5 2 3" xfId="21680" xr:uid="{AB8CCA78-94E1-46C4-8216-3796F51884C3}"/>
    <cellStyle name="Normal 4 2 5 5 2 3 2" xfId="38574" xr:uid="{600793BF-20D3-4419-A4B1-F79133F297E7}"/>
    <cellStyle name="Normal 4 2 5 5 2 4" xfId="13233" xr:uid="{0E9977D3-AC30-4A18-B125-96CC7970CF6E}"/>
    <cellStyle name="Normal 4 2 5 5 2 5" xfId="30127" xr:uid="{512A361F-48E1-4C43-BC3E-B2006DC39589}"/>
    <cellStyle name="Normal 4 2 5 5 3" xfId="5979" xr:uid="{00000000-0005-0000-0000-0000EB130000}"/>
    <cellStyle name="Normal 4 2 5 5 3 2" xfId="23752" xr:uid="{94A8D075-B336-4480-ACC8-D4FD6CBEDEE7}"/>
    <cellStyle name="Normal 4 2 5 5 3 2 2" xfId="40646" xr:uid="{5FD30C54-4A84-435A-9721-40A52FFDCBF7}"/>
    <cellStyle name="Normal 4 2 5 5 3 3" xfId="15305" xr:uid="{FECB296F-2445-4988-9CA1-03E323B55B1A}"/>
    <cellStyle name="Normal 4 2 5 5 3 4" xfId="32199" xr:uid="{F7EF5B44-3A28-498A-8AB7-ABB6B8A3ECA5}"/>
    <cellStyle name="Normal 4 2 5 5 4" xfId="19535" xr:uid="{B720905C-D352-42A1-B491-79EF0928C324}"/>
    <cellStyle name="Normal 4 2 5 5 4 2" xfId="36429" xr:uid="{B3318E15-8752-4554-BDDA-DA4314291B6D}"/>
    <cellStyle name="Normal 4 2 5 5 5" xfId="11088" xr:uid="{13D5496D-8137-4823-9590-13ECFA04B68F}"/>
    <cellStyle name="Normal 4 2 5 5 6" xfId="27982" xr:uid="{5927EF4D-27AE-47E0-816E-17A07830F589}"/>
    <cellStyle name="Normal 4 2 5 6" xfId="2086" xr:uid="{00000000-0005-0000-0000-0000EC130000}"/>
    <cellStyle name="Normal 4 2 5 6 2" xfId="4315" xr:uid="{00000000-0005-0000-0000-0000ED130000}"/>
    <cellStyle name="Normal 4 2 5 6 2 2" xfId="8537" xr:uid="{00000000-0005-0000-0000-0000EE130000}"/>
    <cellStyle name="Normal 4 2 5 6 2 2 2" xfId="26310" xr:uid="{383CF449-04A2-4CB8-873D-D723C650AD56}"/>
    <cellStyle name="Normal 4 2 5 6 2 2 2 2" xfId="43204" xr:uid="{26B711B9-8B19-4752-80C2-DBE29FB7CE0A}"/>
    <cellStyle name="Normal 4 2 5 6 2 2 3" xfId="17863" xr:uid="{2528B7DE-787E-45F6-B640-FD60536056AF}"/>
    <cellStyle name="Normal 4 2 5 6 2 2 4" xfId="34757" xr:uid="{8464BDE2-29C5-43B2-89CA-0106A4222261}"/>
    <cellStyle name="Normal 4 2 5 6 2 3" xfId="22093" xr:uid="{1E94DE11-2EE9-4712-B8AC-785167FFE506}"/>
    <cellStyle name="Normal 4 2 5 6 2 3 2" xfId="38987" xr:uid="{0805664A-58C7-4952-BB9A-333969C4221D}"/>
    <cellStyle name="Normal 4 2 5 6 2 4" xfId="13646" xr:uid="{47099BC6-C0AE-40D2-A4FA-DC9D47A5008F}"/>
    <cellStyle name="Normal 4 2 5 6 2 5" xfId="30540" xr:uid="{5BDDA48C-B22E-4086-AAA2-A2F00F51A6FC}"/>
    <cellStyle name="Normal 4 2 5 6 3" xfId="6392" xr:uid="{00000000-0005-0000-0000-0000EF130000}"/>
    <cellStyle name="Normal 4 2 5 6 3 2" xfId="24165" xr:uid="{2DBEC1D0-3E4D-4853-A8A9-21DBD92B18ED}"/>
    <cellStyle name="Normal 4 2 5 6 3 2 2" xfId="41059" xr:uid="{D2C86A47-DF67-44BB-8E87-28B416F6AE64}"/>
    <cellStyle name="Normal 4 2 5 6 3 3" xfId="15718" xr:uid="{D4381E7C-BADF-4828-8F33-FA0391A14196}"/>
    <cellStyle name="Normal 4 2 5 6 3 4" xfId="32612" xr:uid="{02393491-2B7A-4250-916D-A50D2C1CD5A0}"/>
    <cellStyle name="Normal 4 2 5 6 4" xfId="19948" xr:uid="{851FB49D-4434-4BF7-A774-2A99B9119FAD}"/>
    <cellStyle name="Normal 4 2 5 6 4 2" xfId="36842" xr:uid="{694A5126-9033-488B-8107-DA8F6BE6CDCA}"/>
    <cellStyle name="Normal 4 2 5 6 5" xfId="11501" xr:uid="{6F17A076-58D7-4A8B-BF0B-083F8F48F28E}"/>
    <cellStyle name="Normal 4 2 5 6 6" xfId="28395" xr:uid="{CAF36888-4E63-4D0B-BA45-48142D0DC182}"/>
    <cellStyle name="Normal 4 2 5 7" xfId="2522" xr:uid="{00000000-0005-0000-0000-0000F0130000}"/>
    <cellStyle name="Normal 4 2 5 7 2" xfId="6805" xr:uid="{00000000-0005-0000-0000-0000F1130000}"/>
    <cellStyle name="Normal 4 2 5 7 2 2" xfId="24578" xr:uid="{2B138AE0-38FB-4ABA-AFAA-5A3015F7D8FF}"/>
    <cellStyle name="Normal 4 2 5 7 2 2 2" xfId="41472" xr:uid="{1F4A5527-7AD3-4EE3-AD38-B217FB967509}"/>
    <cellStyle name="Normal 4 2 5 7 2 3" xfId="16131" xr:uid="{31C8F5C7-0584-45C8-ABBD-3A1275420598}"/>
    <cellStyle name="Normal 4 2 5 7 2 4" xfId="33025" xr:uid="{35A00CA1-5A98-44E4-A9A1-449161A0F450}"/>
    <cellStyle name="Normal 4 2 5 7 3" xfId="20361" xr:uid="{191F5D32-1D05-43B5-B956-A10860A83780}"/>
    <cellStyle name="Normal 4 2 5 7 3 2" xfId="37255" xr:uid="{A769A122-C166-41C6-846E-EC5170264C70}"/>
    <cellStyle name="Normal 4 2 5 7 4" xfId="11914" xr:uid="{7EFCDCD0-5914-41A1-AFC1-80B2DC5860CC}"/>
    <cellStyle name="Normal 4 2 5 7 5" xfId="28808" xr:uid="{A74BCF97-B9F1-45B1-AA3D-337C2622B670}"/>
    <cellStyle name="Normal 4 2 5 8" xfId="4740" xr:uid="{00000000-0005-0000-0000-0000F2130000}"/>
    <cellStyle name="Normal 4 2 5 8 2" xfId="22513" xr:uid="{F11849D9-CF9B-4F9B-9BE2-7950557F4E38}"/>
    <cellStyle name="Normal 4 2 5 8 2 2" xfId="39407" xr:uid="{A92BC6B3-CCE3-4F33-9B3E-3A810AE17207}"/>
    <cellStyle name="Normal 4 2 5 8 3" xfId="14066" xr:uid="{7D2426DB-FEA1-491B-B416-CFF7B1FC8E5F}"/>
    <cellStyle name="Normal 4 2 5 8 4" xfId="30960" xr:uid="{14494ED2-1384-49CE-8FE6-CE9CA4627D25}"/>
    <cellStyle name="Normal 4 2 5 9" xfId="8846" xr:uid="{C69C7E2D-02E8-4C87-9C63-A39D0E37A062}"/>
    <cellStyle name="Normal 4 2 5 9 2" xfId="18296" xr:uid="{22E7D839-AF21-4EFC-BCCE-6031F8E9D0B4}"/>
    <cellStyle name="Normal 4 2 5 9 3" xfId="35190" xr:uid="{204D31F0-7C5A-444A-B35F-04B51FAB6F01}"/>
    <cellStyle name="Normal 4 2 6" xfId="365" xr:uid="{00000000-0005-0000-0000-0000F3130000}"/>
    <cellStyle name="Normal 4 2 6 10" xfId="26745" xr:uid="{62B379BF-1CB0-4283-AE9B-F2489D0B73BA}"/>
    <cellStyle name="Normal 4 2 6 2" xfId="841" xr:uid="{00000000-0005-0000-0000-0000F4130000}"/>
    <cellStyle name="Normal 4 2 6 2 2" xfId="3078" xr:uid="{00000000-0005-0000-0000-0000F5130000}"/>
    <cellStyle name="Normal 4 2 6 2 2 2" xfId="7300" xr:uid="{00000000-0005-0000-0000-0000F6130000}"/>
    <cellStyle name="Normal 4 2 6 2 2 2 2" xfId="25073" xr:uid="{868BACA0-49E9-44FE-9A85-AC648C3965DE}"/>
    <cellStyle name="Normal 4 2 6 2 2 2 2 2" xfId="41967" xr:uid="{0ECAA513-DFE3-404D-B219-BFDC6ABD1705}"/>
    <cellStyle name="Normal 4 2 6 2 2 2 3" xfId="16626" xr:uid="{37437126-FBDA-4B9D-88BD-E25EC88C7966}"/>
    <cellStyle name="Normal 4 2 6 2 2 2 4" xfId="33520" xr:uid="{5AD7CAAC-754D-45B3-BB36-056F9210B8BE}"/>
    <cellStyle name="Normal 4 2 6 2 2 3" xfId="20856" xr:uid="{3D7185EA-1DA8-4D6C-95DE-D038325BB7F0}"/>
    <cellStyle name="Normal 4 2 6 2 2 3 2" xfId="37750" xr:uid="{D6C74DDF-5CE5-4DF5-AA00-95E748E8B642}"/>
    <cellStyle name="Normal 4 2 6 2 2 4" xfId="12409" xr:uid="{BBBE1125-64C5-4A77-903B-70C95E16D7EE}"/>
    <cellStyle name="Normal 4 2 6 2 2 5" xfId="29303" xr:uid="{1B8C9F87-25E9-4A10-9EC1-4FCA79B8C125}"/>
    <cellStyle name="Normal 4 2 6 2 3" xfId="5155" xr:uid="{00000000-0005-0000-0000-0000F7130000}"/>
    <cellStyle name="Normal 4 2 6 2 3 2" xfId="22928" xr:uid="{B96B7D44-43A8-49DF-93FF-0664F99D78C2}"/>
    <cellStyle name="Normal 4 2 6 2 3 2 2" xfId="39822" xr:uid="{7E3601C2-3E2C-4702-901A-0D916EAF5487}"/>
    <cellStyle name="Normal 4 2 6 2 3 3" xfId="14481" xr:uid="{80FF1F5C-3178-4958-8752-492C6454872F}"/>
    <cellStyle name="Normal 4 2 6 2 3 4" xfId="31375" xr:uid="{F196FC0C-F441-4DC9-AFEC-F3272A254F7D}"/>
    <cellStyle name="Normal 4 2 6 2 4" xfId="9387" xr:uid="{933EA8C7-37F7-4AF2-922A-47A5CB1A47BC}"/>
    <cellStyle name="Normal 4 2 6 2 4 2" xfId="18711" xr:uid="{0A0B7B42-30DE-4DE6-92BF-26E222D902EB}"/>
    <cellStyle name="Normal 4 2 6 2 4 3" xfId="35605" xr:uid="{9587A646-58A5-4334-B3CC-2ED1E8ECD2D1}"/>
    <cellStyle name="Normal 4 2 6 2 5" xfId="10264" xr:uid="{C4C66BCC-D1FA-44D6-89FD-0C54A9EFF0BC}"/>
    <cellStyle name="Normal 4 2 6 2 6" xfId="27158" xr:uid="{13E77797-BC47-4804-8325-1FD1F2D0C5EC}"/>
    <cellStyle name="Normal 4 2 6 3" xfId="1261" xr:uid="{00000000-0005-0000-0000-0000F8130000}"/>
    <cellStyle name="Normal 4 2 6 3 2" xfId="3491" xr:uid="{00000000-0005-0000-0000-0000F9130000}"/>
    <cellStyle name="Normal 4 2 6 3 2 2" xfId="7713" xr:uid="{00000000-0005-0000-0000-0000FA130000}"/>
    <cellStyle name="Normal 4 2 6 3 2 2 2" xfId="25486" xr:uid="{896BAEFA-F771-424A-A4AD-50DA621E5C79}"/>
    <cellStyle name="Normal 4 2 6 3 2 2 2 2" xfId="42380" xr:uid="{D016B7FC-409E-49C4-9D5C-EFE6E1AB5EC6}"/>
    <cellStyle name="Normal 4 2 6 3 2 2 3" xfId="17039" xr:uid="{42FD1F2F-EAA5-46DD-B02B-739AEDD06DDA}"/>
    <cellStyle name="Normal 4 2 6 3 2 2 4" xfId="33933" xr:uid="{7AB20744-035A-46F0-975C-C01A74E384EC}"/>
    <cellStyle name="Normal 4 2 6 3 2 3" xfId="21269" xr:uid="{CD41C6A8-C3B6-4C12-9028-D099FB6DA876}"/>
    <cellStyle name="Normal 4 2 6 3 2 3 2" xfId="38163" xr:uid="{54833089-9FE6-4FD3-8D2F-21553D42FAF2}"/>
    <cellStyle name="Normal 4 2 6 3 2 4" xfId="12822" xr:uid="{E30ACC01-1464-423F-B6CF-8C135DB22ECC}"/>
    <cellStyle name="Normal 4 2 6 3 2 5" xfId="29716" xr:uid="{9E5F75D4-56E2-401A-9F8B-C3EA19CAF59B}"/>
    <cellStyle name="Normal 4 2 6 3 3" xfId="5568" xr:uid="{00000000-0005-0000-0000-0000FB130000}"/>
    <cellStyle name="Normal 4 2 6 3 3 2" xfId="23341" xr:uid="{F1A11AFA-1799-4064-A79B-1AEB2823AF10}"/>
    <cellStyle name="Normal 4 2 6 3 3 2 2" xfId="40235" xr:uid="{5FBF307F-A7EE-4A42-8104-92BC462F4BD9}"/>
    <cellStyle name="Normal 4 2 6 3 3 3" xfId="14894" xr:uid="{9125FC8C-8A93-48EC-8369-5173E7C16BBE}"/>
    <cellStyle name="Normal 4 2 6 3 3 4" xfId="31788" xr:uid="{65A7B07C-3398-4058-B15B-4EE1E98ED398}"/>
    <cellStyle name="Normal 4 2 6 3 4" xfId="19124" xr:uid="{7E62664D-E9C5-4A13-A91C-BA49284B6840}"/>
    <cellStyle name="Normal 4 2 6 3 4 2" xfId="36018" xr:uid="{301CC0F6-7F48-400A-9789-FDF771F706F8}"/>
    <cellStyle name="Normal 4 2 6 3 5" xfId="10677" xr:uid="{8D7D2CDF-F915-4E78-A060-66B0DBA73C6E}"/>
    <cellStyle name="Normal 4 2 6 3 6" xfId="27571" xr:uid="{4CC055C9-8C44-4366-AB75-3B6A4D378281}"/>
    <cellStyle name="Normal 4 2 6 4" xfId="1674" xr:uid="{00000000-0005-0000-0000-0000FC130000}"/>
    <cellStyle name="Normal 4 2 6 4 2" xfId="3904" xr:uid="{00000000-0005-0000-0000-0000FD130000}"/>
    <cellStyle name="Normal 4 2 6 4 2 2" xfId="8126" xr:uid="{00000000-0005-0000-0000-0000FE130000}"/>
    <cellStyle name="Normal 4 2 6 4 2 2 2" xfId="25899" xr:uid="{2A5FA6ED-A30F-409A-8F75-79F9DB0B5684}"/>
    <cellStyle name="Normal 4 2 6 4 2 2 2 2" xfId="42793" xr:uid="{23587460-3251-4E8F-941A-327F2113F369}"/>
    <cellStyle name="Normal 4 2 6 4 2 2 3" xfId="17452" xr:uid="{4537CF9C-5101-4792-BA17-0F820599299B}"/>
    <cellStyle name="Normal 4 2 6 4 2 2 4" xfId="34346" xr:uid="{270BB67B-F95D-4CB8-AD26-1209B1E8876C}"/>
    <cellStyle name="Normal 4 2 6 4 2 3" xfId="21682" xr:uid="{8D635D84-7EF0-43F6-B76F-DD53741C4ED9}"/>
    <cellStyle name="Normal 4 2 6 4 2 3 2" xfId="38576" xr:uid="{21D1F6A4-A948-4170-8E59-2CDD0EB30294}"/>
    <cellStyle name="Normal 4 2 6 4 2 4" xfId="13235" xr:uid="{546FF143-B3E3-49AF-B8B7-FCE1B0BA699E}"/>
    <cellStyle name="Normal 4 2 6 4 2 5" xfId="30129" xr:uid="{2A7C727C-A8D1-42D9-8600-6B6B8D37B9F8}"/>
    <cellStyle name="Normal 4 2 6 4 3" xfId="5981" xr:uid="{00000000-0005-0000-0000-0000FF130000}"/>
    <cellStyle name="Normal 4 2 6 4 3 2" xfId="23754" xr:uid="{45AE86EB-0BE8-4208-B00D-472A0E98C7D5}"/>
    <cellStyle name="Normal 4 2 6 4 3 2 2" xfId="40648" xr:uid="{6A033CCE-1132-46DA-8B24-DFF06365BE10}"/>
    <cellStyle name="Normal 4 2 6 4 3 3" xfId="15307" xr:uid="{3AB0D325-3E99-4814-B722-DDC1E4856714}"/>
    <cellStyle name="Normal 4 2 6 4 3 4" xfId="32201" xr:uid="{DC9FF364-FD7D-4B29-8392-486DCD516BD4}"/>
    <cellStyle name="Normal 4 2 6 4 4" xfId="19537" xr:uid="{064C025D-73A7-467F-85D9-58947B1A7A4A}"/>
    <cellStyle name="Normal 4 2 6 4 4 2" xfId="36431" xr:uid="{07255EA9-C057-4009-978D-6F676C167D29}"/>
    <cellStyle name="Normal 4 2 6 4 5" xfId="11090" xr:uid="{8CA10427-94B1-4D4B-B4F5-BC434AB1485E}"/>
    <cellStyle name="Normal 4 2 6 4 6" xfId="27984" xr:uid="{125FAF6E-C129-4822-9E90-93FBC1024EE3}"/>
    <cellStyle name="Normal 4 2 6 5" xfId="2088" xr:uid="{00000000-0005-0000-0000-000000140000}"/>
    <cellStyle name="Normal 4 2 6 5 2" xfId="4317" xr:uid="{00000000-0005-0000-0000-000001140000}"/>
    <cellStyle name="Normal 4 2 6 5 2 2" xfId="8539" xr:uid="{00000000-0005-0000-0000-000002140000}"/>
    <cellStyle name="Normal 4 2 6 5 2 2 2" xfId="26312" xr:uid="{A58F7737-6E9C-4882-9388-5B9113A47AC9}"/>
    <cellStyle name="Normal 4 2 6 5 2 2 2 2" xfId="43206" xr:uid="{877A97C8-B70F-4746-A82C-14F6FC4AC581}"/>
    <cellStyle name="Normal 4 2 6 5 2 2 3" xfId="17865" xr:uid="{74E69D97-3F14-4B89-AFA7-AA5F273E822D}"/>
    <cellStyle name="Normal 4 2 6 5 2 2 4" xfId="34759" xr:uid="{9A039312-8A02-41EE-B450-4FCE8281CDFF}"/>
    <cellStyle name="Normal 4 2 6 5 2 3" xfId="22095" xr:uid="{2DB8D91D-08A5-47AE-88F8-426F52D0AEFA}"/>
    <cellStyle name="Normal 4 2 6 5 2 3 2" xfId="38989" xr:uid="{1C3CD619-46C5-4C4A-A2F2-87F35DA97387}"/>
    <cellStyle name="Normal 4 2 6 5 2 4" xfId="13648" xr:uid="{EE55C73B-AD59-4BFE-98A3-D8A98B97872F}"/>
    <cellStyle name="Normal 4 2 6 5 2 5" xfId="30542" xr:uid="{A25B0BD7-8F8F-4B8F-85E2-DFAC43AC21F4}"/>
    <cellStyle name="Normal 4 2 6 5 3" xfId="6394" xr:uid="{00000000-0005-0000-0000-000003140000}"/>
    <cellStyle name="Normal 4 2 6 5 3 2" xfId="24167" xr:uid="{5D1AAE18-111B-4F83-AB58-4B0C7F50943E}"/>
    <cellStyle name="Normal 4 2 6 5 3 2 2" xfId="41061" xr:uid="{C4FCC77D-6CA3-4F01-953D-A5513E09BA5E}"/>
    <cellStyle name="Normal 4 2 6 5 3 3" xfId="15720" xr:uid="{E77D2AAF-FF11-4563-9399-531582B2B6AE}"/>
    <cellStyle name="Normal 4 2 6 5 3 4" xfId="32614" xr:uid="{B33C9E8D-B4DC-4326-8732-2FD6DAF03076}"/>
    <cellStyle name="Normal 4 2 6 5 4" xfId="19950" xr:uid="{3611E66D-5377-4B7B-8442-69FDE2F52CBF}"/>
    <cellStyle name="Normal 4 2 6 5 4 2" xfId="36844" xr:uid="{28E1785A-1944-4D67-9EDA-822B203C1997}"/>
    <cellStyle name="Normal 4 2 6 5 5" xfId="11503" xr:uid="{8C7ACA0B-D3E7-4CC4-AF4B-2C39413D9B14}"/>
    <cellStyle name="Normal 4 2 6 5 6" xfId="28397" xr:uid="{7E41913B-5F04-400E-96AC-9974A7E60DC5}"/>
    <cellStyle name="Normal 4 2 6 6" xfId="2524" xr:uid="{00000000-0005-0000-0000-000004140000}"/>
    <cellStyle name="Normal 4 2 6 6 2" xfId="6807" xr:uid="{00000000-0005-0000-0000-000005140000}"/>
    <cellStyle name="Normal 4 2 6 6 2 2" xfId="24580" xr:uid="{514C3ACE-F809-4EB0-8057-2F614F11AB2C}"/>
    <cellStyle name="Normal 4 2 6 6 2 2 2" xfId="41474" xr:uid="{601D2BBE-0EB2-45EF-ACE7-6DD1F6B1692A}"/>
    <cellStyle name="Normal 4 2 6 6 2 3" xfId="16133" xr:uid="{7B255A5C-B4E1-4B32-BD27-1B86879FC56E}"/>
    <cellStyle name="Normal 4 2 6 6 2 4" xfId="33027" xr:uid="{EB8DADD9-C047-4EA5-B3B9-E96C4A5FDA5C}"/>
    <cellStyle name="Normal 4 2 6 6 3" xfId="20363" xr:uid="{5E1B9B45-1C40-48E9-BD45-A0271025144A}"/>
    <cellStyle name="Normal 4 2 6 6 3 2" xfId="37257" xr:uid="{CD5C3AC2-D945-42BD-BE97-9C7DF1A90CD0}"/>
    <cellStyle name="Normal 4 2 6 6 4" xfId="11916" xr:uid="{80E41C91-D07F-45BC-A09A-A3B5F80C2737}"/>
    <cellStyle name="Normal 4 2 6 6 5" xfId="28810" xr:uid="{5951482B-0091-4160-AE48-E1AEEC80CA50}"/>
    <cellStyle name="Normal 4 2 6 7" xfId="4742" xr:uid="{00000000-0005-0000-0000-000006140000}"/>
    <cellStyle name="Normal 4 2 6 7 2" xfId="22515" xr:uid="{AFA8E87F-74E9-485C-BC8A-FAEC4801DE77}"/>
    <cellStyle name="Normal 4 2 6 7 2 2" xfId="39409" xr:uid="{ECC516AE-63D2-402C-B71B-CF1A1B5C9F0F}"/>
    <cellStyle name="Normal 4 2 6 7 3" xfId="14068" xr:uid="{DBE4178C-7B6B-4EA1-9FAF-06A510682311}"/>
    <cellStyle name="Normal 4 2 6 7 4" xfId="30962" xr:uid="{8B5777CF-FAA6-48ED-AD88-391B6C7E3148}"/>
    <cellStyle name="Normal 4 2 6 8" xfId="8962" xr:uid="{1A1596D6-3914-4465-A638-E540359059D2}"/>
    <cellStyle name="Normal 4 2 6 8 2" xfId="18298" xr:uid="{FF9642A6-CFE2-4957-A57F-A11B5E899911}"/>
    <cellStyle name="Normal 4 2 6 8 3" xfId="35192" xr:uid="{E3B684C4-5CB8-4D9A-B4C8-F0132FFA83EC}"/>
    <cellStyle name="Normal 4 2 6 9" xfId="9851" xr:uid="{E133BE8C-FFFA-459D-81BE-A4512EEC0525}"/>
    <cellStyle name="Normal 4 2 7" xfId="9165" xr:uid="{6363F967-7399-442D-B2CE-00085FF7F1E8}"/>
    <cellStyle name="Normal 4 2 8" xfId="8743" xr:uid="{E2B8331F-47F9-4829-99C7-E05840A106B9}"/>
    <cellStyle name="Normal 4 3" xfId="366" xr:uid="{00000000-0005-0000-0000-000007140000}"/>
    <cellStyle name="Normal 4 3 10" xfId="18299" xr:uid="{6A80C898-0137-4104-BD25-66280344ED34}"/>
    <cellStyle name="Normal 4 3 10 2" xfId="35193" xr:uid="{63EBDD55-845F-4EEA-AD3C-A8560BFA1922}"/>
    <cellStyle name="Normal 4 3 11" xfId="9852" xr:uid="{C29AD60E-4072-48BD-8173-8D887E834A93}"/>
    <cellStyle name="Normal 4 3 12" xfId="26746" xr:uid="{9F3CFDF8-6C6F-4B3A-96FE-6A4FB5053963}"/>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10 2" xfId="18300" xr:uid="{3C618934-4C3E-4641-8155-EE6A245D827D}"/>
    <cellStyle name="Normal 4 3 2 2 2 10 3" xfId="35194" xr:uid="{1FB5E576-272E-4A66-88AE-F57F5E7F6D8F}"/>
    <cellStyle name="Normal 4 3 2 2 2 11" xfId="9853" xr:uid="{BB999467-0C63-4B98-9FCE-BDEE19A26B54}"/>
    <cellStyle name="Normal 4 3 2 2 2 12" xfId="26747" xr:uid="{E54BBE56-7821-464A-AE35-1A57F94ADDB7}"/>
    <cellStyle name="Normal 4 3 2 2 2 2" xfId="370" xr:uid="{00000000-0005-0000-0000-00000B140000}"/>
    <cellStyle name="Normal 4 3 2 2 2 2 10" xfId="9854" xr:uid="{AC70007D-3EFD-470F-BAD8-AF13E5DEE93D}"/>
    <cellStyle name="Normal 4 3 2 2 2 2 11" xfId="26748" xr:uid="{877F8A1F-7A5F-48BC-9408-AF1DF56FCE40}"/>
    <cellStyle name="Normal 4 3 2 2 2 2 2" xfId="371" xr:uid="{00000000-0005-0000-0000-00000C140000}"/>
    <cellStyle name="Normal 4 3 2 2 2 2 2 10" xfId="26749" xr:uid="{450133B8-F6A0-4681-BDA8-3809F598362E}"/>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2 2 2" xfId="25077" xr:uid="{5BCFE8CC-A091-48B9-BB44-5CCF16E6619F}"/>
    <cellStyle name="Normal 4 3 2 2 2 2 2 2 2 2 2 2" xfId="41971" xr:uid="{2087EE18-A83E-41BE-8421-2B7C7FE8061E}"/>
    <cellStyle name="Normal 4 3 2 2 2 2 2 2 2 2 3" xfId="16630" xr:uid="{8B22A47C-B174-4FA0-934F-EE79E1D42F14}"/>
    <cellStyle name="Normal 4 3 2 2 2 2 2 2 2 2 4" xfId="33524" xr:uid="{D810CF26-CF0C-43A6-9C91-B5FDE469171F}"/>
    <cellStyle name="Normal 4 3 2 2 2 2 2 2 2 3" xfId="20860" xr:uid="{9D3A1648-011E-4A4E-809D-D5B9DD3EEE21}"/>
    <cellStyle name="Normal 4 3 2 2 2 2 2 2 2 3 2" xfId="37754" xr:uid="{91A84AC8-8996-4088-A26C-500DAE389617}"/>
    <cellStyle name="Normal 4 3 2 2 2 2 2 2 2 4" xfId="12413" xr:uid="{88156B8D-8CF5-4001-9409-735C53993BD5}"/>
    <cellStyle name="Normal 4 3 2 2 2 2 2 2 2 5" xfId="29307" xr:uid="{758D1662-6B50-4C56-936A-C1BF6BF463FF}"/>
    <cellStyle name="Normal 4 3 2 2 2 2 2 2 3" xfId="5159" xr:uid="{00000000-0005-0000-0000-000010140000}"/>
    <cellStyle name="Normal 4 3 2 2 2 2 2 2 3 2" xfId="22932" xr:uid="{59A79519-EB75-485A-92F0-AE0ED2C1FC80}"/>
    <cellStyle name="Normal 4 3 2 2 2 2 2 2 3 2 2" xfId="39826" xr:uid="{FCA3B683-DB56-4E57-8599-4585F9EA451D}"/>
    <cellStyle name="Normal 4 3 2 2 2 2 2 2 3 3" xfId="14485" xr:uid="{B0175BA2-5395-413A-97FA-EFEDD8FDE836}"/>
    <cellStyle name="Normal 4 3 2 2 2 2 2 2 3 4" xfId="31379" xr:uid="{BAE70C71-1A0E-498F-894D-49D2F7AF56F1}"/>
    <cellStyle name="Normal 4 3 2 2 2 2 2 2 4" xfId="9557" xr:uid="{4F6BDD99-7BF1-4D2F-9EDC-4F75F1942DB4}"/>
    <cellStyle name="Normal 4 3 2 2 2 2 2 2 4 2" xfId="18715" xr:uid="{1E9EC627-75E1-4495-A3DA-BF0C3A9EB99B}"/>
    <cellStyle name="Normal 4 3 2 2 2 2 2 2 4 3" xfId="35609" xr:uid="{26A4A9EB-E266-4D5E-828D-244937C3AD2C}"/>
    <cellStyle name="Normal 4 3 2 2 2 2 2 2 5" xfId="10268" xr:uid="{A6730AA2-B6D9-4D3F-9F1D-D999530CFF86}"/>
    <cellStyle name="Normal 4 3 2 2 2 2 2 2 6" xfId="27162" xr:uid="{9D0CEB58-9E05-48DF-AC33-77690B51C5F7}"/>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2 2 2" xfId="25490" xr:uid="{9D2C0DC1-CA16-41C8-B18A-4738A3A6A26C}"/>
    <cellStyle name="Normal 4 3 2 2 2 2 2 3 2 2 2 2" xfId="42384" xr:uid="{DD641244-9D31-42FB-BFE2-DAB9FE15032D}"/>
    <cellStyle name="Normal 4 3 2 2 2 2 2 3 2 2 3" xfId="17043" xr:uid="{3C58BB10-DBA2-4FAB-89FF-1B9464EF7344}"/>
    <cellStyle name="Normal 4 3 2 2 2 2 2 3 2 2 4" xfId="33937" xr:uid="{7B412197-5636-4B88-B3BA-79A84525186C}"/>
    <cellStyle name="Normal 4 3 2 2 2 2 2 3 2 3" xfId="21273" xr:uid="{3953C211-B099-4D3C-8466-A24A1FD3868B}"/>
    <cellStyle name="Normal 4 3 2 2 2 2 2 3 2 3 2" xfId="38167" xr:uid="{3B0FAA2C-ABDD-4DE8-B82B-5C14CA7171D8}"/>
    <cellStyle name="Normal 4 3 2 2 2 2 2 3 2 4" xfId="12826" xr:uid="{E7BB301E-633A-490A-8C4A-90C18F202324}"/>
    <cellStyle name="Normal 4 3 2 2 2 2 2 3 2 5" xfId="29720" xr:uid="{D2D0C717-26A6-4F8E-B6C1-136392AC3D95}"/>
    <cellStyle name="Normal 4 3 2 2 2 2 2 3 3" xfId="5572" xr:uid="{00000000-0005-0000-0000-000014140000}"/>
    <cellStyle name="Normal 4 3 2 2 2 2 2 3 3 2" xfId="23345" xr:uid="{B5369FF1-DDDD-4462-B271-C4E4BE866A6D}"/>
    <cellStyle name="Normal 4 3 2 2 2 2 2 3 3 2 2" xfId="40239" xr:uid="{6D806C56-9185-46FC-96EB-E7D37225A5A9}"/>
    <cellStyle name="Normal 4 3 2 2 2 2 2 3 3 3" xfId="14898" xr:uid="{2AA35737-C34F-4A7C-9718-BFA492C5CB09}"/>
    <cellStyle name="Normal 4 3 2 2 2 2 2 3 3 4" xfId="31792" xr:uid="{3296B061-2CF5-4209-9F62-E878948C6E4F}"/>
    <cellStyle name="Normal 4 3 2 2 2 2 2 3 4" xfId="19128" xr:uid="{7BCBC022-C22F-4190-AABA-339DE0932837}"/>
    <cellStyle name="Normal 4 3 2 2 2 2 2 3 4 2" xfId="36022" xr:uid="{0C1B0399-82D8-426B-9959-CD894676CC1B}"/>
    <cellStyle name="Normal 4 3 2 2 2 2 2 3 5" xfId="10681" xr:uid="{F89E2647-074B-445F-A06D-D2D9BDE1ADA5}"/>
    <cellStyle name="Normal 4 3 2 2 2 2 2 3 6" xfId="27575" xr:uid="{3062F946-DF56-4D75-ACD9-5B52230FF965}"/>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2 2 2" xfId="25903" xr:uid="{54BBBDF5-897D-47F8-8B2D-923BCFDD3FB7}"/>
    <cellStyle name="Normal 4 3 2 2 2 2 2 4 2 2 2 2" xfId="42797" xr:uid="{ADC27041-0AEE-417E-BE5E-6AFE2B3B08E1}"/>
    <cellStyle name="Normal 4 3 2 2 2 2 2 4 2 2 3" xfId="17456" xr:uid="{A2936278-FAD0-427B-9479-AB627E360125}"/>
    <cellStyle name="Normal 4 3 2 2 2 2 2 4 2 2 4" xfId="34350" xr:uid="{258852E7-4A40-497A-B4BD-863BD1DC2F4C}"/>
    <cellStyle name="Normal 4 3 2 2 2 2 2 4 2 3" xfId="21686" xr:uid="{CF9EFDAB-A131-4EC3-ACEC-EBBCA1448AC9}"/>
    <cellStyle name="Normal 4 3 2 2 2 2 2 4 2 3 2" xfId="38580" xr:uid="{F5B82CC5-71CA-41D9-B3AD-2CB04C9B1F5C}"/>
    <cellStyle name="Normal 4 3 2 2 2 2 2 4 2 4" xfId="13239" xr:uid="{95B11945-1543-4146-89A4-0F87E3D3B393}"/>
    <cellStyle name="Normal 4 3 2 2 2 2 2 4 2 5" xfId="30133" xr:uid="{F155A1ED-BB31-49D5-B660-FDAD1C000F6F}"/>
    <cellStyle name="Normal 4 3 2 2 2 2 2 4 3" xfId="5985" xr:uid="{00000000-0005-0000-0000-000018140000}"/>
    <cellStyle name="Normal 4 3 2 2 2 2 2 4 3 2" xfId="23758" xr:uid="{2D0BDB23-9233-4462-AA87-D7D1BF75BBCB}"/>
    <cellStyle name="Normal 4 3 2 2 2 2 2 4 3 2 2" xfId="40652" xr:uid="{3A177F72-E765-4EB2-964F-166AE211DE54}"/>
    <cellStyle name="Normal 4 3 2 2 2 2 2 4 3 3" xfId="15311" xr:uid="{BBBDB332-B038-40DC-88DA-6DCA288453C4}"/>
    <cellStyle name="Normal 4 3 2 2 2 2 2 4 3 4" xfId="32205" xr:uid="{54940747-D195-419A-8651-1BC4A5A189C2}"/>
    <cellStyle name="Normal 4 3 2 2 2 2 2 4 4" xfId="19541" xr:uid="{FDFC2FB4-8BC9-4993-AD33-A630360161E6}"/>
    <cellStyle name="Normal 4 3 2 2 2 2 2 4 4 2" xfId="36435" xr:uid="{4579C50E-3379-4D02-9412-0AE739D6771F}"/>
    <cellStyle name="Normal 4 3 2 2 2 2 2 4 5" xfId="11094" xr:uid="{EE045976-CD1A-4F0A-A16C-CA9C97416671}"/>
    <cellStyle name="Normal 4 3 2 2 2 2 2 4 6" xfId="27988" xr:uid="{DE525DA2-5EDE-47F1-BFF6-7636FE4FDEF7}"/>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2 2 2" xfId="26316" xr:uid="{356FF92E-4FDD-4AF5-9553-0FDBB4AB8309}"/>
    <cellStyle name="Normal 4 3 2 2 2 2 2 5 2 2 2 2" xfId="43210" xr:uid="{7F5C104E-3566-4D6D-8124-DC16B5CBD1C8}"/>
    <cellStyle name="Normal 4 3 2 2 2 2 2 5 2 2 3" xfId="17869" xr:uid="{55F8F5E6-3CC5-4C79-BB65-87ED3A04D9F6}"/>
    <cellStyle name="Normal 4 3 2 2 2 2 2 5 2 2 4" xfId="34763" xr:uid="{01E0F38F-5731-4AAD-9D87-8DCDF1EB1408}"/>
    <cellStyle name="Normal 4 3 2 2 2 2 2 5 2 3" xfId="22099" xr:uid="{1F69B602-9971-47C6-AE7C-224AC227F96A}"/>
    <cellStyle name="Normal 4 3 2 2 2 2 2 5 2 3 2" xfId="38993" xr:uid="{14B52191-8E55-4600-B140-0E539CF1078B}"/>
    <cellStyle name="Normal 4 3 2 2 2 2 2 5 2 4" xfId="13652" xr:uid="{8AC6102D-EADD-46DE-9CD9-9E4946E26AD1}"/>
    <cellStyle name="Normal 4 3 2 2 2 2 2 5 2 5" xfId="30546" xr:uid="{9ADD562C-1661-4CEE-B475-DFC00C7F1F74}"/>
    <cellStyle name="Normal 4 3 2 2 2 2 2 5 3" xfId="6398" xr:uid="{00000000-0005-0000-0000-00001C140000}"/>
    <cellStyle name="Normal 4 3 2 2 2 2 2 5 3 2" xfId="24171" xr:uid="{5D07C631-0512-4656-944C-2247A2758AA9}"/>
    <cellStyle name="Normal 4 3 2 2 2 2 2 5 3 2 2" xfId="41065" xr:uid="{6C70AF1E-91E1-461F-9652-CDDE09907DB5}"/>
    <cellStyle name="Normal 4 3 2 2 2 2 2 5 3 3" xfId="15724" xr:uid="{94E12BCB-124C-485B-99E0-875C14190745}"/>
    <cellStyle name="Normal 4 3 2 2 2 2 2 5 3 4" xfId="32618" xr:uid="{8695EDFE-E280-4BD5-903B-40F43E620C69}"/>
    <cellStyle name="Normal 4 3 2 2 2 2 2 5 4" xfId="19954" xr:uid="{42E661E8-16DF-4CF5-A8AE-7BD94F9A864B}"/>
    <cellStyle name="Normal 4 3 2 2 2 2 2 5 4 2" xfId="36848" xr:uid="{0E608538-C176-4A62-8057-B8DB294A1821}"/>
    <cellStyle name="Normal 4 3 2 2 2 2 2 5 5" xfId="11507" xr:uid="{C733D4A3-72A6-4739-8335-5FFD26A85149}"/>
    <cellStyle name="Normal 4 3 2 2 2 2 2 5 6" xfId="28401" xr:uid="{8DEDBC10-27CE-4049-B454-9F8D45BF6502}"/>
    <cellStyle name="Normal 4 3 2 2 2 2 2 6" xfId="2528" xr:uid="{00000000-0005-0000-0000-00001D140000}"/>
    <cellStyle name="Normal 4 3 2 2 2 2 2 6 2" xfId="6811" xr:uid="{00000000-0005-0000-0000-00001E140000}"/>
    <cellStyle name="Normal 4 3 2 2 2 2 2 6 2 2" xfId="24584" xr:uid="{5B1B5DB8-2AD4-4F03-B4A5-9CF77C17263F}"/>
    <cellStyle name="Normal 4 3 2 2 2 2 2 6 2 2 2" xfId="41478" xr:uid="{7DDC4365-41D0-4903-8194-AFCB0D2FFADF}"/>
    <cellStyle name="Normal 4 3 2 2 2 2 2 6 2 3" xfId="16137" xr:uid="{900262D9-A6ED-4B7E-B464-B4A6B5AE449D}"/>
    <cellStyle name="Normal 4 3 2 2 2 2 2 6 2 4" xfId="33031" xr:uid="{76F69BD1-E94D-4233-972D-972FAEA142C7}"/>
    <cellStyle name="Normal 4 3 2 2 2 2 2 6 3" xfId="20367" xr:uid="{B78E4AC4-8F33-4F84-876A-84D09A5E5067}"/>
    <cellStyle name="Normal 4 3 2 2 2 2 2 6 3 2" xfId="37261" xr:uid="{930C6466-704F-4292-9021-B1EDEFA23609}"/>
    <cellStyle name="Normal 4 3 2 2 2 2 2 6 4" xfId="11920" xr:uid="{D9EC8C5E-CBF7-42C8-948E-1D2A5E73960F}"/>
    <cellStyle name="Normal 4 3 2 2 2 2 2 6 5" xfId="28814" xr:uid="{1BB72AEE-D11B-4864-9A63-1B1C317AAC13}"/>
    <cellStyle name="Normal 4 3 2 2 2 2 2 7" xfId="4746" xr:uid="{00000000-0005-0000-0000-00001F140000}"/>
    <cellStyle name="Normal 4 3 2 2 2 2 2 7 2" xfId="22519" xr:uid="{34D2A519-802C-435C-A5EF-F63F21719AB8}"/>
    <cellStyle name="Normal 4 3 2 2 2 2 2 7 2 2" xfId="39413" xr:uid="{6608DAAE-4E70-4E21-8538-C93E28F4D55D}"/>
    <cellStyle name="Normal 4 3 2 2 2 2 2 7 3" xfId="14072" xr:uid="{F049ACCF-A531-4C3C-9358-731B831F1586}"/>
    <cellStyle name="Normal 4 3 2 2 2 2 2 7 4" xfId="30966" xr:uid="{E359C5C6-3EFC-4B7D-9A40-9BECD0CD78E9}"/>
    <cellStyle name="Normal 4 3 2 2 2 2 2 8" xfId="9132" xr:uid="{14F6ED12-EABF-4C82-AD59-55D351026913}"/>
    <cellStyle name="Normal 4 3 2 2 2 2 2 8 2" xfId="18302" xr:uid="{88EC968A-9649-485F-8381-6E0614A0F379}"/>
    <cellStyle name="Normal 4 3 2 2 2 2 2 8 3" xfId="35196" xr:uid="{DB002746-FDEC-4447-88A4-99B9ED94D62E}"/>
    <cellStyle name="Normal 4 3 2 2 2 2 2 9" xfId="9855" xr:uid="{F5C0FF6B-B5E9-497F-9CF0-CAB557F8DEB8}"/>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2 2 2" xfId="25076" xr:uid="{DC2890B2-EAC6-4C54-86CC-E355EABA537B}"/>
    <cellStyle name="Normal 4 3 2 2 2 2 3 2 2 2 2" xfId="41970" xr:uid="{69F4015D-0D06-4579-9A01-23D96AD209D1}"/>
    <cellStyle name="Normal 4 3 2 2 2 2 3 2 2 3" xfId="16629" xr:uid="{2B7CF6AA-9B3D-496B-B644-4095BEEA061A}"/>
    <cellStyle name="Normal 4 3 2 2 2 2 3 2 2 4" xfId="33523" xr:uid="{A6B69039-1977-4838-B0B1-F608D073A58B}"/>
    <cellStyle name="Normal 4 3 2 2 2 2 3 2 3" xfId="20859" xr:uid="{3E596628-91F9-4BC1-B4BB-67B5E683AAF3}"/>
    <cellStyle name="Normal 4 3 2 2 2 2 3 2 3 2" xfId="37753" xr:uid="{5E1F07E8-E892-4707-92ED-7503DF8ABB53}"/>
    <cellStyle name="Normal 4 3 2 2 2 2 3 2 4" xfId="12412" xr:uid="{9F781711-9AC6-45EC-9451-C5E81B5BFE09}"/>
    <cellStyle name="Normal 4 3 2 2 2 2 3 2 5" xfId="29306" xr:uid="{B9128092-E850-47BC-8CBD-77E389BBFD8F}"/>
    <cellStyle name="Normal 4 3 2 2 2 2 3 3" xfId="5158" xr:uid="{00000000-0005-0000-0000-000023140000}"/>
    <cellStyle name="Normal 4 3 2 2 2 2 3 3 2" xfId="22931" xr:uid="{33CCFB29-094E-4AF9-BCAA-75B0C67C52B3}"/>
    <cellStyle name="Normal 4 3 2 2 2 2 3 3 2 2" xfId="39825" xr:uid="{4D0DA980-B783-4E1B-B688-B940B86CC1CA}"/>
    <cellStyle name="Normal 4 3 2 2 2 2 3 3 3" xfId="14484" xr:uid="{39C64F4D-5FE8-4ED2-A39B-BB19FAB84C32}"/>
    <cellStyle name="Normal 4 3 2 2 2 2 3 3 4" xfId="31378" xr:uid="{B831101A-8977-4091-A547-269497AEC0E4}"/>
    <cellStyle name="Normal 4 3 2 2 2 2 3 4" xfId="9350" xr:uid="{DFFEAFB7-A284-4FD9-B115-C19DA011CCC7}"/>
    <cellStyle name="Normal 4 3 2 2 2 2 3 4 2" xfId="18714" xr:uid="{29A7FDD7-60E6-4552-B807-4EDB7AE68935}"/>
    <cellStyle name="Normal 4 3 2 2 2 2 3 4 3" xfId="35608" xr:uid="{CC891F17-1791-4D23-95A7-99B9A29A92D7}"/>
    <cellStyle name="Normal 4 3 2 2 2 2 3 5" xfId="10267" xr:uid="{C8F6DD5A-0CFE-4396-9C63-517B246D7264}"/>
    <cellStyle name="Normal 4 3 2 2 2 2 3 6" xfId="27161" xr:uid="{98DB54B1-B844-4FA7-AFAE-430CCB26D703}"/>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2 2 2" xfId="25489" xr:uid="{2E9F32D4-ADA1-4186-BAE1-6C09E1E50EF9}"/>
    <cellStyle name="Normal 4 3 2 2 2 2 4 2 2 2 2" xfId="42383" xr:uid="{9FFAB7CC-050B-475F-B5CF-072EB55EED12}"/>
    <cellStyle name="Normal 4 3 2 2 2 2 4 2 2 3" xfId="17042" xr:uid="{86AC4532-2E38-4CF8-A0D5-55447FF5EBEF}"/>
    <cellStyle name="Normal 4 3 2 2 2 2 4 2 2 4" xfId="33936" xr:uid="{A55512F8-98D9-4A5B-9647-BEB1089D20CB}"/>
    <cellStyle name="Normal 4 3 2 2 2 2 4 2 3" xfId="21272" xr:uid="{A49B2C53-A0D9-4EB1-8339-8BEC15586E14}"/>
    <cellStyle name="Normal 4 3 2 2 2 2 4 2 3 2" xfId="38166" xr:uid="{62FD127F-2027-4F9C-8AEE-D729AA8B70C3}"/>
    <cellStyle name="Normal 4 3 2 2 2 2 4 2 4" xfId="12825" xr:uid="{ED503254-911D-4AC3-8235-40E67BEFA315}"/>
    <cellStyle name="Normal 4 3 2 2 2 2 4 2 5" xfId="29719" xr:uid="{A084BE23-2B5E-4BAC-B585-7B97A2081AC0}"/>
    <cellStyle name="Normal 4 3 2 2 2 2 4 3" xfId="5571" xr:uid="{00000000-0005-0000-0000-000027140000}"/>
    <cellStyle name="Normal 4 3 2 2 2 2 4 3 2" xfId="23344" xr:uid="{E26651F2-3CA8-4A4C-98D1-E2F5C79CF85F}"/>
    <cellStyle name="Normal 4 3 2 2 2 2 4 3 2 2" xfId="40238" xr:uid="{22E3B18E-ABFA-410F-8D28-E5FB9C9ED920}"/>
    <cellStyle name="Normal 4 3 2 2 2 2 4 3 3" xfId="14897" xr:uid="{164432E2-A42E-4086-9E1A-959852E31D13}"/>
    <cellStyle name="Normal 4 3 2 2 2 2 4 3 4" xfId="31791" xr:uid="{11FB6E85-D5F1-46D9-91C7-B29D86C41787}"/>
    <cellStyle name="Normal 4 3 2 2 2 2 4 4" xfId="19127" xr:uid="{C30B609F-07F3-4355-A248-6954192B9088}"/>
    <cellStyle name="Normal 4 3 2 2 2 2 4 4 2" xfId="36021" xr:uid="{C69814B4-36B3-4B16-8C81-A0F28285A529}"/>
    <cellStyle name="Normal 4 3 2 2 2 2 4 5" xfId="10680" xr:uid="{68847D4D-FEE2-489A-AFBD-183F6E39CDC7}"/>
    <cellStyle name="Normal 4 3 2 2 2 2 4 6" xfId="27574" xr:uid="{B3DC7DDF-1DB2-4992-B32D-F5CDC44ECB4A}"/>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2 2 2" xfId="25902" xr:uid="{DE993B60-15D7-410D-AD62-0E54A288D9D3}"/>
    <cellStyle name="Normal 4 3 2 2 2 2 5 2 2 2 2" xfId="42796" xr:uid="{DE2FC9E1-B95F-466F-9CA4-5502277718BF}"/>
    <cellStyle name="Normal 4 3 2 2 2 2 5 2 2 3" xfId="17455" xr:uid="{48561A71-2739-4F80-87A6-61EB6CE6BCC8}"/>
    <cellStyle name="Normal 4 3 2 2 2 2 5 2 2 4" xfId="34349" xr:uid="{63DE0334-7B65-4613-B796-46CE666B7D79}"/>
    <cellStyle name="Normal 4 3 2 2 2 2 5 2 3" xfId="21685" xr:uid="{2F666224-DC59-4F3E-A351-073BD18470DB}"/>
    <cellStyle name="Normal 4 3 2 2 2 2 5 2 3 2" xfId="38579" xr:uid="{68142FC7-1D60-4970-9368-D7B35487F157}"/>
    <cellStyle name="Normal 4 3 2 2 2 2 5 2 4" xfId="13238" xr:uid="{71AA676D-0CB9-4961-9706-7450570A28E0}"/>
    <cellStyle name="Normal 4 3 2 2 2 2 5 2 5" xfId="30132" xr:uid="{CD95864D-9E82-48D3-8467-1C7353864BB0}"/>
    <cellStyle name="Normal 4 3 2 2 2 2 5 3" xfId="5984" xr:uid="{00000000-0005-0000-0000-00002B140000}"/>
    <cellStyle name="Normal 4 3 2 2 2 2 5 3 2" xfId="23757" xr:uid="{98CADBB3-BA3B-4E9B-8581-D57269FF5897}"/>
    <cellStyle name="Normal 4 3 2 2 2 2 5 3 2 2" xfId="40651" xr:uid="{EBC7D0D8-1724-4089-9482-50755A7B204A}"/>
    <cellStyle name="Normal 4 3 2 2 2 2 5 3 3" xfId="15310" xr:uid="{00E24F73-FEE9-4742-B931-43E563AAC1BB}"/>
    <cellStyle name="Normal 4 3 2 2 2 2 5 3 4" xfId="32204" xr:uid="{E802B246-9ED0-4127-BB13-7EEBD9438174}"/>
    <cellStyle name="Normal 4 3 2 2 2 2 5 4" xfId="19540" xr:uid="{252DD658-5C81-4D5C-BEFB-DF39B204AFCC}"/>
    <cellStyle name="Normal 4 3 2 2 2 2 5 4 2" xfId="36434" xr:uid="{3BC1F427-3F34-4CBA-A8CB-DA95CFC003BB}"/>
    <cellStyle name="Normal 4 3 2 2 2 2 5 5" xfId="11093" xr:uid="{9DE8CF41-6E9D-4121-B925-6710BD479671}"/>
    <cellStyle name="Normal 4 3 2 2 2 2 5 6" xfId="27987" xr:uid="{C3451C02-F32A-49BC-BA10-69D7DF32DF87}"/>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2 2 2" xfId="26315" xr:uid="{E4801F92-F402-48A7-BA50-B0AA74264F92}"/>
    <cellStyle name="Normal 4 3 2 2 2 2 6 2 2 2 2" xfId="43209" xr:uid="{C218B23F-BCFE-4229-898A-DA43AD6E22C1}"/>
    <cellStyle name="Normal 4 3 2 2 2 2 6 2 2 3" xfId="17868" xr:uid="{D72843B0-2EC2-442C-8E44-8CC353F41AA6}"/>
    <cellStyle name="Normal 4 3 2 2 2 2 6 2 2 4" xfId="34762" xr:uid="{F3DC2499-3491-4960-8885-CA07725ED7B6}"/>
    <cellStyle name="Normal 4 3 2 2 2 2 6 2 3" xfId="22098" xr:uid="{7B14A954-F76D-4991-AC4F-104FBF0C9575}"/>
    <cellStyle name="Normal 4 3 2 2 2 2 6 2 3 2" xfId="38992" xr:uid="{BC1C3EEA-314E-4916-916F-A2A211F6B66A}"/>
    <cellStyle name="Normal 4 3 2 2 2 2 6 2 4" xfId="13651" xr:uid="{48EB0195-21B4-4974-BCE0-4FFB910B329E}"/>
    <cellStyle name="Normal 4 3 2 2 2 2 6 2 5" xfId="30545" xr:uid="{26FA1771-071F-41D1-8930-FA2AA63F1306}"/>
    <cellStyle name="Normal 4 3 2 2 2 2 6 3" xfId="6397" xr:uid="{00000000-0005-0000-0000-00002F140000}"/>
    <cellStyle name="Normal 4 3 2 2 2 2 6 3 2" xfId="24170" xr:uid="{F87AA245-326B-4FA1-98C0-6B20A3AF46D6}"/>
    <cellStyle name="Normal 4 3 2 2 2 2 6 3 2 2" xfId="41064" xr:uid="{EE960D64-1C17-4E88-B3DF-7BE5F5FFA6A3}"/>
    <cellStyle name="Normal 4 3 2 2 2 2 6 3 3" xfId="15723" xr:uid="{B70D9C0B-9E7C-4A6A-AD93-87C82B095005}"/>
    <cellStyle name="Normal 4 3 2 2 2 2 6 3 4" xfId="32617" xr:uid="{4A735F29-6C8D-47F6-A22B-208316819E02}"/>
    <cellStyle name="Normal 4 3 2 2 2 2 6 4" xfId="19953" xr:uid="{4C383920-F009-4F51-8A9F-15BBAB87F62E}"/>
    <cellStyle name="Normal 4 3 2 2 2 2 6 4 2" xfId="36847" xr:uid="{4B7A2491-2A19-47DC-8636-30F50F33EED4}"/>
    <cellStyle name="Normal 4 3 2 2 2 2 6 5" xfId="11506" xr:uid="{58BFE64C-70AF-466D-B61D-E12E9D757804}"/>
    <cellStyle name="Normal 4 3 2 2 2 2 6 6" xfId="28400" xr:uid="{41DB82A4-0EF9-475C-8CB2-0617F1B9F989}"/>
    <cellStyle name="Normal 4 3 2 2 2 2 7" xfId="2527" xr:uid="{00000000-0005-0000-0000-000030140000}"/>
    <cellStyle name="Normal 4 3 2 2 2 2 7 2" xfId="6810" xr:uid="{00000000-0005-0000-0000-000031140000}"/>
    <cellStyle name="Normal 4 3 2 2 2 2 7 2 2" xfId="24583" xr:uid="{152DD6A8-6410-477E-B367-A75332352B45}"/>
    <cellStyle name="Normal 4 3 2 2 2 2 7 2 2 2" xfId="41477" xr:uid="{73C78D70-DC30-4956-B66B-363F3A55FBFF}"/>
    <cellStyle name="Normal 4 3 2 2 2 2 7 2 3" xfId="16136" xr:uid="{E57F318F-540D-4787-AA93-AC8C4E8703F3}"/>
    <cellStyle name="Normal 4 3 2 2 2 2 7 2 4" xfId="33030" xr:uid="{84C5D42C-C144-4D6E-A852-4CF18D8E95F7}"/>
    <cellStyle name="Normal 4 3 2 2 2 2 7 3" xfId="20366" xr:uid="{462A24F5-9E8B-4DE9-BE79-7FC1605EC8CF}"/>
    <cellStyle name="Normal 4 3 2 2 2 2 7 3 2" xfId="37260" xr:uid="{95FB8C63-F0D9-46CD-AD44-0C446DB6087A}"/>
    <cellStyle name="Normal 4 3 2 2 2 2 7 4" xfId="11919" xr:uid="{707DAB3D-C0EE-40CB-A480-06AC4E2EB028}"/>
    <cellStyle name="Normal 4 3 2 2 2 2 7 5" xfId="28813" xr:uid="{42AB128A-8572-45AE-B2EC-F8926DA84012}"/>
    <cellStyle name="Normal 4 3 2 2 2 2 8" xfId="4745" xr:uid="{00000000-0005-0000-0000-000032140000}"/>
    <cellStyle name="Normal 4 3 2 2 2 2 8 2" xfId="22518" xr:uid="{668C7B2E-D979-4385-B078-69F03E6AEBC8}"/>
    <cellStyle name="Normal 4 3 2 2 2 2 8 2 2" xfId="39412" xr:uid="{6CC8FB57-AE07-4E2C-85E6-3821C246DFD8}"/>
    <cellStyle name="Normal 4 3 2 2 2 2 8 3" xfId="14071" xr:uid="{FF6EE5B5-4992-453C-8BC0-315C77570CBE}"/>
    <cellStyle name="Normal 4 3 2 2 2 2 8 4" xfId="30965" xr:uid="{5CB9CF6C-7EE1-4A4A-B61D-0865777DEDEA}"/>
    <cellStyle name="Normal 4 3 2 2 2 2 9" xfId="8925" xr:uid="{71BB8AFA-37D7-474D-A12B-C284DDE23CE9}"/>
    <cellStyle name="Normal 4 3 2 2 2 2 9 2" xfId="18301" xr:uid="{BAF6E067-8EF8-4E71-A8C1-D65045B5E740}"/>
    <cellStyle name="Normal 4 3 2 2 2 2 9 3" xfId="35195" xr:uid="{EE096E38-CA7F-41B0-AEF2-B00211A70027}"/>
    <cellStyle name="Normal 4 3 2 2 2 3" xfId="372" xr:uid="{00000000-0005-0000-0000-000033140000}"/>
    <cellStyle name="Normal 4 3 2 2 2 3 10" xfId="26750" xr:uid="{2D291DCA-0A7E-4D4D-8C65-1E7108569FFD}"/>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2 2 2" xfId="25078" xr:uid="{36933FF7-A901-4182-916C-0AD6C2CC9F67}"/>
    <cellStyle name="Normal 4 3 2 2 2 3 2 2 2 2 2" xfId="41972" xr:uid="{D0BA7C19-7F14-4C9F-AA9C-6B56483998F0}"/>
    <cellStyle name="Normal 4 3 2 2 2 3 2 2 2 3" xfId="16631" xr:uid="{34295502-A0BE-42F7-9B7B-DAC4B8B5920B}"/>
    <cellStyle name="Normal 4 3 2 2 2 3 2 2 2 4" xfId="33525" xr:uid="{BED06B33-C4A2-4C44-BAF7-80F081144CA3}"/>
    <cellStyle name="Normal 4 3 2 2 2 3 2 2 3" xfId="20861" xr:uid="{05CE79E4-2502-4F95-A5E9-447EBB0C0F87}"/>
    <cellStyle name="Normal 4 3 2 2 2 3 2 2 3 2" xfId="37755" xr:uid="{B94A8902-1C36-478D-A31D-7E0D50B648B8}"/>
    <cellStyle name="Normal 4 3 2 2 2 3 2 2 4" xfId="12414" xr:uid="{FB9B9DCE-23F6-4C09-985A-1A8AF69E6897}"/>
    <cellStyle name="Normal 4 3 2 2 2 3 2 2 5" xfId="29308" xr:uid="{4C205FD3-7A85-4228-99BC-B67E10F755B9}"/>
    <cellStyle name="Normal 4 3 2 2 2 3 2 3" xfId="5160" xr:uid="{00000000-0005-0000-0000-000037140000}"/>
    <cellStyle name="Normal 4 3 2 2 2 3 2 3 2" xfId="22933" xr:uid="{A0F9C897-8E2B-45DC-A69D-807A2A23E9CF}"/>
    <cellStyle name="Normal 4 3 2 2 2 3 2 3 2 2" xfId="39827" xr:uid="{8CD1E126-769F-46D2-9920-542E07BF6526}"/>
    <cellStyle name="Normal 4 3 2 2 2 3 2 3 3" xfId="14486" xr:uid="{9D99548D-E6F2-4D24-8BA1-A00C63C98AC2}"/>
    <cellStyle name="Normal 4 3 2 2 2 3 2 3 4" xfId="31380" xr:uid="{1F6C351D-D2E4-4489-A4BD-6C4B83837DAD}"/>
    <cellStyle name="Normal 4 3 2 2 2 3 2 4" xfId="9454" xr:uid="{B81F5EAA-7D8E-43B5-94D7-313E66088BA5}"/>
    <cellStyle name="Normal 4 3 2 2 2 3 2 4 2" xfId="18716" xr:uid="{B6522559-04F4-40EF-A514-72630FB98B7E}"/>
    <cellStyle name="Normal 4 3 2 2 2 3 2 4 3" xfId="35610" xr:uid="{F7FE782F-CAE6-4E15-923C-D5CD3F0F4190}"/>
    <cellStyle name="Normal 4 3 2 2 2 3 2 5" xfId="10269" xr:uid="{E9D74950-8C3B-47CD-88FF-7B0CC59AB33C}"/>
    <cellStyle name="Normal 4 3 2 2 2 3 2 6" xfId="27163" xr:uid="{EC310812-3B45-4899-B9E6-9D8BDE4A3EFE}"/>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2 2 2" xfId="25491" xr:uid="{F15DF445-E089-4C15-A3A1-D5A6D0B7D18B}"/>
    <cellStyle name="Normal 4 3 2 2 2 3 3 2 2 2 2" xfId="42385" xr:uid="{B40BE6CF-ADF9-403A-92E7-2BD3476654D5}"/>
    <cellStyle name="Normal 4 3 2 2 2 3 3 2 2 3" xfId="17044" xr:uid="{E5D897A0-CF8F-4097-B69E-18AED085D995}"/>
    <cellStyle name="Normal 4 3 2 2 2 3 3 2 2 4" xfId="33938" xr:uid="{835A1428-7503-4FDF-A723-56DA6B0C3CDC}"/>
    <cellStyle name="Normal 4 3 2 2 2 3 3 2 3" xfId="21274" xr:uid="{94F9BE67-34A2-41F1-AE37-8658F13CF97B}"/>
    <cellStyle name="Normal 4 3 2 2 2 3 3 2 3 2" xfId="38168" xr:uid="{5CF9D0DB-F522-4DEC-AF26-E55B0B960C43}"/>
    <cellStyle name="Normal 4 3 2 2 2 3 3 2 4" xfId="12827" xr:uid="{B059E5C2-1C37-419E-807D-E6579340A5C5}"/>
    <cellStyle name="Normal 4 3 2 2 2 3 3 2 5" xfId="29721" xr:uid="{6854230C-B22D-4A99-919A-27A9355BAE9D}"/>
    <cellStyle name="Normal 4 3 2 2 2 3 3 3" xfId="5573" xr:uid="{00000000-0005-0000-0000-00003B140000}"/>
    <cellStyle name="Normal 4 3 2 2 2 3 3 3 2" xfId="23346" xr:uid="{4FB73568-B5A0-468C-80B4-8BB0CC4569FC}"/>
    <cellStyle name="Normal 4 3 2 2 2 3 3 3 2 2" xfId="40240" xr:uid="{74B6AC1C-B41F-4E98-B1C8-628800ED4673}"/>
    <cellStyle name="Normal 4 3 2 2 2 3 3 3 3" xfId="14899" xr:uid="{4586BFDA-3277-4B1B-81B8-9DD3914271B2}"/>
    <cellStyle name="Normal 4 3 2 2 2 3 3 3 4" xfId="31793" xr:uid="{35DA6185-C331-4D95-BA87-E8F9C5AEB5FC}"/>
    <cellStyle name="Normal 4 3 2 2 2 3 3 4" xfId="19129" xr:uid="{6D763C16-F879-4371-8EBC-048F48E5B030}"/>
    <cellStyle name="Normal 4 3 2 2 2 3 3 4 2" xfId="36023" xr:uid="{F6A1DB03-9237-48BA-B35A-845CC3DA7E8D}"/>
    <cellStyle name="Normal 4 3 2 2 2 3 3 5" xfId="10682" xr:uid="{3FCB75A7-4BBD-448F-BA53-CD78272F61AA}"/>
    <cellStyle name="Normal 4 3 2 2 2 3 3 6" xfId="27576" xr:uid="{C116EB8F-F94B-4E5A-8639-83E67B3619A2}"/>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2 2 2" xfId="25904" xr:uid="{1765C04F-3DE3-477C-A89D-0683668678BC}"/>
    <cellStyle name="Normal 4 3 2 2 2 3 4 2 2 2 2" xfId="42798" xr:uid="{48DB13C0-9223-4A71-8DF8-F07C9F46BF62}"/>
    <cellStyle name="Normal 4 3 2 2 2 3 4 2 2 3" xfId="17457" xr:uid="{DE7A4777-2F69-4281-A73A-D878F915AF59}"/>
    <cellStyle name="Normal 4 3 2 2 2 3 4 2 2 4" xfId="34351" xr:uid="{9137D7D6-E60A-40BF-A324-1522387A1411}"/>
    <cellStyle name="Normal 4 3 2 2 2 3 4 2 3" xfId="21687" xr:uid="{60CC6B71-A296-4753-B195-2FDC1D2BCBE0}"/>
    <cellStyle name="Normal 4 3 2 2 2 3 4 2 3 2" xfId="38581" xr:uid="{6243980B-D15D-4757-AA2B-3164FDD2F31E}"/>
    <cellStyle name="Normal 4 3 2 2 2 3 4 2 4" xfId="13240" xr:uid="{8FBE6485-BCAD-404F-82F8-8977F80C4332}"/>
    <cellStyle name="Normal 4 3 2 2 2 3 4 2 5" xfId="30134" xr:uid="{C6747B12-8490-4FDC-A423-62CE788F61D9}"/>
    <cellStyle name="Normal 4 3 2 2 2 3 4 3" xfId="5986" xr:uid="{00000000-0005-0000-0000-00003F140000}"/>
    <cellStyle name="Normal 4 3 2 2 2 3 4 3 2" xfId="23759" xr:uid="{7B95F066-E916-4925-8AA0-E5F347BB475C}"/>
    <cellStyle name="Normal 4 3 2 2 2 3 4 3 2 2" xfId="40653" xr:uid="{9706A1AE-23B0-48CB-802A-3A3DC5E66DAC}"/>
    <cellStyle name="Normal 4 3 2 2 2 3 4 3 3" xfId="15312" xr:uid="{87812730-10CA-4C10-823F-432D27BEA782}"/>
    <cellStyle name="Normal 4 3 2 2 2 3 4 3 4" xfId="32206" xr:uid="{F092D1B3-B888-44AE-954F-C39E13710E63}"/>
    <cellStyle name="Normal 4 3 2 2 2 3 4 4" xfId="19542" xr:uid="{47D7F065-4669-42CC-BA78-13F055F51B47}"/>
    <cellStyle name="Normal 4 3 2 2 2 3 4 4 2" xfId="36436" xr:uid="{6CA91314-8B83-4C61-8543-73A091F84C26}"/>
    <cellStyle name="Normal 4 3 2 2 2 3 4 5" xfId="11095" xr:uid="{2A5D5227-D977-4351-B8BD-E0DE51094C08}"/>
    <cellStyle name="Normal 4 3 2 2 2 3 4 6" xfId="27989" xr:uid="{D34C82C3-A67D-48D5-9B72-DAA295E96FA7}"/>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2 2 2" xfId="26317" xr:uid="{6982202B-663C-424B-8823-FFE08018EDAA}"/>
    <cellStyle name="Normal 4 3 2 2 2 3 5 2 2 2 2" xfId="43211" xr:uid="{E5B7730A-9756-4443-8BC9-D2A77E6541AD}"/>
    <cellStyle name="Normal 4 3 2 2 2 3 5 2 2 3" xfId="17870" xr:uid="{3B23CC1A-8A90-49FD-9261-750A25643BD1}"/>
    <cellStyle name="Normal 4 3 2 2 2 3 5 2 2 4" xfId="34764" xr:uid="{0B1D09BB-C9A7-4B38-ABA3-E41C532DA335}"/>
    <cellStyle name="Normal 4 3 2 2 2 3 5 2 3" xfId="22100" xr:uid="{D41FDAD0-70E3-49C0-B90B-FFC110442D64}"/>
    <cellStyle name="Normal 4 3 2 2 2 3 5 2 3 2" xfId="38994" xr:uid="{5613BABB-86A2-406B-9BBF-B0D2527EE628}"/>
    <cellStyle name="Normal 4 3 2 2 2 3 5 2 4" xfId="13653" xr:uid="{61F09E54-D9D7-4D9B-8223-F90BEE119F12}"/>
    <cellStyle name="Normal 4 3 2 2 2 3 5 2 5" xfId="30547" xr:uid="{E29FC979-A96F-49AF-9B98-F4016B114500}"/>
    <cellStyle name="Normal 4 3 2 2 2 3 5 3" xfId="6399" xr:uid="{00000000-0005-0000-0000-000043140000}"/>
    <cellStyle name="Normal 4 3 2 2 2 3 5 3 2" xfId="24172" xr:uid="{23C6A84E-37C3-4D41-AA69-2CC714D24E47}"/>
    <cellStyle name="Normal 4 3 2 2 2 3 5 3 2 2" xfId="41066" xr:uid="{AEC7C6C3-2A6E-4C29-BA3A-0EE27A001D9E}"/>
    <cellStyle name="Normal 4 3 2 2 2 3 5 3 3" xfId="15725" xr:uid="{421D5CA0-AD5F-4143-B97D-750E96E8DBFB}"/>
    <cellStyle name="Normal 4 3 2 2 2 3 5 3 4" xfId="32619" xr:uid="{8182EF1E-BFEA-4C4B-B12A-84E51942C9E8}"/>
    <cellStyle name="Normal 4 3 2 2 2 3 5 4" xfId="19955" xr:uid="{6F784A9C-0538-45D0-B203-04A672714A73}"/>
    <cellStyle name="Normal 4 3 2 2 2 3 5 4 2" xfId="36849" xr:uid="{3083C6F3-C9B8-4C43-A3E6-45F9710E82DD}"/>
    <cellStyle name="Normal 4 3 2 2 2 3 5 5" xfId="11508" xr:uid="{D57C3E37-75C1-48C2-9F34-9EB4478AAE8C}"/>
    <cellStyle name="Normal 4 3 2 2 2 3 5 6" xfId="28402" xr:uid="{8F7FC2CF-8A73-484B-A076-83BC33B18C22}"/>
    <cellStyle name="Normal 4 3 2 2 2 3 6" xfId="2529" xr:uid="{00000000-0005-0000-0000-000044140000}"/>
    <cellStyle name="Normal 4 3 2 2 2 3 6 2" xfId="6812" xr:uid="{00000000-0005-0000-0000-000045140000}"/>
    <cellStyle name="Normal 4 3 2 2 2 3 6 2 2" xfId="24585" xr:uid="{50A1C69E-BBC0-4406-B6D8-6BC2B4AB0A9D}"/>
    <cellStyle name="Normal 4 3 2 2 2 3 6 2 2 2" xfId="41479" xr:uid="{55486193-740F-4580-AACC-B29E12FF8DD9}"/>
    <cellStyle name="Normal 4 3 2 2 2 3 6 2 3" xfId="16138" xr:uid="{92ABBCFD-9D83-4701-AC04-8D1C3C1A092B}"/>
    <cellStyle name="Normal 4 3 2 2 2 3 6 2 4" xfId="33032" xr:uid="{70AE762D-A229-4099-B339-01C0432EE7CB}"/>
    <cellStyle name="Normal 4 3 2 2 2 3 6 3" xfId="20368" xr:uid="{835C45D4-D8AC-4901-9BB9-9421775B91A2}"/>
    <cellStyle name="Normal 4 3 2 2 2 3 6 3 2" xfId="37262" xr:uid="{DFADE618-6AF5-4C61-95C1-BEA60FBF2A11}"/>
    <cellStyle name="Normal 4 3 2 2 2 3 6 4" xfId="11921" xr:uid="{C4563C8A-EDC9-42E6-845A-0FC83BCCCECA}"/>
    <cellStyle name="Normal 4 3 2 2 2 3 6 5" xfId="28815" xr:uid="{5D2CD93D-6859-49B9-A6A0-8C51AC18272C}"/>
    <cellStyle name="Normal 4 3 2 2 2 3 7" xfId="4747" xr:uid="{00000000-0005-0000-0000-000046140000}"/>
    <cellStyle name="Normal 4 3 2 2 2 3 7 2" xfId="22520" xr:uid="{A8C86E6E-89BA-4023-AFCF-1144929B3D87}"/>
    <cellStyle name="Normal 4 3 2 2 2 3 7 2 2" xfId="39414" xr:uid="{6808BF46-E223-47D5-962A-340736CA3813}"/>
    <cellStyle name="Normal 4 3 2 2 2 3 7 3" xfId="14073" xr:uid="{020D57E4-7920-4BEC-8BA1-380825B40F5B}"/>
    <cellStyle name="Normal 4 3 2 2 2 3 7 4" xfId="30967" xr:uid="{36D825BB-0D97-48BF-B229-D8934E2C51BF}"/>
    <cellStyle name="Normal 4 3 2 2 2 3 8" xfId="9029" xr:uid="{CC421D7E-69EF-4D96-A95C-E67F046F8D14}"/>
    <cellStyle name="Normal 4 3 2 2 2 3 8 2" xfId="18303" xr:uid="{E9578B18-011C-42BF-B619-1674DF0446C8}"/>
    <cellStyle name="Normal 4 3 2 2 2 3 8 3" xfId="35197" xr:uid="{45E4EE6C-E1FB-4780-BBA2-1E3A9D1B6901}"/>
    <cellStyle name="Normal 4 3 2 2 2 3 9" xfId="9856" xr:uid="{C50E8930-8FA6-40C6-BC1E-0CEB9BE261D1}"/>
    <cellStyle name="Normal 4 3 2 2 2 4" xfId="844" xr:uid="{00000000-0005-0000-0000-000047140000}"/>
    <cellStyle name="Normal 4 3 2 2 2 4 2" xfId="3080" xr:uid="{00000000-0005-0000-0000-000048140000}"/>
    <cellStyle name="Normal 4 3 2 2 2 4 2 2" xfId="7302" xr:uid="{00000000-0005-0000-0000-000049140000}"/>
    <cellStyle name="Normal 4 3 2 2 2 4 2 2 2" xfId="25075" xr:uid="{44892B63-CBE9-4CA1-8E43-F377C1FD6727}"/>
    <cellStyle name="Normal 4 3 2 2 2 4 2 2 2 2" xfId="41969" xr:uid="{117BDEEC-B685-4EED-9E92-907004F7C687}"/>
    <cellStyle name="Normal 4 3 2 2 2 4 2 2 3" xfId="16628" xr:uid="{653CF017-D3B7-4885-A3DF-D6740486774A}"/>
    <cellStyle name="Normal 4 3 2 2 2 4 2 2 4" xfId="33522" xr:uid="{6D8E9F65-8BBD-48F7-B20F-0D329ABDBCF6}"/>
    <cellStyle name="Normal 4 3 2 2 2 4 2 3" xfId="20858" xr:uid="{30D272E3-75B0-4543-A640-0B4CF3E19247}"/>
    <cellStyle name="Normal 4 3 2 2 2 4 2 3 2" xfId="37752" xr:uid="{31227079-9E65-4A10-BE52-554827379477}"/>
    <cellStyle name="Normal 4 3 2 2 2 4 2 4" xfId="12411" xr:uid="{91EF5C7C-6C8E-4AE9-B059-42A9C4574AB7}"/>
    <cellStyle name="Normal 4 3 2 2 2 4 2 5" xfId="29305" xr:uid="{9E6C37BD-B6DC-4C47-B85A-CCC3539DD43D}"/>
    <cellStyle name="Normal 4 3 2 2 2 4 3" xfId="5157" xr:uid="{00000000-0005-0000-0000-00004A140000}"/>
    <cellStyle name="Normal 4 3 2 2 2 4 3 2" xfId="22930" xr:uid="{2D128843-867A-48A1-8FA8-7FA1EE6394CB}"/>
    <cellStyle name="Normal 4 3 2 2 2 4 3 2 2" xfId="39824" xr:uid="{1C78EACC-3BAF-48E1-9FBF-24A4E0D29F3F}"/>
    <cellStyle name="Normal 4 3 2 2 2 4 3 3" xfId="14483" xr:uid="{F9BF490A-72E1-4287-B41F-400C4CD2977A}"/>
    <cellStyle name="Normal 4 3 2 2 2 4 3 4" xfId="31377" xr:uid="{A917D4DC-D67F-4671-8556-EBBB1E9EF41B}"/>
    <cellStyle name="Normal 4 3 2 2 2 4 4" xfId="9247" xr:uid="{70D9D224-DB0B-42B4-B4A9-BC88F455C395}"/>
    <cellStyle name="Normal 4 3 2 2 2 4 4 2" xfId="18713" xr:uid="{94D4CAFB-195D-4933-AB33-DDBE92CE857C}"/>
    <cellStyle name="Normal 4 3 2 2 2 4 4 3" xfId="35607" xr:uid="{84306692-0500-4C49-A4FF-1B66A9074E37}"/>
    <cellStyle name="Normal 4 3 2 2 2 4 5" xfId="10266" xr:uid="{96CB25AC-757F-4357-B171-9E09C98845A0}"/>
    <cellStyle name="Normal 4 3 2 2 2 4 6" xfId="27160" xr:uid="{3FF417F8-88C7-43B6-954F-C5F538515FE7}"/>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2 2 2" xfId="25488" xr:uid="{C40E7768-A556-4A4E-AE30-44BBE7514F34}"/>
    <cellStyle name="Normal 4 3 2 2 2 5 2 2 2 2" xfId="42382" xr:uid="{29B3F83D-F2D0-4ADF-9183-CC6C8DBF9766}"/>
    <cellStyle name="Normal 4 3 2 2 2 5 2 2 3" xfId="17041" xr:uid="{1F655C0C-1740-4D0F-9CB0-0D1F9F02D27A}"/>
    <cellStyle name="Normal 4 3 2 2 2 5 2 2 4" xfId="33935" xr:uid="{185C35AB-72FB-4E7E-A1CB-700582A50912}"/>
    <cellStyle name="Normal 4 3 2 2 2 5 2 3" xfId="21271" xr:uid="{BB3259B2-FC77-4A85-91FC-2614A463E3A8}"/>
    <cellStyle name="Normal 4 3 2 2 2 5 2 3 2" xfId="38165" xr:uid="{C776BA85-E350-4799-B92C-A7A690D7B9A7}"/>
    <cellStyle name="Normal 4 3 2 2 2 5 2 4" xfId="12824" xr:uid="{F6DA9924-F5EB-4B5D-BF89-5B218F0EAC1C}"/>
    <cellStyle name="Normal 4 3 2 2 2 5 2 5" xfId="29718" xr:uid="{6102542D-6342-4B96-8BD6-1FF2686F1122}"/>
    <cellStyle name="Normal 4 3 2 2 2 5 3" xfId="5570" xr:uid="{00000000-0005-0000-0000-00004E140000}"/>
    <cellStyle name="Normal 4 3 2 2 2 5 3 2" xfId="23343" xr:uid="{D3B6A3EF-A8C1-4616-B128-72F4FAC1FDD3}"/>
    <cellStyle name="Normal 4 3 2 2 2 5 3 2 2" xfId="40237" xr:uid="{09A1AD5E-CF73-4A44-8E4B-04C54FD75E48}"/>
    <cellStyle name="Normal 4 3 2 2 2 5 3 3" xfId="14896" xr:uid="{B3C0C38A-CF61-4911-8F6F-5B68DAA6779F}"/>
    <cellStyle name="Normal 4 3 2 2 2 5 3 4" xfId="31790" xr:uid="{0D455C33-88D4-4A86-A634-3E7D242AFB76}"/>
    <cellStyle name="Normal 4 3 2 2 2 5 4" xfId="19126" xr:uid="{7B951579-8AED-4F63-AA76-494853989946}"/>
    <cellStyle name="Normal 4 3 2 2 2 5 4 2" xfId="36020" xr:uid="{9A9B970E-88D0-4C8A-B361-C155BFD8BC74}"/>
    <cellStyle name="Normal 4 3 2 2 2 5 5" xfId="10679" xr:uid="{53B8CD95-5896-4291-88F1-14C6D6E8F495}"/>
    <cellStyle name="Normal 4 3 2 2 2 5 6" xfId="27573" xr:uid="{34401366-2285-40E2-A18E-A44D05714E54}"/>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2 2 2" xfId="25901" xr:uid="{845E2992-A1E3-485C-8D96-D85C2A723691}"/>
    <cellStyle name="Normal 4 3 2 2 2 6 2 2 2 2" xfId="42795" xr:uid="{B7973033-7219-4C63-A53E-8DE5D1884666}"/>
    <cellStyle name="Normal 4 3 2 2 2 6 2 2 3" xfId="17454" xr:uid="{2653F1AC-FF72-4A7F-829D-814A191304C3}"/>
    <cellStyle name="Normal 4 3 2 2 2 6 2 2 4" xfId="34348" xr:uid="{F05AA876-1BD0-43BF-AB00-9318547719E8}"/>
    <cellStyle name="Normal 4 3 2 2 2 6 2 3" xfId="21684" xr:uid="{283BABCA-FD5C-4A76-9C94-2E2F2869EF93}"/>
    <cellStyle name="Normal 4 3 2 2 2 6 2 3 2" xfId="38578" xr:uid="{E46C9801-B346-4648-86B1-3D26355606BD}"/>
    <cellStyle name="Normal 4 3 2 2 2 6 2 4" xfId="13237" xr:uid="{CB8FADFD-C4B2-4ED1-B7CA-362F38D2BCD3}"/>
    <cellStyle name="Normal 4 3 2 2 2 6 2 5" xfId="30131" xr:uid="{DF4A0C34-E60A-4B2A-A308-ABE5E4BB06BA}"/>
    <cellStyle name="Normal 4 3 2 2 2 6 3" xfId="5983" xr:uid="{00000000-0005-0000-0000-000052140000}"/>
    <cellStyle name="Normal 4 3 2 2 2 6 3 2" xfId="23756" xr:uid="{A590D4E4-1F6C-4F74-AFD1-3525CB67FF06}"/>
    <cellStyle name="Normal 4 3 2 2 2 6 3 2 2" xfId="40650" xr:uid="{E6544F9C-3570-4F2D-8816-15E7662BD55D}"/>
    <cellStyle name="Normal 4 3 2 2 2 6 3 3" xfId="15309" xr:uid="{19A990FE-2F01-49DC-B66B-03AF9A65C7E2}"/>
    <cellStyle name="Normal 4 3 2 2 2 6 3 4" xfId="32203" xr:uid="{F9E48CB7-6FA1-4CA0-836B-30176CCDE7BC}"/>
    <cellStyle name="Normal 4 3 2 2 2 6 4" xfId="19539" xr:uid="{7AF17BE9-977C-4CA9-B714-AC9572F8B1E6}"/>
    <cellStyle name="Normal 4 3 2 2 2 6 4 2" xfId="36433" xr:uid="{3A7A5BB6-B60F-43A1-8511-149ADFA4F26D}"/>
    <cellStyle name="Normal 4 3 2 2 2 6 5" xfId="11092" xr:uid="{AE73B603-EB27-4FE0-80A6-88AB48FC9102}"/>
    <cellStyle name="Normal 4 3 2 2 2 6 6" xfId="27986" xr:uid="{51271D91-27FA-4EEE-8A73-FA92A3A90A41}"/>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2 2 2" xfId="26314" xr:uid="{EC75CCE0-0D2C-440E-AD22-B1F768770E4C}"/>
    <cellStyle name="Normal 4 3 2 2 2 7 2 2 2 2" xfId="43208" xr:uid="{72FFED9E-B867-40C3-8BFC-AA03AD58E9B7}"/>
    <cellStyle name="Normal 4 3 2 2 2 7 2 2 3" xfId="17867" xr:uid="{A4B00369-6FB6-4CA4-B4C5-E032A0C41B3B}"/>
    <cellStyle name="Normal 4 3 2 2 2 7 2 2 4" xfId="34761" xr:uid="{08507B0B-B6E0-4E8C-B7F4-0F46E1C923B6}"/>
    <cellStyle name="Normal 4 3 2 2 2 7 2 3" xfId="22097" xr:uid="{77D22206-6CF1-456E-A009-E8E5B9F25291}"/>
    <cellStyle name="Normal 4 3 2 2 2 7 2 3 2" xfId="38991" xr:uid="{6A14C1A0-697C-4E6D-9B38-2AE4D2C4237F}"/>
    <cellStyle name="Normal 4 3 2 2 2 7 2 4" xfId="13650" xr:uid="{F5A0ED80-A267-45FC-9754-8812BBA2A11C}"/>
    <cellStyle name="Normal 4 3 2 2 2 7 2 5" xfId="30544" xr:uid="{2A5F94F7-CBD8-453C-88FD-51C0A5F7DB35}"/>
    <cellStyle name="Normal 4 3 2 2 2 7 3" xfId="6396" xr:uid="{00000000-0005-0000-0000-000056140000}"/>
    <cellStyle name="Normal 4 3 2 2 2 7 3 2" xfId="24169" xr:uid="{0EDF35E9-4B40-4F39-809A-AD87E0C4C429}"/>
    <cellStyle name="Normal 4 3 2 2 2 7 3 2 2" xfId="41063" xr:uid="{B1C660B4-2845-45AC-A94A-B37A54690918}"/>
    <cellStyle name="Normal 4 3 2 2 2 7 3 3" xfId="15722" xr:uid="{E30C3DBF-BDF4-4E6F-8DE9-C62D283255A1}"/>
    <cellStyle name="Normal 4 3 2 2 2 7 3 4" xfId="32616" xr:uid="{DA3453AF-5BBB-4C37-9E32-BFA36890A55C}"/>
    <cellStyle name="Normal 4 3 2 2 2 7 4" xfId="19952" xr:uid="{A45778CF-E3EA-4FB1-84BC-91356910D9EF}"/>
    <cellStyle name="Normal 4 3 2 2 2 7 4 2" xfId="36846" xr:uid="{A4B5BF30-6E37-4A90-AE0E-922483C18D4B}"/>
    <cellStyle name="Normal 4 3 2 2 2 7 5" xfId="11505" xr:uid="{868BF9BA-1CD3-449E-BDAB-4A5AFA83D56A}"/>
    <cellStyle name="Normal 4 3 2 2 2 7 6" xfId="28399" xr:uid="{CDF58ECD-13BF-4340-81E2-F28AFF570EDB}"/>
    <cellStyle name="Normal 4 3 2 2 2 8" xfId="2526" xr:uid="{00000000-0005-0000-0000-000057140000}"/>
    <cellStyle name="Normal 4 3 2 2 2 8 2" xfId="6809" xr:uid="{00000000-0005-0000-0000-000058140000}"/>
    <cellStyle name="Normal 4 3 2 2 2 8 2 2" xfId="24582" xr:uid="{D843255A-F376-4488-903B-5653C91ADEC7}"/>
    <cellStyle name="Normal 4 3 2 2 2 8 2 2 2" xfId="41476" xr:uid="{33DEBB31-7A09-408D-B424-C9F78AC196F0}"/>
    <cellStyle name="Normal 4 3 2 2 2 8 2 3" xfId="16135" xr:uid="{2817CC4E-B3DA-4D99-99FC-D9F27049D6D2}"/>
    <cellStyle name="Normal 4 3 2 2 2 8 2 4" xfId="33029" xr:uid="{94616824-7950-4FCA-AC02-BF65376CFCB9}"/>
    <cellStyle name="Normal 4 3 2 2 2 8 3" xfId="20365" xr:uid="{381E038F-C66D-4A0B-9B64-9708E116F74E}"/>
    <cellStyle name="Normal 4 3 2 2 2 8 3 2" xfId="37259" xr:uid="{89A37605-71BE-465E-9949-0F02BDDDE6EC}"/>
    <cellStyle name="Normal 4 3 2 2 2 8 4" xfId="11918" xr:uid="{EB8EC1EB-FAB6-48B0-9FA2-FB908FFD1FF6}"/>
    <cellStyle name="Normal 4 3 2 2 2 8 5" xfId="28812" xr:uid="{F9A5C91C-BEA4-47DA-AEE4-A58AD6C97014}"/>
    <cellStyle name="Normal 4 3 2 2 2 9" xfId="4744" xr:uid="{00000000-0005-0000-0000-000059140000}"/>
    <cellStyle name="Normal 4 3 2 2 2 9 2" xfId="22517" xr:uid="{71078A0F-54C4-47F1-AE36-A0B2BD8CF20A}"/>
    <cellStyle name="Normal 4 3 2 2 2 9 2 2" xfId="39411" xr:uid="{9858D5C7-044D-4F67-8F20-98730EF66177}"/>
    <cellStyle name="Normal 4 3 2 2 2 9 3" xfId="14070" xr:uid="{899CAD44-B43C-41ED-9655-AF8D48AAA60F}"/>
    <cellStyle name="Normal 4 3 2 2 2 9 4" xfId="30964" xr:uid="{9922ED3F-6BB1-4E6F-9A6E-0F90B23FCAA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10 2" xfId="18304" xr:uid="{AECEC89A-BB48-4A91-AC1D-FAC248A9F415}"/>
    <cellStyle name="Normal 4 3 3 10 3" xfId="35198" xr:uid="{8C8744F6-A8B6-44C0-A695-FC0F986295E3}"/>
    <cellStyle name="Normal 4 3 3 11" xfId="9857" xr:uid="{E9CF6EFD-A469-4A01-9C3F-EFD7826FEA3B}"/>
    <cellStyle name="Normal 4 3 3 12" xfId="26751" xr:uid="{E338350D-33AD-4478-AEC0-9DAFB1658297}"/>
    <cellStyle name="Normal 4 3 3 2" xfId="375" xr:uid="{00000000-0005-0000-0000-00005E140000}"/>
    <cellStyle name="Normal 4 3 3 2 10" xfId="9858" xr:uid="{09F10104-B5F1-4EDB-99B4-0C3E68ECA7D8}"/>
    <cellStyle name="Normal 4 3 3 2 11" xfId="26752" xr:uid="{8D2E8D22-CFF8-425C-86EB-8315DC6E839E}"/>
    <cellStyle name="Normal 4 3 3 2 2" xfId="376" xr:uid="{00000000-0005-0000-0000-00005F140000}"/>
    <cellStyle name="Normal 4 3 3 2 2 10" xfId="26753" xr:uid="{5A11CE00-030F-4D40-A0DC-8F4F672203FF}"/>
    <cellStyle name="Normal 4 3 3 2 2 2" xfId="851" xr:uid="{00000000-0005-0000-0000-000060140000}"/>
    <cellStyle name="Normal 4 3 3 2 2 2 2" xfId="3086" xr:uid="{00000000-0005-0000-0000-000061140000}"/>
    <cellStyle name="Normal 4 3 3 2 2 2 2 2" xfId="7308" xr:uid="{00000000-0005-0000-0000-000062140000}"/>
    <cellStyle name="Normal 4 3 3 2 2 2 2 2 2" xfId="25081" xr:uid="{7D0E395A-044C-48A9-AEDC-4ABEE32CD3A2}"/>
    <cellStyle name="Normal 4 3 3 2 2 2 2 2 2 2" xfId="41975" xr:uid="{38AF6B1F-F4B4-439E-9A39-6881F4BDBFC8}"/>
    <cellStyle name="Normal 4 3 3 2 2 2 2 2 3" xfId="16634" xr:uid="{49E0793C-F417-4D76-9488-0E519C030A36}"/>
    <cellStyle name="Normal 4 3 3 2 2 2 2 2 4" xfId="33528" xr:uid="{4B59C08D-4E6E-41F2-866B-681F3E78AC1A}"/>
    <cellStyle name="Normal 4 3 3 2 2 2 2 3" xfId="20864" xr:uid="{390CFE6A-6B61-42AE-B02D-EFB7398D7E2C}"/>
    <cellStyle name="Normal 4 3 3 2 2 2 2 3 2" xfId="37758" xr:uid="{0373BBE0-ED2C-40D6-A76F-05217FC8FF86}"/>
    <cellStyle name="Normal 4 3 3 2 2 2 2 4" xfId="12417" xr:uid="{800CB6E6-CE1A-41F6-9B7F-8C298E5DAC26}"/>
    <cellStyle name="Normal 4 3 3 2 2 2 2 5" xfId="29311" xr:uid="{323145C0-4681-4EEA-94A5-505C96FE35F2}"/>
    <cellStyle name="Normal 4 3 3 2 2 2 3" xfId="5163" xr:uid="{00000000-0005-0000-0000-000063140000}"/>
    <cellStyle name="Normal 4 3 3 2 2 2 3 2" xfId="22936" xr:uid="{D0219041-0930-477F-8006-8C95A088E20B}"/>
    <cellStyle name="Normal 4 3 3 2 2 2 3 2 2" xfId="39830" xr:uid="{934AACFF-1F44-4BC8-8730-E77911BB0D29}"/>
    <cellStyle name="Normal 4 3 3 2 2 2 3 3" xfId="14489" xr:uid="{D0AB9138-78C2-41D4-9105-176EF8BA6E1A}"/>
    <cellStyle name="Normal 4 3 3 2 2 2 3 4" xfId="31383" xr:uid="{8F7574BE-69D4-4C33-B539-2953F93F8D01}"/>
    <cellStyle name="Normal 4 3 3 2 2 2 4" xfId="9556" xr:uid="{7233D5E9-9F1E-43FF-8391-DCCFDF8A705D}"/>
    <cellStyle name="Normal 4 3 3 2 2 2 4 2" xfId="18719" xr:uid="{66C92B5B-BBA3-47BE-9D65-41E51E78C7F2}"/>
    <cellStyle name="Normal 4 3 3 2 2 2 4 3" xfId="35613" xr:uid="{2D0DC737-AD94-4F6C-A58E-FE1F588DDE11}"/>
    <cellStyle name="Normal 4 3 3 2 2 2 5" xfId="10272" xr:uid="{A6BF89D7-E52E-43B9-9BB0-A4393D7CBEF0}"/>
    <cellStyle name="Normal 4 3 3 2 2 2 6" xfId="27166" xr:uid="{CE73783F-481A-48B8-A2AD-05AE9F2D322E}"/>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2 2 2" xfId="25494" xr:uid="{3B53CCDD-17CA-4A98-88AE-20F2B08A0172}"/>
    <cellStyle name="Normal 4 3 3 2 2 3 2 2 2 2" xfId="42388" xr:uid="{3688E1B5-14ED-4001-A139-26183A7123DA}"/>
    <cellStyle name="Normal 4 3 3 2 2 3 2 2 3" xfId="17047" xr:uid="{BC328625-DE16-461C-B520-214C7E14E31C}"/>
    <cellStyle name="Normal 4 3 3 2 2 3 2 2 4" xfId="33941" xr:uid="{8E0F00A2-AACD-4732-8BFF-AEEA4BCDB52A}"/>
    <cellStyle name="Normal 4 3 3 2 2 3 2 3" xfId="21277" xr:uid="{C0F7891A-909E-4AFA-B692-40AAE5BBF9C7}"/>
    <cellStyle name="Normal 4 3 3 2 2 3 2 3 2" xfId="38171" xr:uid="{44273D64-9DA1-4F59-B864-B497CD439BA3}"/>
    <cellStyle name="Normal 4 3 3 2 2 3 2 4" xfId="12830" xr:uid="{3C6AAD72-9C8A-461D-9B83-01AD8BCE0242}"/>
    <cellStyle name="Normal 4 3 3 2 2 3 2 5" xfId="29724" xr:uid="{AE6ECE51-7E99-4BAB-B43D-88BE30B4F6B0}"/>
    <cellStyle name="Normal 4 3 3 2 2 3 3" xfId="5576" xr:uid="{00000000-0005-0000-0000-000067140000}"/>
    <cellStyle name="Normal 4 3 3 2 2 3 3 2" xfId="23349" xr:uid="{6A156A73-5194-4FA6-B426-D2B8F0B9DCF0}"/>
    <cellStyle name="Normal 4 3 3 2 2 3 3 2 2" xfId="40243" xr:uid="{3AE15DD6-32A8-4059-9272-593330A29F7A}"/>
    <cellStyle name="Normal 4 3 3 2 2 3 3 3" xfId="14902" xr:uid="{C6BE2D83-579C-4897-AE84-543D1F685151}"/>
    <cellStyle name="Normal 4 3 3 2 2 3 3 4" xfId="31796" xr:uid="{5795314F-4C47-4BEE-B4E2-B724923DF8E9}"/>
    <cellStyle name="Normal 4 3 3 2 2 3 4" xfId="19132" xr:uid="{295EC04E-72B2-46DA-B10E-A0089AA9177A}"/>
    <cellStyle name="Normal 4 3 3 2 2 3 4 2" xfId="36026" xr:uid="{B05F0471-5A1A-4449-9294-B41A7C53D5A7}"/>
    <cellStyle name="Normal 4 3 3 2 2 3 5" xfId="10685" xr:uid="{56819CB2-032B-4CB8-A12A-FE8C7096BE04}"/>
    <cellStyle name="Normal 4 3 3 2 2 3 6" xfId="27579" xr:uid="{2D6D4194-DDBE-4938-9CB6-7D922C7072D7}"/>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2 2 2" xfId="25907" xr:uid="{C22D3DAC-AEC5-44EA-A3B5-5137D3D4F69D}"/>
    <cellStyle name="Normal 4 3 3 2 2 4 2 2 2 2" xfId="42801" xr:uid="{D15DA66F-04EC-4F42-BE46-B4136EB3C597}"/>
    <cellStyle name="Normal 4 3 3 2 2 4 2 2 3" xfId="17460" xr:uid="{348A7094-1716-425E-8B25-46F9986F7747}"/>
    <cellStyle name="Normal 4 3 3 2 2 4 2 2 4" xfId="34354" xr:uid="{8ACD8131-29AB-4D80-BFA4-4E15C81444E3}"/>
    <cellStyle name="Normal 4 3 3 2 2 4 2 3" xfId="21690" xr:uid="{4A2F1192-EF90-4D57-9E1E-16F600AB6C83}"/>
    <cellStyle name="Normal 4 3 3 2 2 4 2 3 2" xfId="38584" xr:uid="{DE6ED929-E7C8-49D7-92F2-08ED7D3E10EB}"/>
    <cellStyle name="Normal 4 3 3 2 2 4 2 4" xfId="13243" xr:uid="{A14DAE86-11E9-401B-8E6B-756546290C23}"/>
    <cellStyle name="Normal 4 3 3 2 2 4 2 5" xfId="30137" xr:uid="{BEC25FCE-EF0D-40B2-B7F3-8054291C6D4F}"/>
    <cellStyle name="Normal 4 3 3 2 2 4 3" xfId="5989" xr:uid="{00000000-0005-0000-0000-00006B140000}"/>
    <cellStyle name="Normal 4 3 3 2 2 4 3 2" xfId="23762" xr:uid="{1B88F8CC-1712-44A3-95B9-A6782EA397E9}"/>
    <cellStyle name="Normal 4 3 3 2 2 4 3 2 2" xfId="40656" xr:uid="{21F14665-E678-403D-B2B9-691AAB499948}"/>
    <cellStyle name="Normal 4 3 3 2 2 4 3 3" xfId="15315" xr:uid="{13A58988-2152-4A3D-88A3-4EE2670F13B7}"/>
    <cellStyle name="Normal 4 3 3 2 2 4 3 4" xfId="32209" xr:uid="{AD0CF359-6F02-405A-A88B-F655AF02D3E2}"/>
    <cellStyle name="Normal 4 3 3 2 2 4 4" xfId="19545" xr:uid="{813CE257-5D4A-4AF0-A2DD-317A84F0A946}"/>
    <cellStyle name="Normal 4 3 3 2 2 4 4 2" xfId="36439" xr:uid="{BFD17AAE-DD1E-4F1B-9688-EA14898A83E7}"/>
    <cellStyle name="Normal 4 3 3 2 2 4 5" xfId="11098" xr:uid="{2C87FE28-BB7D-4E24-A80F-B64063CC203A}"/>
    <cellStyle name="Normal 4 3 3 2 2 4 6" xfId="27992" xr:uid="{F8DA2CBE-EB5E-4AAE-A7A0-A56F1C4775B6}"/>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2 2 2" xfId="26320" xr:uid="{864D4476-07C0-4D72-A2DE-B0411884B5EF}"/>
    <cellStyle name="Normal 4 3 3 2 2 5 2 2 2 2" xfId="43214" xr:uid="{665AFAB8-4270-4CC9-9DEC-946E22D42CBF}"/>
    <cellStyle name="Normal 4 3 3 2 2 5 2 2 3" xfId="17873" xr:uid="{9C4FCC8F-1A65-4C99-A3D6-EC5F3C612F4A}"/>
    <cellStyle name="Normal 4 3 3 2 2 5 2 2 4" xfId="34767" xr:uid="{AF6C182B-8161-4857-8B10-06071C14617A}"/>
    <cellStyle name="Normal 4 3 3 2 2 5 2 3" xfId="22103" xr:uid="{57EF3C83-FF74-43FC-B445-EE29798B4279}"/>
    <cellStyle name="Normal 4 3 3 2 2 5 2 3 2" xfId="38997" xr:uid="{66FD67AD-82F6-4F86-9FE3-B8C6EF5DD26A}"/>
    <cellStyle name="Normal 4 3 3 2 2 5 2 4" xfId="13656" xr:uid="{D5E66B33-2B68-4845-98A3-BD10325781CE}"/>
    <cellStyle name="Normal 4 3 3 2 2 5 2 5" xfId="30550" xr:uid="{260596E3-DE17-47AD-BEB7-CCBA8704C6BD}"/>
    <cellStyle name="Normal 4 3 3 2 2 5 3" xfId="6402" xr:uid="{00000000-0005-0000-0000-00006F140000}"/>
    <cellStyle name="Normal 4 3 3 2 2 5 3 2" xfId="24175" xr:uid="{D3B0E77A-E109-498A-974F-43DF2161F059}"/>
    <cellStyle name="Normal 4 3 3 2 2 5 3 2 2" xfId="41069" xr:uid="{1AFEA835-0C31-474B-A2A4-63BD79E605AE}"/>
    <cellStyle name="Normal 4 3 3 2 2 5 3 3" xfId="15728" xr:uid="{28FABD11-B7F9-43CD-86FE-5D0003CFF153}"/>
    <cellStyle name="Normal 4 3 3 2 2 5 3 4" xfId="32622" xr:uid="{50019AB4-4C43-48F1-A445-F134B2EF9AA2}"/>
    <cellStyle name="Normal 4 3 3 2 2 5 4" xfId="19958" xr:uid="{B355BC88-097E-4514-93CC-C4D580C80EF2}"/>
    <cellStyle name="Normal 4 3 3 2 2 5 4 2" xfId="36852" xr:uid="{1F35FAF6-53BF-4E3C-84EB-3FEB21D4E313}"/>
    <cellStyle name="Normal 4 3 3 2 2 5 5" xfId="11511" xr:uid="{B1E1FD29-F84A-4220-8DB8-86095AFD29D1}"/>
    <cellStyle name="Normal 4 3 3 2 2 5 6" xfId="28405" xr:uid="{4B5201BF-DE44-4E08-AD7B-E4F5A09384B1}"/>
    <cellStyle name="Normal 4 3 3 2 2 6" xfId="2532" xr:uid="{00000000-0005-0000-0000-000070140000}"/>
    <cellStyle name="Normal 4 3 3 2 2 6 2" xfId="6815" xr:uid="{00000000-0005-0000-0000-000071140000}"/>
    <cellStyle name="Normal 4 3 3 2 2 6 2 2" xfId="24588" xr:uid="{8DEA5913-55D0-443A-828F-4746D884C228}"/>
    <cellStyle name="Normal 4 3 3 2 2 6 2 2 2" xfId="41482" xr:uid="{E1339CC8-1BBA-4088-9D1F-8343A47EE34F}"/>
    <cellStyle name="Normal 4 3 3 2 2 6 2 3" xfId="16141" xr:uid="{FEC3C5F9-E712-4368-B55E-33E2CAE048C6}"/>
    <cellStyle name="Normal 4 3 3 2 2 6 2 4" xfId="33035" xr:uid="{653D46D2-D6D3-47C1-9E46-4A8D1FC1D575}"/>
    <cellStyle name="Normal 4 3 3 2 2 6 3" xfId="20371" xr:uid="{B04C7BD9-C1E0-492C-AB21-52FFD6F7206D}"/>
    <cellStyle name="Normal 4 3 3 2 2 6 3 2" xfId="37265" xr:uid="{4213D742-0CBA-4807-908C-7E4489E020C4}"/>
    <cellStyle name="Normal 4 3 3 2 2 6 4" xfId="11924" xr:uid="{2601A48A-7053-4AB7-9DBE-827610AF4B63}"/>
    <cellStyle name="Normal 4 3 3 2 2 6 5" xfId="28818" xr:uid="{1FB7B832-54DB-42DD-8499-3AB52F95E1DA}"/>
    <cellStyle name="Normal 4 3 3 2 2 7" xfId="4750" xr:uid="{00000000-0005-0000-0000-000072140000}"/>
    <cellStyle name="Normal 4 3 3 2 2 7 2" xfId="22523" xr:uid="{E16B1A12-EB24-426C-B1BA-1F3B17A37193}"/>
    <cellStyle name="Normal 4 3 3 2 2 7 2 2" xfId="39417" xr:uid="{5F889B1E-4AE2-4F38-91D6-6E33AECA9A64}"/>
    <cellStyle name="Normal 4 3 3 2 2 7 3" xfId="14076" xr:uid="{E72AB36C-A940-44D7-86FE-98A9F5CA310C}"/>
    <cellStyle name="Normal 4 3 3 2 2 7 4" xfId="30970" xr:uid="{5747CA4A-D6D5-4B25-A7D8-C97135E16AFD}"/>
    <cellStyle name="Normal 4 3 3 2 2 8" xfId="9131" xr:uid="{D7BA3B10-6765-4B57-99D1-3AF7343772F8}"/>
    <cellStyle name="Normal 4 3 3 2 2 8 2" xfId="18306" xr:uid="{61584CCF-2542-4CB3-B4E6-DFC71E359818}"/>
    <cellStyle name="Normal 4 3 3 2 2 8 3" xfId="35200" xr:uid="{3423F941-95EF-4082-A399-350BB16A75DB}"/>
    <cellStyle name="Normal 4 3 3 2 2 9" xfId="9859" xr:uid="{6800D0E7-3C56-4834-AB40-63F0495D339A}"/>
    <cellStyle name="Normal 4 3 3 2 3" xfId="850" xr:uid="{00000000-0005-0000-0000-000073140000}"/>
    <cellStyle name="Normal 4 3 3 2 3 2" xfId="3085" xr:uid="{00000000-0005-0000-0000-000074140000}"/>
    <cellStyle name="Normal 4 3 3 2 3 2 2" xfId="7307" xr:uid="{00000000-0005-0000-0000-000075140000}"/>
    <cellStyle name="Normal 4 3 3 2 3 2 2 2" xfId="25080" xr:uid="{3FC7231B-0BC0-4387-8B13-9DE1B9292C1A}"/>
    <cellStyle name="Normal 4 3 3 2 3 2 2 2 2" xfId="41974" xr:uid="{EB10C735-E219-4085-953A-65FFBDD1C1A0}"/>
    <cellStyle name="Normal 4 3 3 2 3 2 2 3" xfId="16633" xr:uid="{8C3EFBD9-8417-44E9-8C4C-6459E84B3FD9}"/>
    <cellStyle name="Normal 4 3 3 2 3 2 2 4" xfId="33527" xr:uid="{5BF05541-8CB1-422E-B8D5-373E29DA96AB}"/>
    <cellStyle name="Normal 4 3 3 2 3 2 3" xfId="20863" xr:uid="{61EE71D2-1530-4B54-B39A-D42A802E360C}"/>
    <cellStyle name="Normal 4 3 3 2 3 2 3 2" xfId="37757" xr:uid="{36B3A25D-5489-45DE-A128-A6AD6A3281D6}"/>
    <cellStyle name="Normal 4 3 3 2 3 2 4" xfId="12416" xr:uid="{15128ACD-583F-443E-B13D-174E405A4BDD}"/>
    <cellStyle name="Normal 4 3 3 2 3 2 5" xfId="29310" xr:uid="{A40169CB-16C8-48C9-84C7-272D7EB3975F}"/>
    <cellStyle name="Normal 4 3 3 2 3 3" xfId="5162" xr:uid="{00000000-0005-0000-0000-000076140000}"/>
    <cellStyle name="Normal 4 3 3 2 3 3 2" xfId="22935" xr:uid="{446820B4-C0CE-4346-9E5A-FCCC94301775}"/>
    <cellStyle name="Normal 4 3 3 2 3 3 2 2" xfId="39829" xr:uid="{F338DBDA-6F55-4BB3-9FDE-144F66966ADF}"/>
    <cellStyle name="Normal 4 3 3 2 3 3 3" xfId="14488" xr:uid="{EF1E9D6B-7315-4DD2-8145-5B7E9CE1C7FD}"/>
    <cellStyle name="Normal 4 3 3 2 3 3 4" xfId="31382" xr:uid="{929A396C-F28F-4EDB-9E30-B698D76E1221}"/>
    <cellStyle name="Normal 4 3 3 2 3 4" xfId="9349" xr:uid="{E498700C-D7AE-42FC-8EB1-59BA2C1BA6B9}"/>
    <cellStyle name="Normal 4 3 3 2 3 4 2" xfId="18718" xr:uid="{3505FF67-9760-48E3-A2A0-124D728C2978}"/>
    <cellStyle name="Normal 4 3 3 2 3 4 3" xfId="35612" xr:uid="{C1BE4246-9119-487E-A092-14881ACE77C6}"/>
    <cellStyle name="Normal 4 3 3 2 3 5" xfId="10271" xr:uid="{2FC213A9-41A5-4856-9242-BB03B6264C76}"/>
    <cellStyle name="Normal 4 3 3 2 3 6" xfId="27165" xr:uid="{099F851A-72E8-4A20-B43D-B2C5CD916DCB}"/>
    <cellStyle name="Normal 4 3 3 2 4" xfId="1268" xr:uid="{00000000-0005-0000-0000-000077140000}"/>
    <cellStyle name="Normal 4 3 3 2 4 2" xfId="3498" xr:uid="{00000000-0005-0000-0000-000078140000}"/>
    <cellStyle name="Normal 4 3 3 2 4 2 2" xfId="7720" xr:uid="{00000000-0005-0000-0000-000079140000}"/>
    <cellStyle name="Normal 4 3 3 2 4 2 2 2" xfId="25493" xr:uid="{449618DA-3363-4848-BDD7-970CD24193DD}"/>
    <cellStyle name="Normal 4 3 3 2 4 2 2 2 2" xfId="42387" xr:uid="{40F096ED-B52F-4FCF-8359-BD24EDE37FF8}"/>
    <cellStyle name="Normal 4 3 3 2 4 2 2 3" xfId="17046" xr:uid="{8BA04757-7A8D-4196-B4AC-E388BDBA8098}"/>
    <cellStyle name="Normal 4 3 3 2 4 2 2 4" xfId="33940" xr:uid="{0B95EE12-BF5E-44E0-A917-A4FB1BE1C3D3}"/>
    <cellStyle name="Normal 4 3 3 2 4 2 3" xfId="21276" xr:uid="{B5C55A2D-8390-4A2E-8DD0-6352F884AC88}"/>
    <cellStyle name="Normal 4 3 3 2 4 2 3 2" xfId="38170" xr:uid="{37C0C136-1AB7-4C05-A99E-148A43F6CF04}"/>
    <cellStyle name="Normal 4 3 3 2 4 2 4" xfId="12829" xr:uid="{60417572-DEB4-47F0-8457-C8553FF84796}"/>
    <cellStyle name="Normal 4 3 3 2 4 2 5" xfId="29723" xr:uid="{5B4F7FA4-D037-41CF-A29E-BAE0B587CF49}"/>
    <cellStyle name="Normal 4 3 3 2 4 3" xfId="5575" xr:uid="{00000000-0005-0000-0000-00007A140000}"/>
    <cellStyle name="Normal 4 3 3 2 4 3 2" xfId="23348" xr:uid="{B6BA767C-2DD0-48F4-84D0-FBB0D410B56F}"/>
    <cellStyle name="Normal 4 3 3 2 4 3 2 2" xfId="40242" xr:uid="{BB692F2A-2CD1-4910-BD97-EFE7BCF888D8}"/>
    <cellStyle name="Normal 4 3 3 2 4 3 3" xfId="14901" xr:uid="{87850BF7-A04D-4680-97E7-7EFBFE69344E}"/>
    <cellStyle name="Normal 4 3 3 2 4 3 4" xfId="31795" xr:uid="{D9B8C7E0-4473-4D2F-8CC1-EA199EA0BED0}"/>
    <cellStyle name="Normal 4 3 3 2 4 4" xfId="19131" xr:uid="{48983BE9-E154-4BD5-A4BF-84F6E087733D}"/>
    <cellStyle name="Normal 4 3 3 2 4 4 2" xfId="36025" xr:uid="{8656E0A1-0693-44E5-8AA3-45316FF3C551}"/>
    <cellStyle name="Normal 4 3 3 2 4 5" xfId="10684" xr:uid="{262999CD-6B41-4A1F-A8B3-9B2158A409A9}"/>
    <cellStyle name="Normal 4 3 3 2 4 6" xfId="27578" xr:uid="{8931B9C5-E4F9-4B23-9B2D-88ACDF8DBAD4}"/>
    <cellStyle name="Normal 4 3 3 2 5" xfId="1681" xr:uid="{00000000-0005-0000-0000-00007B140000}"/>
    <cellStyle name="Normal 4 3 3 2 5 2" xfId="3911" xr:uid="{00000000-0005-0000-0000-00007C140000}"/>
    <cellStyle name="Normal 4 3 3 2 5 2 2" xfId="8133" xr:uid="{00000000-0005-0000-0000-00007D140000}"/>
    <cellStyle name="Normal 4 3 3 2 5 2 2 2" xfId="25906" xr:uid="{44D73DB6-3CDC-4274-B830-665FB4748902}"/>
    <cellStyle name="Normal 4 3 3 2 5 2 2 2 2" xfId="42800" xr:uid="{98B188B5-C2FE-4603-A88D-86FC2D5E6B99}"/>
    <cellStyle name="Normal 4 3 3 2 5 2 2 3" xfId="17459" xr:uid="{2A0F1567-FF3B-48FF-AFC4-D27F666B3653}"/>
    <cellStyle name="Normal 4 3 3 2 5 2 2 4" xfId="34353" xr:uid="{8CAD0929-AB5C-4AD9-A484-8CE30BD091E8}"/>
    <cellStyle name="Normal 4 3 3 2 5 2 3" xfId="21689" xr:uid="{393AA053-66A5-478A-8D96-BBEFE3761A58}"/>
    <cellStyle name="Normal 4 3 3 2 5 2 3 2" xfId="38583" xr:uid="{C72D770F-6B1F-4D73-B221-15EE0CA2DB21}"/>
    <cellStyle name="Normal 4 3 3 2 5 2 4" xfId="13242" xr:uid="{43FB7BEF-865B-4403-829A-A317D044EEC5}"/>
    <cellStyle name="Normal 4 3 3 2 5 2 5" xfId="30136" xr:uid="{E0F5A320-518C-4B58-A608-297E27A30D8A}"/>
    <cellStyle name="Normal 4 3 3 2 5 3" xfId="5988" xr:uid="{00000000-0005-0000-0000-00007E140000}"/>
    <cellStyle name="Normal 4 3 3 2 5 3 2" xfId="23761" xr:uid="{34672713-6054-45C7-B297-BF10FF0B72FC}"/>
    <cellStyle name="Normal 4 3 3 2 5 3 2 2" xfId="40655" xr:uid="{152817BB-A38D-4165-A27F-B8B1BBE7F383}"/>
    <cellStyle name="Normal 4 3 3 2 5 3 3" xfId="15314" xr:uid="{5CDAFCAA-05FA-4475-9B19-CC6F8B2DE8B3}"/>
    <cellStyle name="Normal 4 3 3 2 5 3 4" xfId="32208" xr:uid="{F2748107-5874-431D-BA13-D195077E402B}"/>
    <cellStyle name="Normal 4 3 3 2 5 4" xfId="19544" xr:uid="{9B29D391-A066-41CE-97C2-7CFA6A2F4B12}"/>
    <cellStyle name="Normal 4 3 3 2 5 4 2" xfId="36438" xr:uid="{2F3065F6-E19F-4619-9892-967411847C55}"/>
    <cellStyle name="Normal 4 3 3 2 5 5" xfId="11097" xr:uid="{A78E9318-0A5C-4596-BC26-CE4D56E41092}"/>
    <cellStyle name="Normal 4 3 3 2 5 6" xfId="27991" xr:uid="{740D790E-54FE-4033-BE4B-AB713D907D17}"/>
    <cellStyle name="Normal 4 3 3 2 6" xfId="2095" xr:uid="{00000000-0005-0000-0000-00007F140000}"/>
    <cellStyle name="Normal 4 3 3 2 6 2" xfId="4324" xr:uid="{00000000-0005-0000-0000-000080140000}"/>
    <cellStyle name="Normal 4 3 3 2 6 2 2" xfId="8546" xr:uid="{00000000-0005-0000-0000-000081140000}"/>
    <cellStyle name="Normal 4 3 3 2 6 2 2 2" xfId="26319" xr:uid="{CC20A0C1-9C88-4FA4-8AC8-9593D1961105}"/>
    <cellStyle name="Normal 4 3 3 2 6 2 2 2 2" xfId="43213" xr:uid="{99D36037-C403-4900-A7EC-14074ACCF8F2}"/>
    <cellStyle name="Normal 4 3 3 2 6 2 2 3" xfId="17872" xr:uid="{54CBD244-E37B-47C7-916A-29B4CCCCCF56}"/>
    <cellStyle name="Normal 4 3 3 2 6 2 2 4" xfId="34766" xr:uid="{7326E206-E569-4603-9C09-E975037EA430}"/>
    <cellStyle name="Normal 4 3 3 2 6 2 3" xfId="22102" xr:uid="{1C296116-FB36-41A1-9B08-395AEFDE6863}"/>
    <cellStyle name="Normal 4 3 3 2 6 2 3 2" xfId="38996" xr:uid="{CB632C47-DBA3-47B1-A98F-66A1EA0BC130}"/>
    <cellStyle name="Normal 4 3 3 2 6 2 4" xfId="13655" xr:uid="{10DC4777-0D8B-4E16-A9B1-C2513E988A4F}"/>
    <cellStyle name="Normal 4 3 3 2 6 2 5" xfId="30549" xr:uid="{738EDC4B-0CD3-454D-A74F-F321BA67C2F6}"/>
    <cellStyle name="Normal 4 3 3 2 6 3" xfId="6401" xr:uid="{00000000-0005-0000-0000-000082140000}"/>
    <cellStyle name="Normal 4 3 3 2 6 3 2" xfId="24174" xr:uid="{A4F08ADD-7BE4-4199-89C2-221524550F66}"/>
    <cellStyle name="Normal 4 3 3 2 6 3 2 2" xfId="41068" xr:uid="{5911DF1A-64E2-43A5-BA37-D75050DD57E7}"/>
    <cellStyle name="Normal 4 3 3 2 6 3 3" xfId="15727" xr:uid="{960982EC-A7A0-4D69-AC72-ED0EB479B3D6}"/>
    <cellStyle name="Normal 4 3 3 2 6 3 4" xfId="32621" xr:uid="{407893A2-43A3-409B-9C2B-9D34E2C4253D}"/>
    <cellStyle name="Normal 4 3 3 2 6 4" xfId="19957" xr:uid="{39160428-D7F4-409E-B718-140E6566D713}"/>
    <cellStyle name="Normal 4 3 3 2 6 4 2" xfId="36851" xr:uid="{0A8D8F60-83E0-4365-BD2C-4AF923F83654}"/>
    <cellStyle name="Normal 4 3 3 2 6 5" xfId="11510" xr:uid="{A87883D5-94C6-40AD-8469-36ABE5FE1A6A}"/>
    <cellStyle name="Normal 4 3 3 2 6 6" xfId="28404" xr:uid="{559D2162-5E89-4995-98DC-DDD6C5660E3D}"/>
    <cellStyle name="Normal 4 3 3 2 7" xfId="2531" xr:uid="{00000000-0005-0000-0000-000083140000}"/>
    <cellStyle name="Normal 4 3 3 2 7 2" xfId="6814" xr:uid="{00000000-0005-0000-0000-000084140000}"/>
    <cellStyle name="Normal 4 3 3 2 7 2 2" xfId="24587" xr:uid="{B500DDC7-5EF1-4152-B7B1-C912AAFA9772}"/>
    <cellStyle name="Normal 4 3 3 2 7 2 2 2" xfId="41481" xr:uid="{0F5044A4-99DE-4947-8800-BAD032DC7859}"/>
    <cellStyle name="Normal 4 3 3 2 7 2 3" xfId="16140" xr:uid="{08316462-E5D5-45FB-9B5D-88BBE490703E}"/>
    <cellStyle name="Normal 4 3 3 2 7 2 4" xfId="33034" xr:uid="{58F89342-C9F2-4FF3-B97E-A6C65A38DCB1}"/>
    <cellStyle name="Normal 4 3 3 2 7 3" xfId="20370" xr:uid="{ECE4154D-6236-43A8-9F67-272F4B906337}"/>
    <cellStyle name="Normal 4 3 3 2 7 3 2" xfId="37264" xr:uid="{5F55E45D-C9E2-45C8-8EEF-70F09D7265D8}"/>
    <cellStyle name="Normal 4 3 3 2 7 4" xfId="11923" xr:uid="{EA78CCAC-663D-4467-9906-02AF40D21077}"/>
    <cellStyle name="Normal 4 3 3 2 7 5" xfId="28817" xr:uid="{8D4D43D0-4F5F-4C7C-800F-6AFBB7E0EFE3}"/>
    <cellStyle name="Normal 4 3 3 2 8" xfId="4749" xr:uid="{00000000-0005-0000-0000-000085140000}"/>
    <cellStyle name="Normal 4 3 3 2 8 2" xfId="22522" xr:uid="{E69551A6-FEF8-42D1-B8C0-383AEF9459A6}"/>
    <cellStyle name="Normal 4 3 3 2 8 2 2" xfId="39416" xr:uid="{CB509B3F-A7D3-4436-B664-5196A7C37559}"/>
    <cellStyle name="Normal 4 3 3 2 8 3" xfId="14075" xr:uid="{073F05E1-076C-4990-B250-CA829EAE25DD}"/>
    <cellStyle name="Normal 4 3 3 2 8 4" xfId="30969" xr:uid="{69BF6A84-285B-4C3A-9C85-765F6C127D82}"/>
    <cellStyle name="Normal 4 3 3 2 9" xfId="8924" xr:uid="{F9E914C5-63E8-4CB8-8EA1-7427CE35C4AA}"/>
    <cellStyle name="Normal 4 3 3 2 9 2" xfId="18305" xr:uid="{6FF220F2-73BC-450A-9741-608C0EE1EF94}"/>
    <cellStyle name="Normal 4 3 3 2 9 3" xfId="35199" xr:uid="{929B3CE9-4A7A-406C-A696-9B4C9A527249}"/>
    <cellStyle name="Normal 4 3 3 3" xfId="377" xr:uid="{00000000-0005-0000-0000-000086140000}"/>
    <cellStyle name="Normal 4 3 3 3 10" xfId="26754" xr:uid="{F25F00FC-29A2-4EC4-8E31-9C478775EF39}"/>
    <cellStyle name="Normal 4 3 3 3 2" xfId="852" xr:uid="{00000000-0005-0000-0000-000087140000}"/>
    <cellStyle name="Normal 4 3 3 3 2 2" xfId="3087" xr:uid="{00000000-0005-0000-0000-000088140000}"/>
    <cellStyle name="Normal 4 3 3 3 2 2 2" xfId="7309" xr:uid="{00000000-0005-0000-0000-000089140000}"/>
    <cellStyle name="Normal 4 3 3 3 2 2 2 2" xfId="25082" xr:uid="{59930E24-16B3-4981-B9F2-BDC72B115D59}"/>
    <cellStyle name="Normal 4 3 3 3 2 2 2 2 2" xfId="41976" xr:uid="{E12D97DC-9805-4E42-810E-E96AE82F2007}"/>
    <cellStyle name="Normal 4 3 3 3 2 2 2 3" xfId="16635" xr:uid="{80425EC5-71E1-4FF9-BC37-47591E3C24AA}"/>
    <cellStyle name="Normal 4 3 3 3 2 2 2 4" xfId="33529" xr:uid="{98996EBA-852C-4C2A-A8EF-0DA16CBBD07A}"/>
    <cellStyle name="Normal 4 3 3 3 2 2 3" xfId="20865" xr:uid="{2902EE3C-7C6A-4CDD-9049-0449AC81CA72}"/>
    <cellStyle name="Normal 4 3 3 3 2 2 3 2" xfId="37759" xr:uid="{1FE2E2EE-30D9-45F5-A6F7-C8CADC8ABAE3}"/>
    <cellStyle name="Normal 4 3 3 3 2 2 4" xfId="12418" xr:uid="{2EC83036-1952-44B5-8D65-F7B3AEE535DD}"/>
    <cellStyle name="Normal 4 3 3 3 2 2 5" xfId="29312" xr:uid="{45CBA6C0-FA7D-48B2-BA5E-07FE54041B39}"/>
    <cellStyle name="Normal 4 3 3 3 2 3" xfId="5164" xr:uid="{00000000-0005-0000-0000-00008A140000}"/>
    <cellStyle name="Normal 4 3 3 3 2 3 2" xfId="22937" xr:uid="{99461387-FFA3-4E18-B575-970D5F3FBB19}"/>
    <cellStyle name="Normal 4 3 3 3 2 3 2 2" xfId="39831" xr:uid="{1113E69A-113C-40DA-8D18-BC33FE244E03}"/>
    <cellStyle name="Normal 4 3 3 3 2 3 3" xfId="14490" xr:uid="{E039560E-30DC-48D4-8D27-FEC08B51489B}"/>
    <cellStyle name="Normal 4 3 3 3 2 3 4" xfId="31384" xr:uid="{61E923F3-7BAE-4FC2-B109-AF2F05B9456B}"/>
    <cellStyle name="Normal 4 3 3 3 2 4" xfId="9453" xr:uid="{18D68920-503C-42C1-A733-EBE17DC6D008}"/>
    <cellStyle name="Normal 4 3 3 3 2 4 2" xfId="18720" xr:uid="{098844B8-D6D6-418D-AB9F-882334633180}"/>
    <cellStyle name="Normal 4 3 3 3 2 4 3" xfId="35614" xr:uid="{06B70FD3-7D79-41D6-9145-425F7988843F}"/>
    <cellStyle name="Normal 4 3 3 3 2 5" xfId="10273" xr:uid="{DD595EBF-B402-4BE7-B3E5-96D7670DF1CF}"/>
    <cellStyle name="Normal 4 3 3 3 2 6" xfId="27167" xr:uid="{35F74AA8-16EC-4A67-AE97-4AD880E7B828}"/>
    <cellStyle name="Normal 4 3 3 3 3" xfId="1270" xr:uid="{00000000-0005-0000-0000-00008B140000}"/>
    <cellStyle name="Normal 4 3 3 3 3 2" xfId="3500" xr:uid="{00000000-0005-0000-0000-00008C140000}"/>
    <cellStyle name="Normal 4 3 3 3 3 2 2" xfId="7722" xr:uid="{00000000-0005-0000-0000-00008D140000}"/>
    <cellStyle name="Normal 4 3 3 3 3 2 2 2" xfId="25495" xr:uid="{2E1DE28B-A67C-4DCA-A584-9A5DE6A045DE}"/>
    <cellStyle name="Normal 4 3 3 3 3 2 2 2 2" xfId="42389" xr:uid="{57679062-2F64-4DDB-88A1-988B64598067}"/>
    <cellStyle name="Normal 4 3 3 3 3 2 2 3" xfId="17048" xr:uid="{1F94C5EC-1ED5-41C4-879B-9F51F8BA483F}"/>
    <cellStyle name="Normal 4 3 3 3 3 2 2 4" xfId="33942" xr:uid="{BF6F1AD5-FD3A-45DC-BCE4-F5BD21ECFC39}"/>
    <cellStyle name="Normal 4 3 3 3 3 2 3" xfId="21278" xr:uid="{148C5136-F8CC-4985-B6B0-2F0224CEAFD2}"/>
    <cellStyle name="Normal 4 3 3 3 3 2 3 2" xfId="38172" xr:uid="{3313AE06-1CFC-431D-8154-9FCA12F14DD3}"/>
    <cellStyle name="Normal 4 3 3 3 3 2 4" xfId="12831" xr:uid="{618E1B43-1C79-40A8-AB76-D1CFAF603CC8}"/>
    <cellStyle name="Normal 4 3 3 3 3 2 5" xfId="29725" xr:uid="{B21A1F3B-3D61-4261-B505-C8D1422CAFBA}"/>
    <cellStyle name="Normal 4 3 3 3 3 3" xfId="5577" xr:uid="{00000000-0005-0000-0000-00008E140000}"/>
    <cellStyle name="Normal 4 3 3 3 3 3 2" xfId="23350" xr:uid="{508C9177-BC9C-40A5-98C6-9C080CCDF87E}"/>
    <cellStyle name="Normal 4 3 3 3 3 3 2 2" xfId="40244" xr:uid="{C1EE2A95-03B5-4B45-83D3-3A067D82E929}"/>
    <cellStyle name="Normal 4 3 3 3 3 3 3" xfId="14903" xr:uid="{15165854-4FA9-4588-AC84-466085E6BCF4}"/>
    <cellStyle name="Normal 4 3 3 3 3 3 4" xfId="31797" xr:uid="{D744BF2E-0735-4F9E-BBF8-5342D832E58F}"/>
    <cellStyle name="Normal 4 3 3 3 3 4" xfId="19133" xr:uid="{50D18E02-C1C5-4CAA-89B8-9D10FB641A7E}"/>
    <cellStyle name="Normal 4 3 3 3 3 4 2" xfId="36027" xr:uid="{3406FE13-26B8-4493-B2FD-1C69B4199C7E}"/>
    <cellStyle name="Normal 4 3 3 3 3 5" xfId="10686" xr:uid="{BDDEF330-186C-4F48-B6E5-1E34D654D01F}"/>
    <cellStyle name="Normal 4 3 3 3 3 6" xfId="27580" xr:uid="{D056B216-3B40-4B19-9D4C-0E4EA6E65C9F}"/>
    <cellStyle name="Normal 4 3 3 3 4" xfId="1683" xr:uid="{00000000-0005-0000-0000-00008F140000}"/>
    <cellStyle name="Normal 4 3 3 3 4 2" xfId="3913" xr:uid="{00000000-0005-0000-0000-000090140000}"/>
    <cellStyle name="Normal 4 3 3 3 4 2 2" xfId="8135" xr:uid="{00000000-0005-0000-0000-000091140000}"/>
    <cellStyle name="Normal 4 3 3 3 4 2 2 2" xfId="25908" xr:uid="{4B3393C9-CA45-4479-96BB-0DC291D0789C}"/>
    <cellStyle name="Normal 4 3 3 3 4 2 2 2 2" xfId="42802" xr:uid="{33B34C4E-F5F7-498C-A872-5AFCC4828B80}"/>
    <cellStyle name="Normal 4 3 3 3 4 2 2 3" xfId="17461" xr:uid="{D0028A55-0134-4D4B-8973-114D48DD02B4}"/>
    <cellStyle name="Normal 4 3 3 3 4 2 2 4" xfId="34355" xr:uid="{773E7583-E620-4589-91E3-0A5D1974F898}"/>
    <cellStyle name="Normal 4 3 3 3 4 2 3" xfId="21691" xr:uid="{D059A578-7F64-478A-8F22-A2180C893935}"/>
    <cellStyle name="Normal 4 3 3 3 4 2 3 2" xfId="38585" xr:uid="{1E2100D9-F1AF-40FC-A77B-D688D76185FD}"/>
    <cellStyle name="Normal 4 3 3 3 4 2 4" xfId="13244" xr:uid="{68974E15-A1C0-4256-AAFF-A6538034FC58}"/>
    <cellStyle name="Normal 4 3 3 3 4 2 5" xfId="30138" xr:uid="{CB9BAFD1-A79C-4B2E-86D9-F6F04DD3896D}"/>
    <cellStyle name="Normal 4 3 3 3 4 3" xfId="5990" xr:uid="{00000000-0005-0000-0000-000092140000}"/>
    <cellStyle name="Normal 4 3 3 3 4 3 2" xfId="23763" xr:uid="{61907C22-D63D-4CEC-8164-840300719258}"/>
    <cellStyle name="Normal 4 3 3 3 4 3 2 2" xfId="40657" xr:uid="{A2AD4FD6-C44A-4351-B535-D68B37E5811B}"/>
    <cellStyle name="Normal 4 3 3 3 4 3 3" xfId="15316" xr:uid="{861F6B8D-3F31-4256-AAF8-72D2D80A2DA3}"/>
    <cellStyle name="Normal 4 3 3 3 4 3 4" xfId="32210" xr:uid="{C7570C27-95CC-40BF-8C09-3617B28D14CA}"/>
    <cellStyle name="Normal 4 3 3 3 4 4" xfId="19546" xr:uid="{0147014E-1F83-410B-A165-2909BDBF64BC}"/>
    <cellStyle name="Normal 4 3 3 3 4 4 2" xfId="36440" xr:uid="{AF3D5382-3DD6-4A04-ABE8-91CB82CE4F98}"/>
    <cellStyle name="Normal 4 3 3 3 4 5" xfId="11099" xr:uid="{75B4687C-7A5F-4ADB-A7ED-CF3973798DA1}"/>
    <cellStyle name="Normal 4 3 3 3 4 6" xfId="27993" xr:uid="{2D1A9D9E-02A5-41CF-BE9B-B971DDCEA135}"/>
    <cellStyle name="Normal 4 3 3 3 5" xfId="2097" xr:uid="{00000000-0005-0000-0000-000093140000}"/>
    <cellStyle name="Normal 4 3 3 3 5 2" xfId="4326" xr:uid="{00000000-0005-0000-0000-000094140000}"/>
    <cellStyle name="Normal 4 3 3 3 5 2 2" xfId="8548" xr:uid="{00000000-0005-0000-0000-000095140000}"/>
    <cellStyle name="Normal 4 3 3 3 5 2 2 2" xfId="26321" xr:uid="{85CC01ED-CC1A-4D5D-AD98-B9D505DF8874}"/>
    <cellStyle name="Normal 4 3 3 3 5 2 2 2 2" xfId="43215" xr:uid="{2E9D0FA0-0592-4C60-8575-DE0B11F3768E}"/>
    <cellStyle name="Normal 4 3 3 3 5 2 2 3" xfId="17874" xr:uid="{FAC0FBFD-5505-4703-9978-5516BAF47ED8}"/>
    <cellStyle name="Normal 4 3 3 3 5 2 2 4" xfId="34768" xr:uid="{C096A392-68A6-47ED-B6B7-E97580C56F2A}"/>
    <cellStyle name="Normal 4 3 3 3 5 2 3" xfId="22104" xr:uid="{4F0F6384-7496-4821-80E0-2912AB35451F}"/>
    <cellStyle name="Normal 4 3 3 3 5 2 3 2" xfId="38998" xr:uid="{CFC24256-7FAB-412F-8BA2-4549A22D932A}"/>
    <cellStyle name="Normal 4 3 3 3 5 2 4" xfId="13657" xr:uid="{CE6ABD43-5CED-4A2E-91E2-6413B01B3A3B}"/>
    <cellStyle name="Normal 4 3 3 3 5 2 5" xfId="30551" xr:uid="{100D1D87-D9CC-4DEB-991F-CEFAF41FD8EC}"/>
    <cellStyle name="Normal 4 3 3 3 5 3" xfId="6403" xr:uid="{00000000-0005-0000-0000-000096140000}"/>
    <cellStyle name="Normal 4 3 3 3 5 3 2" xfId="24176" xr:uid="{A94DF991-6012-427C-A9F2-E3B50143723C}"/>
    <cellStyle name="Normal 4 3 3 3 5 3 2 2" xfId="41070" xr:uid="{85526764-D729-4AA2-BF21-3B5642652D96}"/>
    <cellStyle name="Normal 4 3 3 3 5 3 3" xfId="15729" xr:uid="{751BE7DA-4033-4587-AA0A-5A04CCE73005}"/>
    <cellStyle name="Normal 4 3 3 3 5 3 4" xfId="32623" xr:uid="{69DF1DAD-E26A-459D-A961-941EA13E3370}"/>
    <cellStyle name="Normal 4 3 3 3 5 4" xfId="19959" xr:uid="{A2856FFB-AE66-4D3A-AFEC-AE9B5AB50528}"/>
    <cellStyle name="Normal 4 3 3 3 5 4 2" xfId="36853" xr:uid="{B10C7767-C132-4815-85C2-0BCCA7B5A740}"/>
    <cellStyle name="Normal 4 3 3 3 5 5" xfId="11512" xr:uid="{EF78C009-EA1D-48C9-B701-6362831635CB}"/>
    <cellStyle name="Normal 4 3 3 3 5 6" xfId="28406" xr:uid="{9F177343-B291-4031-B777-07F5FBFE2FBC}"/>
    <cellStyle name="Normal 4 3 3 3 6" xfId="2533" xr:uid="{00000000-0005-0000-0000-000097140000}"/>
    <cellStyle name="Normal 4 3 3 3 6 2" xfId="6816" xr:uid="{00000000-0005-0000-0000-000098140000}"/>
    <cellStyle name="Normal 4 3 3 3 6 2 2" xfId="24589" xr:uid="{BE71235F-FF75-49CF-8A88-83D611473E22}"/>
    <cellStyle name="Normal 4 3 3 3 6 2 2 2" xfId="41483" xr:uid="{EACDBDD1-6546-4A7C-85F9-0891F8853F39}"/>
    <cellStyle name="Normal 4 3 3 3 6 2 3" xfId="16142" xr:uid="{3BC8AF30-73D1-4BD2-8615-E051C9E54B23}"/>
    <cellStyle name="Normal 4 3 3 3 6 2 4" xfId="33036" xr:uid="{AAB07DC6-ABF7-410D-9983-E1BFC65A0712}"/>
    <cellStyle name="Normal 4 3 3 3 6 3" xfId="20372" xr:uid="{D4D457CD-077E-4F66-B3A5-56D0789DD4C2}"/>
    <cellStyle name="Normal 4 3 3 3 6 3 2" xfId="37266" xr:uid="{E8D425C5-46D6-4791-BAFB-23F3E3526191}"/>
    <cellStyle name="Normal 4 3 3 3 6 4" xfId="11925" xr:uid="{5F0849A7-33D9-4309-A48B-91A15E35298C}"/>
    <cellStyle name="Normal 4 3 3 3 6 5" xfId="28819" xr:uid="{E3368034-6908-4F19-B702-949AF48733D7}"/>
    <cellStyle name="Normal 4 3 3 3 7" xfId="4751" xr:uid="{00000000-0005-0000-0000-000099140000}"/>
    <cellStyle name="Normal 4 3 3 3 7 2" xfId="22524" xr:uid="{F236885C-CE46-4F93-8453-5B1ED9D68795}"/>
    <cellStyle name="Normal 4 3 3 3 7 2 2" xfId="39418" xr:uid="{02A93679-8D20-4768-9CF7-94C7DF402787}"/>
    <cellStyle name="Normal 4 3 3 3 7 3" xfId="14077" xr:uid="{141E0030-54F3-4332-ADA9-3419A4AA9DB6}"/>
    <cellStyle name="Normal 4 3 3 3 7 4" xfId="30971" xr:uid="{59A9D31A-C5C4-4E5E-A525-270F8BF1350B}"/>
    <cellStyle name="Normal 4 3 3 3 8" xfId="9028" xr:uid="{A0BD85BE-0D8B-455E-B326-708B8FF8A8C8}"/>
    <cellStyle name="Normal 4 3 3 3 8 2" xfId="18307" xr:uid="{6A507684-68FB-459B-9711-F83DA090B081}"/>
    <cellStyle name="Normal 4 3 3 3 8 3" xfId="35201" xr:uid="{81BC74F4-87E4-4C3F-BB3C-7E98441D69B9}"/>
    <cellStyle name="Normal 4 3 3 3 9" xfId="9860" xr:uid="{9651330D-0C81-436A-869E-8A88F019C591}"/>
    <cellStyle name="Normal 4 3 3 4" xfId="849" xr:uid="{00000000-0005-0000-0000-00009A140000}"/>
    <cellStyle name="Normal 4 3 3 4 2" xfId="3084" xr:uid="{00000000-0005-0000-0000-00009B140000}"/>
    <cellStyle name="Normal 4 3 3 4 2 2" xfId="7306" xr:uid="{00000000-0005-0000-0000-00009C140000}"/>
    <cellStyle name="Normal 4 3 3 4 2 2 2" xfId="25079" xr:uid="{2D24840D-D494-43E8-A541-A3F6D3786584}"/>
    <cellStyle name="Normal 4 3 3 4 2 2 2 2" xfId="41973" xr:uid="{E8CFEA91-A0F8-4EDB-8E03-4F358474F26E}"/>
    <cellStyle name="Normal 4 3 3 4 2 2 3" xfId="16632" xr:uid="{0236D961-A839-4E2B-B17D-CAAFB608002A}"/>
    <cellStyle name="Normal 4 3 3 4 2 2 4" xfId="33526" xr:uid="{A3C49FB3-3DBD-4426-BF76-8B1F14EC3C8F}"/>
    <cellStyle name="Normal 4 3 3 4 2 3" xfId="20862" xr:uid="{A8FAA3EC-29C5-4B35-A034-A1879901BE35}"/>
    <cellStyle name="Normal 4 3 3 4 2 3 2" xfId="37756" xr:uid="{6AC2018B-EA13-473A-98FB-F87263E8AF29}"/>
    <cellStyle name="Normal 4 3 3 4 2 4" xfId="12415" xr:uid="{2F76B766-5A2F-421C-8F97-DF8B1719450C}"/>
    <cellStyle name="Normal 4 3 3 4 2 5" xfId="29309" xr:uid="{70615DBD-DF8A-4F79-9284-50F656538862}"/>
    <cellStyle name="Normal 4 3 3 4 3" xfId="5161" xr:uid="{00000000-0005-0000-0000-00009D140000}"/>
    <cellStyle name="Normal 4 3 3 4 3 2" xfId="22934" xr:uid="{C031BA47-D515-4CCC-A89D-19A3143498CA}"/>
    <cellStyle name="Normal 4 3 3 4 3 2 2" xfId="39828" xr:uid="{5DCC314B-BFEC-4EF4-A2A3-1D92D308CAFB}"/>
    <cellStyle name="Normal 4 3 3 4 3 3" xfId="14487" xr:uid="{6882EC1E-9027-4741-93F8-2FCA8D94B8F2}"/>
    <cellStyle name="Normal 4 3 3 4 3 4" xfId="31381" xr:uid="{5DBF7F0B-F8E7-459A-8D93-3ED5D726C452}"/>
    <cellStyle name="Normal 4 3 3 4 4" xfId="9246" xr:uid="{E1107DA9-8F13-4216-80A2-CEA1D2EF57FC}"/>
    <cellStyle name="Normal 4 3 3 4 4 2" xfId="18717" xr:uid="{BCB8F923-34A3-4CB7-A8C4-B3B1A397D031}"/>
    <cellStyle name="Normal 4 3 3 4 4 3" xfId="35611" xr:uid="{C86D2999-C481-4710-B90C-D1AD45A4340B}"/>
    <cellStyle name="Normal 4 3 3 4 5" xfId="10270" xr:uid="{880693AB-E40D-41A3-B2CB-54DB6CAD2391}"/>
    <cellStyle name="Normal 4 3 3 4 6" xfId="27164" xr:uid="{45CBE228-4275-498E-88E2-F049C47B8B4A}"/>
    <cellStyle name="Normal 4 3 3 5" xfId="1267" xr:uid="{00000000-0005-0000-0000-00009E140000}"/>
    <cellStyle name="Normal 4 3 3 5 2" xfId="3497" xr:uid="{00000000-0005-0000-0000-00009F140000}"/>
    <cellStyle name="Normal 4 3 3 5 2 2" xfId="7719" xr:uid="{00000000-0005-0000-0000-0000A0140000}"/>
    <cellStyle name="Normal 4 3 3 5 2 2 2" xfId="25492" xr:uid="{592C1D96-0703-496D-B2A6-BFD01A73B09C}"/>
    <cellStyle name="Normal 4 3 3 5 2 2 2 2" xfId="42386" xr:uid="{A164E7EF-FEAD-4296-874E-CB38FA7310D1}"/>
    <cellStyle name="Normal 4 3 3 5 2 2 3" xfId="17045" xr:uid="{96783579-E666-4407-B063-E7F2EC645082}"/>
    <cellStyle name="Normal 4 3 3 5 2 2 4" xfId="33939" xr:uid="{102C9CAF-6734-4D27-91B9-13D3CE39B859}"/>
    <cellStyle name="Normal 4 3 3 5 2 3" xfId="21275" xr:uid="{2B39377C-2DFF-43CA-9BDF-66BB1D8CCF26}"/>
    <cellStyle name="Normal 4 3 3 5 2 3 2" xfId="38169" xr:uid="{DA827AF6-C7A2-48A6-B067-7FAF003CCCEC}"/>
    <cellStyle name="Normal 4 3 3 5 2 4" xfId="12828" xr:uid="{8D1DCED4-8BF3-46A9-B043-77F360E3C7A0}"/>
    <cellStyle name="Normal 4 3 3 5 2 5" xfId="29722" xr:uid="{DFD461F5-BA19-4B92-9A0C-A8A9AF5C6E8B}"/>
    <cellStyle name="Normal 4 3 3 5 3" xfId="5574" xr:uid="{00000000-0005-0000-0000-0000A1140000}"/>
    <cellStyle name="Normal 4 3 3 5 3 2" xfId="23347" xr:uid="{705EC916-2E39-4BE6-BB4C-4DAD9759A573}"/>
    <cellStyle name="Normal 4 3 3 5 3 2 2" xfId="40241" xr:uid="{356589CA-8CEC-4191-92B4-EE0FF07C8CB1}"/>
    <cellStyle name="Normal 4 3 3 5 3 3" xfId="14900" xr:uid="{C087A782-CAA0-4A5B-A9A9-953F8BC42C30}"/>
    <cellStyle name="Normal 4 3 3 5 3 4" xfId="31794" xr:uid="{E4F4393C-FD12-490A-A171-4A644F638DA2}"/>
    <cellStyle name="Normal 4 3 3 5 4" xfId="19130" xr:uid="{DB82C2EB-738A-4AE6-B684-26E3BAC545B5}"/>
    <cellStyle name="Normal 4 3 3 5 4 2" xfId="36024" xr:uid="{F0E99A15-B346-43BC-AB53-E1CA8CA06F76}"/>
    <cellStyle name="Normal 4 3 3 5 5" xfId="10683" xr:uid="{16A8A8AA-BE4F-45D6-96DD-80CE2459E693}"/>
    <cellStyle name="Normal 4 3 3 5 6" xfId="27577" xr:uid="{CEBA8CEF-69D6-4F17-B3E7-ED138F3E7CBB}"/>
    <cellStyle name="Normal 4 3 3 6" xfId="1680" xr:uid="{00000000-0005-0000-0000-0000A2140000}"/>
    <cellStyle name="Normal 4 3 3 6 2" xfId="3910" xr:uid="{00000000-0005-0000-0000-0000A3140000}"/>
    <cellStyle name="Normal 4 3 3 6 2 2" xfId="8132" xr:uid="{00000000-0005-0000-0000-0000A4140000}"/>
    <cellStyle name="Normal 4 3 3 6 2 2 2" xfId="25905" xr:uid="{BDD39280-7F07-41EB-A410-313F220A3347}"/>
    <cellStyle name="Normal 4 3 3 6 2 2 2 2" xfId="42799" xr:uid="{34BA8A27-4112-4DB9-AC8A-AD0018F8C88D}"/>
    <cellStyle name="Normal 4 3 3 6 2 2 3" xfId="17458" xr:uid="{9B5EEEDF-B91D-4CA6-9EBE-995FC5E1FDAE}"/>
    <cellStyle name="Normal 4 3 3 6 2 2 4" xfId="34352" xr:uid="{47553A6D-09A0-44A0-BDD1-FDB9B845F8CD}"/>
    <cellStyle name="Normal 4 3 3 6 2 3" xfId="21688" xr:uid="{7F9033AF-982F-47A3-97F3-6741A9287EF3}"/>
    <cellStyle name="Normal 4 3 3 6 2 3 2" xfId="38582" xr:uid="{B473F364-EC20-4551-A525-20B6FBF77521}"/>
    <cellStyle name="Normal 4 3 3 6 2 4" xfId="13241" xr:uid="{BCFCA1FC-BC93-4C14-9B44-0CF8B46380D8}"/>
    <cellStyle name="Normal 4 3 3 6 2 5" xfId="30135" xr:uid="{89AE4355-FF2B-4F92-B239-19B7DC5FB43D}"/>
    <cellStyle name="Normal 4 3 3 6 3" xfId="5987" xr:uid="{00000000-0005-0000-0000-0000A5140000}"/>
    <cellStyle name="Normal 4 3 3 6 3 2" xfId="23760" xr:uid="{6BCE1BCD-47EC-4503-BEA4-0718ED914410}"/>
    <cellStyle name="Normal 4 3 3 6 3 2 2" xfId="40654" xr:uid="{096AA75B-3C3A-4F0C-B6D3-61D997E42F06}"/>
    <cellStyle name="Normal 4 3 3 6 3 3" xfId="15313" xr:uid="{9F023CA7-9D37-4763-AFE5-657911F44ACA}"/>
    <cellStyle name="Normal 4 3 3 6 3 4" xfId="32207" xr:uid="{6F5667B4-C72F-4058-A42D-C4B920D7CCF3}"/>
    <cellStyle name="Normal 4 3 3 6 4" xfId="19543" xr:uid="{8C16CF20-B1EB-4258-A4B6-AB58EA20AF30}"/>
    <cellStyle name="Normal 4 3 3 6 4 2" xfId="36437" xr:uid="{4753A305-A49B-4F2A-A4FC-77CC4E89FD93}"/>
    <cellStyle name="Normal 4 3 3 6 5" xfId="11096" xr:uid="{F070EA38-B3E1-462B-9197-8EC365A0FC31}"/>
    <cellStyle name="Normal 4 3 3 6 6" xfId="27990" xr:uid="{C7DBB8CB-D354-442C-A8FA-73355DA93A6B}"/>
    <cellStyle name="Normal 4 3 3 7" xfId="2094" xr:uid="{00000000-0005-0000-0000-0000A6140000}"/>
    <cellStyle name="Normal 4 3 3 7 2" xfId="4323" xr:uid="{00000000-0005-0000-0000-0000A7140000}"/>
    <cellStyle name="Normal 4 3 3 7 2 2" xfId="8545" xr:uid="{00000000-0005-0000-0000-0000A8140000}"/>
    <cellStyle name="Normal 4 3 3 7 2 2 2" xfId="26318" xr:uid="{4164FA61-9945-486D-A82F-1C0479662B6E}"/>
    <cellStyle name="Normal 4 3 3 7 2 2 2 2" xfId="43212" xr:uid="{3E751082-6C8C-4A4E-BE36-44FE08598D7D}"/>
    <cellStyle name="Normal 4 3 3 7 2 2 3" xfId="17871" xr:uid="{DFB5E370-8F0D-469A-95C3-097498CAECF9}"/>
    <cellStyle name="Normal 4 3 3 7 2 2 4" xfId="34765" xr:uid="{5E67662F-8EC3-4966-8675-10F9D8A81215}"/>
    <cellStyle name="Normal 4 3 3 7 2 3" xfId="22101" xr:uid="{3FF2A6F2-8189-411C-B8D8-CB1CF2A5EAEF}"/>
    <cellStyle name="Normal 4 3 3 7 2 3 2" xfId="38995" xr:uid="{2BF5383C-B83F-4ED2-9FDA-31EB13AB831F}"/>
    <cellStyle name="Normal 4 3 3 7 2 4" xfId="13654" xr:uid="{9FB1BD47-9D3C-4BE0-BE15-5317DAD6A96A}"/>
    <cellStyle name="Normal 4 3 3 7 2 5" xfId="30548" xr:uid="{D3181003-29C8-47DE-BC26-CF3F3BB4A8CC}"/>
    <cellStyle name="Normal 4 3 3 7 3" xfId="6400" xr:uid="{00000000-0005-0000-0000-0000A9140000}"/>
    <cellStyle name="Normal 4 3 3 7 3 2" xfId="24173" xr:uid="{B6C6F4A9-8A7D-44D1-9710-7BAFFC639E1D}"/>
    <cellStyle name="Normal 4 3 3 7 3 2 2" xfId="41067" xr:uid="{0BCAD5DB-F27E-489A-B7CC-3F2EC5B125E0}"/>
    <cellStyle name="Normal 4 3 3 7 3 3" xfId="15726" xr:uid="{02379569-0860-4A1A-A084-957BCB87164D}"/>
    <cellStyle name="Normal 4 3 3 7 3 4" xfId="32620" xr:uid="{565DE40B-BA19-4320-8D05-C1829E11F8E2}"/>
    <cellStyle name="Normal 4 3 3 7 4" xfId="19956" xr:uid="{50A66A0A-9760-4C98-900B-0EAD68103DCA}"/>
    <cellStyle name="Normal 4 3 3 7 4 2" xfId="36850" xr:uid="{BC657248-2C6E-4066-89EB-6E4D453D098E}"/>
    <cellStyle name="Normal 4 3 3 7 5" xfId="11509" xr:uid="{7245E943-9D76-4998-808C-AF129C909535}"/>
    <cellStyle name="Normal 4 3 3 7 6" xfId="28403" xr:uid="{851CA078-8ACC-4142-AB63-FD729807452E}"/>
    <cellStyle name="Normal 4 3 3 8" xfId="2530" xr:uid="{00000000-0005-0000-0000-0000AA140000}"/>
    <cellStyle name="Normal 4 3 3 8 2" xfId="6813" xr:uid="{00000000-0005-0000-0000-0000AB140000}"/>
    <cellStyle name="Normal 4 3 3 8 2 2" xfId="24586" xr:uid="{7C1B9884-02C7-4FC1-AA91-7042C62517C8}"/>
    <cellStyle name="Normal 4 3 3 8 2 2 2" xfId="41480" xr:uid="{249FD003-8C03-4BF8-85A3-C3F231215D77}"/>
    <cellStyle name="Normal 4 3 3 8 2 3" xfId="16139" xr:uid="{F4769C71-8285-4A43-ACD8-977171C04FA7}"/>
    <cellStyle name="Normal 4 3 3 8 2 4" xfId="33033" xr:uid="{83F5FF1A-AC92-4622-87FF-3F7AA34D01A9}"/>
    <cellStyle name="Normal 4 3 3 8 3" xfId="20369" xr:uid="{25C4002B-F4C5-46B6-9B39-6D670C866C04}"/>
    <cellStyle name="Normal 4 3 3 8 3 2" xfId="37263" xr:uid="{279B0FF9-0124-471F-A581-DC75A3DA4097}"/>
    <cellStyle name="Normal 4 3 3 8 4" xfId="11922" xr:uid="{C86E165E-14C6-4D65-9C26-92760053EDE7}"/>
    <cellStyle name="Normal 4 3 3 8 5" xfId="28816" xr:uid="{661211A3-D653-425C-B878-D49736D64DC1}"/>
    <cellStyle name="Normal 4 3 3 9" xfId="4748" xr:uid="{00000000-0005-0000-0000-0000AC140000}"/>
    <cellStyle name="Normal 4 3 3 9 2" xfId="22521" xr:uid="{97630C63-3677-4EB2-A35E-E5B4602F8414}"/>
    <cellStyle name="Normal 4 3 3 9 2 2" xfId="39415" xr:uid="{F4E54BE2-C4B1-4C4E-9FD5-3EB17B72934E}"/>
    <cellStyle name="Normal 4 3 3 9 3" xfId="14074" xr:uid="{1AA3F41F-BBE9-4F77-AE21-B19618A48793}"/>
    <cellStyle name="Normal 4 3 3 9 4" xfId="30968" xr:uid="{30B04C2C-E170-474E-9725-49ECFC2579CE}"/>
    <cellStyle name="Normal 4 3 4" xfId="842" xr:uid="{00000000-0005-0000-0000-0000AD140000}"/>
    <cellStyle name="Normal 4 3 4 2" xfId="3079" xr:uid="{00000000-0005-0000-0000-0000AE140000}"/>
    <cellStyle name="Normal 4 3 4 2 2" xfId="7301" xr:uid="{00000000-0005-0000-0000-0000AF140000}"/>
    <cellStyle name="Normal 4 3 4 2 2 2" xfId="25074" xr:uid="{7E9ADDE0-8A6B-4543-AB38-7E202CEC9DEF}"/>
    <cellStyle name="Normal 4 3 4 2 2 2 2" xfId="41968" xr:uid="{F504F0AF-B934-4CC4-BE29-FD72D7E8FD4D}"/>
    <cellStyle name="Normal 4 3 4 2 2 3" xfId="16627" xr:uid="{2188D2F9-7147-4630-9B63-DB0BAD28DC04}"/>
    <cellStyle name="Normal 4 3 4 2 2 4" xfId="33521" xr:uid="{4504561A-4C96-4A4B-A127-A555AFCA2492}"/>
    <cellStyle name="Normal 4 3 4 2 3" xfId="20857" xr:uid="{052990A1-383A-41C6-AAD6-44206482AF11}"/>
    <cellStyle name="Normal 4 3 4 2 3 2" xfId="37751" xr:uid="{11495325-8D0C-4806-A75D-D27BD3F513C3}"/>
    <cellStyle name="Normal 4 3 4 2 4" xfId="12410" xr:uid="{36748CD0-9E70-48AB-89B9-C71B9ABD10C1}"/>
    <cellStyle name="Normal 4 3 4 2 5" xfId="29304" xr:uid="{EC1560DD-448D-4481-8D93-A03C2673D740}"/>
    <cellStyle name="Normal 4 3 4 3" xfId="5156" xr:uid="{00000000-0005-0000-0000-0000B0140000}"/>
    <cellStyle name="Normal 4 3 4 3 2" xfId="22929" xr:uid="{0F8A1B95-144C-4D0E-A5FB-F39D65F0727F}"/>
    <cellStyle name="Normal 4 3 4 3 2 2" xfId="39823" xr:uid="{39A9F969-20D0-4A37-AF7C-247B238BB668}"/>
    <cellStyle name="Normal 4 3 4 3 3" xfId="14482" xr:uid="{45C03246-84DD-4AB7-BFE5-44E982F2FA9D}"/>
    <cellStyle name="Normal 4 3 4 3 4" xfId="31376" xr:uid="{0816CFB3-F53F-4966-9770-1862A1595B45}"/>
    <cellStyle name="Normal 4 3 4 4" xfId="9608" xr:uid="{C2EFFD2B-01D5-4B2B-BD85-BB4245D6A35E}"/>
    <cellStyle name="Normal 4 3 4 4 2" xfId="18712" xr:uid="{DEC70AE4-2404-4338-AE7D-648B72D6D32F}"/>
    <cellStyle name="Normal 4 3 4 4 3" xfId="35606" xr:uid="{337F3205-55B3-44A0-AED8-BE739A14FBDD}"/>
    <cellStyle name="Normal 4 3 4 5" xfId="10265" xr:uid="{54A4DB53-8AF5-4D37-9D78-EE686927DD85}"/>
    <cellStyle name="Normal 4 3 4 6" xfId="27159" xr:uid="{B664DB74-192B-44BF-8E10-8AE507C0D7ED}"/>
    <cellStyle name="Normal 4 3 5" xfId="1262" xr:uid="{00000000-0005-0000-0000-0000B1140000}"/>
    <cellStyle name="Normal 4 3 5 2" xfId="3492" xr:uid="{00000000-0005-0000-0000-0000B2140000}"/>
    <cellStyle name="Normal 4 3 5 2 2" xfId="7714" xr:uid="{00000000-0005-0000-0000-0000B3140000}"/>
    <cellStyle name="Normal 4 3 5 2 2 2" xfId="25487" xr:uid="{08107765-72A6-4653-97E6-5E8DD9BBC747}"/>
    <cellStyle name="Normal 4 3 5 2 2 2 2" xfId="42381" xr:uid="{EF5E7C66-675F-4AB9-B8FA-BD0059BDBA2D}"/>
    <cellStyle name="Normal 4 3 5 2 2 3" xfId="17040" xr:uid="{D91C5073-8AC8-4310-82C4-7F3CE5C636F6}"/>
    <cellStyle name="Normal 4 3 5 2 2 4" xfId="33934" xr:uid="{6265D32F-F6A3-4465-A44F-3F74C8AD7EB8}"/>
    <cellStyle name="Normal 4 3 5 2 3" xfId="21270" xr:uid="{41956D18-2896-4081-BE55-E1E53FBED239}"/>
    <cellStyle name="Normal 4 3 5 2 3 2" xfId="38164" xr:uid="{2FC108F1-EA59-4CB1-85E0-A6CCF9C514F8}"/>
    <cellStyle name="Normal 4 3 5 2 4" xfId="12823" xr:uid="{298D1F1C-0D06-4EDC-A854-AD41D4425B17}"/>
    <cellStyle name="Normal 4 3 5 2 5" xfId="29717" xr:uid="{E2E8A012-2E4E-4AF1-B1E6-B7F6BB681B08}"/>
    <cellStyle name="Normal 4 3 5 3" xfId="5569" xr:uid="{00000000-0005-0000-0000-0000B4140000}"/>
    <cellStyle name="Normal 4 3 5 3 2" xfId="23342" xr:uid="{D10741A1-11B8-4E58-B9FA-A165BE87FE49}"/>
    <cellStyle name="Normal 4 3 5 3 2 2" xfId="40236" xr:uid="{48954052-D1C7-49A9-A4D1-C8222EFF2491}"/>
    <cellStyle name="Normal 4 3 5 3 3" xfId="14895" xr:uid="{75144991-87F5-42DA-922D-8F10448AD197}"/>
    <cellStyle name="Normal 4 3 5 3 4" xfId="31789" xr:uid="{BA5E8A37-D1C4-4193-97B9-F42C06F349C0}"/>
    <cellStyle name="Normal 4 3 5 4" xfId="19125" xr:uid="{9CCEC18B-7C90-44CA-AF3F-DEC823F4E241}"/>
    <cellStyle name="Normal 4 3 5 4 2" xfId="36019" xr:uid="{849EDAC0-A5F9-4695-B489-02DFB7326002}"/>
    <cellStyle name="Normal 4 3 5 5" xfId="10678" xr:uid="{F05DA783-7F06-4EF3-9BBD-85AE22148F1C}"/>
    <cellStyle name="Normal 4 3 5 6" xfId="27572" xr:uid="{85BAC391-5644-4076-8411-0A23B719E208}"/>
    <cellStyle name="Normal 4 3 6" xfId="1675" xr:uid="{00000000-0005-0000-0000-0000B5140000}"/>
    <cellStyle name="Normal 4 3 6 2" xfId="3905" xr:uid="{00000000-0005-0000-0000-0000B6140000}"/>
    <cellStyle name="Normal 4 3 6 2 2" xfId="8127" xr:uid="{00000000-0005-0000-0000-0000B7140000}"/>
    <cellStyle name="Normal 4 3 6 2 2 2" xfId="25900" xr:uid="{EE2962C7-42C4-41AB-9FE6-2C5C3CFA4817}"/>
    <cellStyle name="Normal 4 3 6 2 2 2 2" xfId="42794" xr:uid="{59A35DA9-1341-4006-8348-21789F75A049}"/>
    <cellStyle name="Normal 4 3 6 2 2 3" xfId="17453" xr:uid="{9CAD2897-E090-4906-B375-DE4612B667C0}"/>
    <cellStyle name="Normal 4 3 6 2 2 4" xfId="34347" xr:uid="{DA82537B-44CA-4336-B8C6-3790AC11D359}"/>
    <cellStyle name="Normal 4 3 6 2 3" xfId="21683" xr:uid="{E8E936A9-D401-404A-9B8E-65D27C17D44F}"/>
    <cellStyle name="Normal 4 3 6 2 3 2" xfId="38577" xr:uid="{3DF43464-A8EF-4ABD-8240-592220BD75F1}"/>
    <cellStyle name="Normal 4 3 6 2 4" xfId="13236" xr:uid="{CA806737-F04B-49C6-9D7F-3CCE3A457B1F}"/>
    <cellStyle name="Normal 4 3 6 2 5" xfId="30130" xr:uid="{902E0AC5-A4EB-454F-BA8E-22FB3964F8BA}"/>
    <cellStyle name="Normal 4 3 6 3" xfId="5982" xr:uid="{00000000-0005-0000-0000-0000B8140000}"/>
    <cellStyle name="Normal 4 3 6 3 2" xfId="23755" xr:uid="{C66985F7-38F3-47F1-AE7D-9F0D18C41C68}"/>
    <cellStyle name="Normal 4 3 6 3 2 2" xfId="40649" xr:uid="{8A585C17-F16C-4B44-86B3-89A37451ED6F}"/>
    <cellStyle name="Normal 4 3 6 3 3" xfId="15308" xr:uid="{F0EA67FD-9467-4EA1-8D7B-43643D8C5A0D}"/>
    <cellStyle name="Normal 4 3 6 3 4" xfId="32202" xr:uid="{8F22E0AF-6148-43D5-99A6-38B23DA16EE1}"/>
    <cellStyle name="Normal 4 3 6 4" xfId="19538" xr:uid="{389C00A4-756C-4EF8-9719-C2F4A1705DDE}"/>
    <cellStyle name="Normal 4 3 6 4 2" xfId="36432" xr:uid="{5CF911E5-AF87-4977-9D5A-1DAF118C1F66}"/>
    <cellStyle name="Normal 4 3 6 5" xfId="11091" xr:uid="{D1DF22C5-1F73-4A0D-B01F-3BA7072A9BE2}"/>
    <cellStyle name="Normal 4 3 6 6" xfId="27985" xr:uid="{7414BAB7-4C5C-44CB-9368-D5CE7FC23DD5}"/>
    <cellStyle name="Normal 4 3 7" xfId="2089" xr:uid="{00000000-0005-0000-0000-0000B9140000}"/>
    <cellStyle name="Normal 4 3 7 2" xfId="4318" xr:uid="{00000000-0005-0000-0000-0000BA140000}"/>
    <cellStyle name="Normal 4 3 7 2 2" xfId="8540" xr:uid="{00000000-0005-0000-0000-0000BB140000}"/>
    <cellStyle name="Normal 4 3 7 2 2 2" xfId="26313" xr:uid="{18CD3B56-B8EB-4493-9539-C982A96A8BC7}"/>
    <cellStyle name="Normal 4 3 7 2 2 2 2" xfId="43207" xr:uid="{FC94D423-F4AC-4C6E-93FA-595DFC11A68B}"/>
    <cellStyle name="Normal 4 3 7 2 2 3" xfId="17866" xr:uid="{BC99A4D1-1D47-42E6-8D94-88DB5426D20B}"/>
    <cellStyle name="Normal 4 3 7 2 2 4" xfId="34760" xr:uid="{E445998D-686E-4A45-8CB7-76813819676B}"/>
    <cellStyle name="Normal 4 3 7 2 3" xfId="22096" xr:uid="{5D84A416-62FF-49DB-BC17-3C9673042DD1}"/>
    <cellStyle name="Normal 4 3 7 2 3 2" xfId="38990" xr:uid="{A384B052-4E53-4F46-98F5-F7FAB7F68383}"/>
    <cellStyle name="Normal 4 3 7 2 4" xfId="13649" xr:uid="{06FCFD55-09BD-48EE-BE06-0B973C911B76}"/>
    <cellStyle name="Normal 4 3 7 2 5" xfId="30543" xr:uid="{A847BC49-C218-4571-8591-F6F373D27859}"/>
    <cellStyle name="Normal 4 3 7 3" xfId="6395" xr:uid="{00000000-0005-0000-0000-0000BC140000}"/>
    <cellStyle name="Normal 4 3 7 3 2" xfId="24168" xr:uid="{1F58705F-EA3C-442E-808F-1ADC25B73DC4}"/>
    <cellStyle name="Normal 4 3 7 3 2 2" xfId="41062" xr:uid="{C1C21DD0-287E-4AF4-B373-CA676ACEC53E}"/>
    <cellStyle name="Normal 4 3 7 3 3" xfId="15721" xr:uid="{76B733B7-55E0-41B1-B8E1-5D06CA3DBDFA}"/>
    <cellStyle name="Normal 4 3 7 3 4" xfId="32615" xr:uid="{6B1C24B5-0564-4564-BF94-D4924C49ADE4}"/>
    <cellStyle name="Normal 4 3 7 4" xfId="19951" xr:uid="{426D177C-3D2B-4D9F-B511-C03C9D94293D}"/>
    <cellStyle name="Normal 4 3 7 4 2" xfId="36845" xr:uid="{35BAED72-7BAC-42B1-B6B5-40E67DBEAA71}"/>
    <cellStyle name="Normal 4 3 7 5" xfId="11504" xr:uid="{5A2EF6BB-EB42-4E6D-93C4-FB40B6D7F945}"/>
    <cellStyle name="Normal 4 3 7 6" xfId="28398" xr:uid="{36111E73-BA85-4DC7-B293-48B9C1E60243}"/>
    <cellStyle name="Normal 4 3 8" xfId="2525" xr:uid="{00000000-0005-0000-0000-0000BD140000}"/>
    <cellStyle name="Normal 4 3 8 2" xfId="6808" xr:uid="{00000000-0005-0000-0000-0000BE140000}"/>
    <cellStyle name="Normal 4 3 8 2 2" xfId="24581" xr:uid="{D384D927-F186-4EEF-B927-F3BBF094B129}"/>
    <cellStyle name="Normal 4 3 8 2 2 2" xfId="41475" xr:uid="{A7EC4206-5097-405A-B765-FF6343974DD5}"/>
    <cellStyle name="Normal 4 3 8 2 3" xfId="16134" xr:uid="{D5A9B336-FAD0-48B8-A8E2-4AC7E9BFCB8A}"/>
    <cellStyle name="Normal 4 3 8 2 4" xfId="33028" xr:uid="{C36325B2-2037-45C1-804B-C9645A62C82D}"/>
    <cellStyle name="Normal 4 3 8 3" xfId="20364" xr:uid="{494B0D7F-912E-47C6-BE6C-24DACC0EFA21}"/>
    <cellStyle name="Normal 4 3 8 3 2" xfId="37258" xr:uid="{B54BFDE2-7BB4-40AB-992E-3B81F1F67C57}"/>
    <cellStyle name="Normal 4 3 8 4" xfId="11917" xr:uid="{F52FE4B4-1BA7-403C-89D1-6CE8A698D497}"/>
    <cellStyle name="Normal 4 3 8 5" xfId="28811" xr:uid="{B8C2355D-902A-49B2-9357-7E4E51810888}"/>
    <cellStyle name="Normal 4 3 9" xfId="4743" xr:uid="{00000000-0005-0000-0000-0000BF140000}"/>
    <cellStyle name="Normal 4 3 9 2" xfId="22516" xr:uid="{38D1AE31-20A2-458E-8A18-D0AE5B348C26}"/>
    <cellStyle name="Normal 4 3 9 2 2" xfId="39410" xr:uid="{F09276A2-5697-4B4C-8387-0A69194C5107}"/>
    <cellStyle name="Normal 4 3 9 3" xfId="14069" xr:uid="{A5CD2720-E166-4A74-BBC9-4B5C9D003B6D}"/>
    <cellStyle name="Normal 4 3 9 4" xfId="30963" xr:uid="{A8E13244-DC49-4B0E-84B9-C83189B9EC82}"/>
    <cellStyle name="Normal 4 4" xfId="378" xr:uid="{00000000-0005-0000-0000-0000C0140000}"/>
    <cellStyle name="Normal 4 4 10" xfId="2534" xr:uid="{00000000-0005-0000-0000-0000C1140000}"/>
    <cellStyle name="Normal 4 4 10 2" xfId="6817" xr:uid="{00000000-0005-0000-0000-0000C2140000}"/>
    <cellStyle name="Normal 4 4 10 2 2" xfId="24590" xr:uid="{25A91371-10B4-4927-88DA-F2BA31240D22}"/>
    <cellStyle name="Normal 4 4 10 2 2 2" xfId="41484" xr:uid="{56446BCA-3051-42B2-8AC3-9779454BEF89}"/>
    <cellStyle name="Normal 4 4 10 2 3" xfId="16143" xr:uid="{DFE7178C-2483-43CE-9130-6631FE2184AE}"/>
    <cellStyle name="Normal 4 4 10 2 4" xfId="33037" xr:uid="{7B26AD20-3A4C-4521-8D5A-3B6090831520}"/>
    <cellStyle name="Normal 4 4 10 3" xfId="20373" xr:uid="{86E6A732-FB9F-4762-A692-4A7BC7BEF96A}"/>
    <cellStyle name="Normal 4 4 10 3 2" xfId="37267" xr:uid="{5FF6A02D-DB89-4FA0-A37B-BE17429F4B1B}"/>
    <cellStyle name="Normal 4 4 10 4" xfId="11926" xr:uid="{1B4C1B80-40D8-402E-AAA7-BA6D2A6B6E3E}"/>
    <cellStyle name="Normal 4 4 10 5" xfId="28820" xr:uid="{98173D7A-AC2B-4118-A051-ABB6DD512304}"/>
    <cellStyle name="Normal 4 4 11" xfId="4752" xr:uid="{00000000-0005-0000-0000-0000C3140000}"/>
    <cellStyle name="Normal 4 4 11 2" xfId="22525" xr:uid="{9D9A0F73-1824-47BD-BD8E-37F1908DD6EC}"/>
    <cellStyle name="Normal 4 4 11 2 2" xfId="39419" xr:uid="{BD44CF29-2DE1-47E4-BFD8-74119A0E5455}"/>
    <cellStyle name="Normal 4 4 11 3" xfId="14078" xr:uid="{58819AD2-E0C5-4789-9FB9-C6A4FB536CCF}"/>
    <cellStyle name="Normal 4 4 11 4" xfId="30972" xr:uid="{6DBFEB39-822C-4E8C-BE18-94E95123C725}"/>
    <cellStyle name="Normal 4 4 12" xfId="8749" xr:uid="{A91736B6-873D-4B1A-8B29-18DC69E5E65F}"/>
    <cellStyle name="Normal 4 4 12 2" xfId="18308" xr:uid="{13B2F85A-99BD-49F7-B0B8-A9F72996F71C}"/>
    <cellStyle name="Normal 4 4 12 3" xfId="35202" xr:uid="{FCE8E075-5741-46B8-B801-40C2C42652AE}"/>
    <cellStyle name="Normal 4 4 13" xfId="9861" xr:uid="{8FD76D3C-2A50-4395-B191-8A39708CB546}"/>
    <cellStyle name="Normal 4 4 14" xfId="26755" xr:uid="{601298F0-F7C3-470D-A5E9-76AFC83643FC}"/>
    <cellStyle name="Normal 4 4 2" xfId="379" xr:uid="{00000000-0005-0000-0000-0000C4140000}"/>
    <cellStyle name="Normal 4 4 2 10" xfId="4753" xr:uid="{00000000-0005-0000-0000-0000C5140000}"/>
    <cellStyle name="Normal 4 4 2 10 2" xfId="22526" xr:uid="{7E77E628-E74E-4F16-ADC4-2D234C09BA5D}"/>
    <cellStyle name="Normal 4 4 2 10 2 2" xfId="39420" xr:uid="{F02A46C5-E3F1-49BD-A405-2A122D5AABEB}"/>
    <cellStyle name="Normal 4 4 2 10 3" xfId="14079" xr:uid="{67CA2AD6-C7A3-4D4A-889D-E23B797F3F01}"/>
    <cellStyle name="Normal 4 4 2 10 4" xfId="30973" xr:uid="{6B0ED96B-7FEE-46EA-916A-A9BD2B5DD45F}"/>
    <cellStyle name="Normal 4 4 2 11" xfId="8781" xr:uid="{12B8F0AD-1EB8-4D0A-9CAD-21DEEFEDAE41}"/>
    <cellStyle name="Normal 4 4 2 11 2" xfId="18309" xr:uid="{E8820635-22A4-4211-9A37-9AE2ADA60EBF}"/>
    <cellStyle name="Normal 4 4 2 11 3" xfId="35203" xr:uid="{ED282F8B-EF45-4951-9564-C02A6390A03D}"/>
    <cellStyle name="Normal 4 4 2 12" xfId="9862" xr:uid="{4B0032C7-B3CE-4A95-B835-240EFE4BEC53}"/>
    <cellStyle name="Normal 4 4 2 13" xfId="26756" xr:uid="{87F4BC56-3135-49B6-A7C2-9C290F1CBA32}"/>
    <cellStyle name="Normal 4 4 2 2" xfId="380" xr:uid="{00000000-0005-0000-0000-0000C6140000}"/>
    <cellStyle name="Normal 4 4 2 2 10" xfId="8824" xr:uid="{FF218EA8-00A9-476B-AA88-FBBBBED2D06B}"/>
    <cellStyle name="Normal 4 4 2 2 10 2" xfId="18310" xr:uid="{3F53BC4C-48D7-4AC4-A61D-77F903091442}"/>
    <cellStyle name="Normal 4 4 2 2 10 3" xfId="35204" xr:uid="{EB6E25C9-4669-4540-AB54-5F262BE8E5E2}"/>
    <cellStyle name="Normal 4 4 2 2 11" xfId="9863" xr:uid="{9245AE32-6C77-4897-8E03-F25FC64E1F7B}"/>
    <cellStyle name="Normal 4 4 2 2 12" xfId="26757" xr:uid="{346312F4-83D1-4D69-8653-0961704EC1EC}"/>
    <cellStyle name="Normal 4 4 2 2 2" xfId="381" xr:uid="{00000000-0005-0000-0000-0000C7140000}"/>
    <cellStyle name="Normal 4 4 2 2 2 10" xfId="9864" xr:uid="{9C28C223-2CC5-453D-B635-BEF19FF772DD}"/>
    <cellStyle name="Normal 4 4 2 2 2 11" xfId="26758" xr:uid="{BB86E14E-7EF8-4CDC-B2DF-0755F1C8DE7F}"/>
    <cellStyle name="Normal 4 4 2 2 2 2" xfId="382" xr:uid="{00000000-0005-0000-0000-0000C8140000}"/>
    <cellStyle name="Normal 4 4 2 2 2 2 10" xfId="26759" xr:uid="{18A1E11B-E66B-437D-AAC0-D8115EE04F7B}"/>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2 2 2" xfId="25087" xr:uid="{82B7C5CB-764A-4E6D-AB47-796D650920F5}"/>
    <cellStyle name="Normal 4 4 2 2 2 2 2 2 2 2 2" xfId="41981" xr:uid="{7CB15C64-3CC9-4B34-A880-56815DE1D2D0}"/>
    <cellStyle name="Normal 4 4 2 2 2 2 2 2 2 3" xfId="16640" xr:uid="{3308977D-2EC7-403F-9B4B-48F21F71FCB8}"/>
    <cellStyle name="Normal 4 4 2 2 2 2 2 2 2 4" xfId="33534" xr:uid="{4DC6BA6C-CE47-4FF5-8368-43BC44BE621F}"/>
    <cellStyle name="Normal 4 4 2 2 2 2 2 2 3" xfId="20870" xr:uid="{FA8BE394-9A12-4AA7-B70D-886F756FFCCE}"/>
    <cellStyle name="Normal 4 4 2 2 2 2 2 2 3 2" xfId="37764" xr:uid="{88E3957B-C716-4CCB-B32A-CD15DD61BDC4}"/>
    <cellStyle name="Normal 4 4 2 2 2 2 2 2 4" xfId="12423" xr:uid="{A88019E9-C0F8-4161-8386-13169C4863D8}"/>
    <cellStyle name="Normal 4 4 2 2 2 2 2 2 5" xfId="29317" xr:uid="{84C87004-DE23-4A3D-AAEB-3CA0EDA11D9F}"/>
    <cellStyle name="Normal 4 4 2 2 2 2 2 3" xfId="5169" xr:uid="{00000000-0005-0000-0000-0000CC140000}"/>
    <cellStyle name="Normal 4 4 2 2 2 2 2 3 2" xfId="22942" xr:uid="{E18777A2-BA48-4E3D-8C7D-4443CCD285FE}"/>
    <cellStyle name="Normal 4 4 2 2 2 2 2 3 2 2" xfId="39836" xr:uid="{453C5A4B-95B5-45CB-890F-80C44AB23D75}"/>
    <cellStyle name="Normal 4 4 2 2 2 2 2 3 3" xfId="14495" xr:uid="{CA7C89CC-6C06-4E5D-BA2A-D9BC23CDB579}"/>
    <cellStyle name="Normal 4 4 2 2 2 2 2 3 4" xfId="31389" xr:uid="{DDC34AF1-7C3E-4A13-9415-F4AF7397EE39}"/>
    <cellStyle name="Normal 4 4 2 2 2 2 2 4" xfId="9559" xr:uid="{6E5E886C-D83F-47E6-AD2B-552CC2A98FD0}"/>
    <cellStyle name="Normal 4 4 2 2 2 2 2 4 2" xfId="18725" xr:uid="{9F943578-7D10-4FEC-9E05-166D2E560AAB}"/>
    <cellStyle name="Normal 4 4 2 2 2 2 2 4 3" xfId="35619" xr:uid="{129F0757-0303-4C52-9592-9CA4A8E75626}"/>
    <cellStyle name="Normal 4 4 2 2 2 2 2 5" xfId="10278" xr:uid="{B7AA2EC3-B6C1-486F-A9F2-3E4A7716AC2E}"/>
    <cellStyle name="Normal 4 4 2 2 2 2 2 6" xfId="27172" xr:uid="{177924B7-A0D5-4722-9AD4-866FB3DA4F12}"/>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2 2 2" xfId="25500" xr:uid="{FCE1D73B-B3E4-4123-BF97-12896CE1F03E}"/>
    <cellStyle name="Normal 4 4 2 2 2 2 3 2 2 2 2" xfId="42394" xr:uid="{95DC9463-E199-4CA6-BBFF-7EA51726A3FE}"/>
    <cellStyle name="Normal 4 4 2 2 2 2 3 2 2 3" xfId="17053" xr:uid="{8427D9DB-99BB-4B2B-A9B7-F4CC220359F6}"/>
    <cellStyle name="Normal 4 4 2 2 2 2 3 2 2 4" xfId="33947" xr:uid="{60F96700-B3D4-4BFD-8341-23EA7FCE6730}"/>
    <cellStyle name="Normal 4 4 2 2 2 2 3 2 3" xfId="21283" xr:uid="{747E0A14-5157-4909-8A4E-1CE46E176823}"/>
    <cellStyle name="Normal 4 4 2 2 2 2 3 2 3 2" xfId="38177" xr:uid="{144829D1-996C-4A9B-986E-24DEAEA01B08}"/>
    <cellStyle name="Normal 4 4 2 2 2 2 3 2 4" xfId="12836" xr:uid="{212F0C3E-10CC-4B8E-AE54-8A3C51921758}"/>
    <cellStyle name="Normal 4 4 2 2 2 2 3 2 5" xfId="29730" xr:uid="{05306F08-7A0A-4F26-ADA0-46FB6C0A0066}"/>
    <cellStyle name="Normal 4 4 2 2 2 2 3 3" xfId="5582" xr:uid="{00000000-0005-0000-0000-0000D0140000}"/>
    <cellStyle name="Normal 4 4 2 2 2 2 3 3 2" xfId="23355" xr:uid="{C7D3925C-9D83-45CA-A488-4DF490650515}"/>
    <cellStyle name="Normal 4 4 2 2 2 2 3 3 2 2" xfId="40249" xr:uid="{305AEE66-A132-4DF0-AEAE-254F02EA5037}"/>
    <cellStyle name="Normal 4 4 2 2 2 2 3 3 3" xfId="14908" xr:uid="{7837D2EB-B4B6-42A6-A349-26DF5DE18999}"/>
    <cellStyle name="Normal 4 4 2 2 2 2 3 3 4" xfId="31802" xr:uid="{F3845EB3-F2D3-4064-BD69-D8A7650D1EB7}"/>
    <cellStyle name="Normal 4 4 2 2 2 2 3 4" xfId="19138" xr:uid="{C46782F0-99CA-4D21-8F3C-D4BBC934F6FB}"/>
    <cellStyle name="Normal 4 4 2 2 2 2 3 4 2" xfId="36032" xr:uid="{DAE0D93F-37FF-48E8-A859-E3832DEE0971}"/>
    <cellStyle name="Normal 4 4 2 2 2 2 3 5" xfId="10691" xr:uid="{462FA342-437B-4F56-8378-ECF0CBADD810}"/>
    <cellStyle name="Normal 4 4 2 2 2 2 3 6" xfId="27585" xr:uid="{50D8022B-6E9C-4ACD-8F2E-29A7D91E98E2}"/>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2 2 2" xfId="25913" xr:uid="{01FE5E2B-28C3-48E8-9EA6-DCB11724032C}"/>
    <cellStyle name="Normal 4 4 2 2 2 2 4 2 2 2 2" xfId="42807" xr:uid="{357A0971-EB36-430C-BCC9-BED41A6AF026}"/>
    <cellStyle name="Normal 4 4 2 2 2 2 4 2 2 3" xfId="17466" xr:uid="{ADF69F79-6AB3-4F5C-977F-542414363174}"/>
    <cellStyle name="Normal 4 4 2 2 2 2 4 2 2 4" xfId="34360" xr:uid="{2E8AECC6-0B12-4740-975C-767E54DF0D22}"/>
    <cellStyle name="Normal 4 4 2 2 2 2 4 2 3" xfId="21696" xr:uid="{5F5F9312-F116-4DAC-AE87-E6B682C32CCF}"/>
    <cellStyle name="Normal 4 4 2 2 2 2 4 2 3 2" xfId="38590" xr:uid="{392D9236-EE4A-4435-B5E5-F4386E669EA6}"/>
    <cellStyle name="Normal 4 4 2 2 2 2 4 2 4" xfId="13249" xr:uid="{13725784-0F3F-4466-A273-5BBEDB4E7F24}"/>
    <cellStyle name="Normal 4 4 2 2 2 2 4 2 5" xfId="30143" xr:uid="{6F11A2B9-1299-402C-B430-20D70E3D41F4}"/>
    <cellStyle name="Normal 4 4 2 2 2 2 4 3" xfId="5995" xr:uid="{00000000-0005-0000-0000-0000D4140000}"/>
    <cellStyle name="Normal 4 4 2 2 2 2 4 3 2" xfId="23768" xr:uid="{5D944D4C-AD89-46C5-89CA-31AEA9BC34AB}"/>
    <cellStyle name="Normal 4 4 2 2 2 2 4 3 2 2" xfId="40662" xr:uid="{FC68FE2E-7A69-46AC-8A57-3B6B225EEFAE}"/>
    <cellStyle name="Normal 4 4 2 2 2 2 4 3 3" xfId="15321" xr:uid="{6BD49F0B-F9C7-4DC2-A45E-E321910C42F5}"/>
    <cellStyle name="Normal 4 4 2 2 2 2 4 3 4" xfId="32215" xr:uid="{DC5F29C2-5DDD-4069-B0A4-9F2254973518}"/>
    <cellStyle name="Normal 4 4 2 2 2 2 4 4" xfId="19551" xr:uid="{AA6E9CE1-5972-48CC-A450-B803872EF676}"/>
    <cellStyle name="Normal 4 4 2 2 2 2 4 4 2" xfId="36445" xr:uid="{23BC15E7-61C0-4150-A305-2058691781E8}"/>
    <cellStyle name="Normal 4 4 2 2 2 2 4 5" xfId="11104" xr:uid="{D7432236-13D8-4146-9C40-DAECD1E5FBC1}"/>
    <cellStyle name="Normal 4 4 2 2 2 2 4 6" xfId="27998" xr:uid="{3C809331-64A0-4238-A70D-C78CD202A98C}"/>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2 2 2" xfId="26326" xr:uid="{4E9E98F0-8A91-4ED9-B79B-AE8AC84379B8}"/>
    <cellStyle name="Normal 4 4 2 2 2 2 5 2 2 2 2" xfId="43220" xr:uid="{516C3FD3-9C4F-43FE-8C2E-A6C636EBFB2B}"/>
    <cellStyle name="Normal 4 4 2 2 2 2 5 2 2 3" xfId="17879" xr:uid="{31D318F2-0BCC-4A53-9412-EDEACDF0D11A}"/>
    <cellStyle name="Normal 4 4 2 2 2 2 5 2 2 4" xfId="34773" xr:uid="{F76F8848-67FD-46B1-927F-C7EEA65AD328}"/>
    <cellStyle name="Normal 4 4 2 2 2 2 5 2 3" xfId="22109" xr:uid="{AD1E6EEB-36A4-4CD2-ACDB-5F2B2F99844B}"/>
    <cellStyle name="Normal 4 4 2 2 2 2 5 2 3 2" xfId="39003" xr:uid="{F3854E09-F964-42A2-8862-9312324755BB}"/>
    <cellStyle name="Normal 4 4 2 2 2 2 5 2 4" xfId="13662" xr:uid="{95088B79-4C9E-48B9-A83A-23D7A95C8D49}"/>
    <cellStyle name="Normal 4 4 2 2 2 2 5 2 5" xfId="30556" xr:uid="{E78D1511-E6B3-441A-8F97-6D0763609DEE}"/>
    <cellStyle name="Normal 4 4 2 2 2 2 5 3" xfId="6408" xr:uid="{00000000-0005-0000-0000-0000D8140000}"/>
    <cellStyle name="Normal 4 4 2 2 2 2 5 3 2" xfId="24181" xr:uid="{93249E0F-3916-40F2-8ABA-EA9601A5098D}"/>
    <cellStyle name="Normal 4 4 2 2 2 2 5 3 2 2" xfId="41075" xr:uid="{CE22E25A-91B3-4A68-BB64-8F2599DF4A76}"/>
    <cellStyle name="Normal 4 4 2 2 2 2 5 3 3" xfId="15734" xr:uid="{50347617-A936-4DAE-80C1-B033283EBB85}"/>
    <cellStyle name="Normal 4 4 2 2 2 2 5 3 4" xfId="32628" xr:uid="{7B885911-30A5-4257-A12A-7CE6F52E9105}"/>
    <cellStyle name="Normal 4 4 2 2 2 2 5 4" xfId="19964" xr:uid="{5A5BC6CC-185E-4B7A-A21C-73C44A436518}"/>
    <cellStyle name="Normal 4 4 2 2 2 2 5 4 2" xfId="36858" xr:uid="{2789ECF7-F919-47F1-93C0-E2B125054141}"/>
    <cellStyle name="Normal 4 4 2 2 2 2 5 5" xfId="11517" xr:uid="{7F3CB9B5-BF35-4BE8-A221-61D98CDABD65}"/>
    <cellStyle name="Normal 4 4 2 2 2 2 5 6" xfId="28411" xr:uid="{3C1F2D80-D6A9-48E5-B2A3-5C7F1E972D49}"/>
    <cellStyle name="Normal 4 4 2 2 2 2 6" xfId="2538" xr:uid="{00000000-0005-0000-0000-0000D9140000}"/>
    <cellStyle name="Normal 4 4 2 2 2 2 6 2" xfId="6821" xr:uid="{00000000-0005-0000-0000-0000DA140000}"/>
    <cellStyle name="Normal 4 4 2 2 2 2 6 2 2" xfId="24594" xr:uid="{DF96CA56-7A33-487D-A8A6-E2A3DC12E73C}"/>
    <cellStyle name="Normal 4 4 2 2 2 2 6 2 2 2" xfId="41488" xr:uid="{8DF4BCA2-39AC-4555-A6AF-98D66CBA524B}"/>
    <cellStyle name="Normal 4 4 2 2 2 2 6 2 3" xfId="16147" xr:uid="{6CB68299-1336-423A-9A73-D09192C56271}"/>
    <cellStyle name="Normal 4 4 2 2 2 2 6 2 4" xfId="33041" xr:uid="{9D3B140E-E565-4195-81D3-9F6503AED807}"/>
    <cellStyle name="Normal 4 4 2 2 2 2 6 3" xfId="20377" xr:uid="{CDEE9571-D99B-40C6-B172-145D8211126E}"/>
    <cellStyle name="Normal 4 4 2 2 2 2 6 3 2" xfId="37271" xr:uid="{C88F7FAB-B659-4E80-B371-D6AD6FB3984A}"/>
    <cellStyle name="Normal 4 4 2 2 2 2 6 4" xfId="11930" xr:uid="{74F8715A-F8B6-4A40-854C-81863BD5F347}"/>
    <cellStyle name="Normal 4 4 2 2 2 2 6 5" xfId="28824" xr:uid="{581C0859-BFF8-40A5-BA75-F58187A3FA63}"/>
    <cellStyle name="Normal 4 4 2 2 2 2 7" xfId="4756" xr:uid="{00000000-0005-0000-0000-0000DB140000}"/>
    <cellStyle name="Normal 4 4 2 2 2 2 7 2" xfId="22529" xr:uid="{B599E9D8-50DA-4F2F-B2F8-2CF51945CD2A}"/>
    <cellStyle name="Normal 4 4 2 2 2 2 7 2 2" xfId="39423" xr:uid="{4141AA29-CF1D-432C-99EC-970D88615065}"/>
    <cellStyle name="Normal 4 4 2 2 2 2 7 3" xfId="14082" xr:uid="{415597EF-6C81-4D42-A008-D97584572809}"/>
    <cellStyle name="Normal 4 4 2 2 2 2 7 4" xfId="30976" xr:uid="{B730E6F6-A628-43CF-AFA0-0BCE32109C35}"/>
    <cellStyle name="Normal 4 4 2 2 2 2 8" xfId="9134" xr:uid="{B37D4C66-6754-4A5E-BFF7-77694E4355C2}"/>
    <cellStyle name="Normal 4 4 2 2 2 2 8 2" xfId="18312" xr:uid="{3FBAFA19-C26F-46A1-8450-7B84C5AE749D}"/>
    <cellStyle name="Normal 4 4 2 2 2 2 8 3" xfId="35206" xr:uid="{BB47C25F-F745-4731-BFD4-54233F5A27EC}"/>
    <cellStyle name="Normal 4 4 2 2 2 2 9" xfId="9865" xr:uid="{13032CE3-D333-4148-BCCB-74A915F3BA23}"/>
    <cellStyle name="Normal 4 4 2 2 2 3" xfId="856" xr:uid="{00000000-0005-0000-0000-0000DC140000}"/>
    <cellStyle name="Normal 4 4 2 2 2 3 2" xfId="3091" xr:uid="{00000000-0005-0000-0000-0000DD140000}"/>
    <cellStyle name="Normal 4 4 2 2 2 3 2 2" xfId="7313" xr:uid="{00000000-0005-0000-0000-0000DE140000}"/>
    <cellStyle name="Normal 4 4 2 2 2 3 2 2 2" xfId="25086" xr:uid="{88B407B5-B528-4A60-AC1D-2D3B1FDFCF1C}"/>
    <cellStyle name="Normal 4 4 2 2 2 3 2 2 2 2" xfId="41980" xr:uid="{2ED0A96E-880F-48C9-AE39-3525C5955F84}"/>
    <cellStyle name="Normal 4 4 2 2 2 3 2 2 3" xfId="16639" xr:uid="{2DCD2ABA-2522-4EE0-AD00-592DB272FAAA}"/>
    <cellStyle name="Normal 4 4 2 2 2 3 2 2 4" xfId="33533" xr:uid="{53840E1C-72B2-4C8D-B094-C14FD1755A79}"/>
    <cellStyle name="Normal 4 4 2 2 2 3 2 3" xfId="20869" xr:uid="{0EBE2C1A-8A0D-4503-A66C-F83F04ABCAB6}"/>
    <cellStyle name="Normal 4 4 2 2 2 3 2 3 2" xfId="37763" xr:uid="{E0EBA88F-BAD0-4FA4-A50A-653B52A5CD59}"/>
    <cellStyle name="Normal 4 4 2 2 2 3 2 4" xfId="12422" xr:uid="{80B4461B-9884-4F7A-B14C-0C41820C3D17}"/>
    <cellStyle name="Normal 4 4 2 2 2 3 2 5" xfId="29316" xr:uid="{814D9CE9-7C4A-4372-9070-680CF5FD1468}"/>
    <cellStyle name="Normal 4 4 2 2 2 3 3" xfId="5168" xr:uid="{00000000-0005-0000-0000-0000DF140000}"/>
    <cellStyle name="Normal 4 4 2 2 2 3 3 2" xfId="22941" xr:uid="{5277E52F-3360-4DA9-8FF7-1121DFDBE465}"/>
    <cellStyle name="Normal 4 4 2 2 2 3 3 2 2" xfId="39835" xr:uid="{4BCB9CA3-B8AA-49E1-9CDC-4854B49B38CC}"/>
    <cellStyle name="Normal 4 4 2 2 2 3 3 3" xfId="14494" xr:uid="{A7A68D59-FDAE-417C-A3B0-9229FCEAAA58}"/>
    <cellStyle name="Normal 4 4 2 2 2 3 3 4" xfId="31388" xr:uid="{CD7A4082-09BE-4B86-8F2B-D5899F5FE121}"/>
    <cellStyle name="Normal 4 4 2 2 2 3 4" xfId="9352" xr:uid="{76F31DA2-44D0-447F-BA9C-6271BA6AAE96}"/>
    <cellStyle name="Normal 4 4 2 2 2 3 4 2" xfId="18724" xr:uid="{2972C1B7-200B-4877-A6C2-A77C8703C99D}"/>
    <cellStyle name="Normal 4 4 2 2 2 3 4 3" xfId="35618" xr:uid="{311558BC-1A19-4FC3-973D-DD6C501A45C7}"/>
    <cellStyle name="Normal 4 4 2 2 2 3 5" xfId="10277" xr:uid="{E93804CE-8D6E-454B-BEF2-BF72570F49E5}"/>
    <cellStyle name="Normal 4 4 2 2 2 3 6" xfId="27171" xr:uid="{56C36A9C-F96C-48B2-854D-BED919137051}"/>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2 2 2" xfId="25499" xr:uid="{3865B561-F2C7-4BF5-8E39-793E7570510B}"/>
    <cellStyle name="Normal 4 4 2 2 2 4 2 2 2 2" xfId="42393" xr:uid="{0712BB03-5D25-473F-9E8F-08B3915CBFAC}"/>
    <cellStyle name="Normal 4 4 2 2 2 4 2 2 3" xfId="17052" xr:uid="{F3AC35EE-5309-4C70-BACC-9684813B3E80}"/>
    <cellStyle name="Normal 4 4 2 2 2 4 2 2 4" xfId="33946" xr:uid="{E023A9FE-8328-46E1-86BD-BFD6EDED3544}"/>
    <cellStyle name="Normal 4 4 2 2 2 4 2 3" xfId="21282" xr:uid="{0C73523D-82D0-4A37-9482-9C67382F22F8}"/>
    <cellStyle name="Normal 4 4 2 2 2 4 2 3 2" xfId="38176" xr:uid="{3FA48EC8-FF1C-4062-814D-6B37D4726377}"/>
    <cellStyle name="Normal 4 4 2 2 2 4 2 4" xfId="12835" xr:uid="{0F2E0D79-9FAA-4CA7-8E5C-FEBCEF278307}"/>
    <cellStyle name="Normal 4 4 2 2 2 4 2 5" xfId="29729" xr:uid="{B23196B1-302C-43BC-B68C-3C12FCF718C7}"/>
    <cellStyle name="Normal 4 4 2 2 2 4 3" xfId="5581" xr:uid="{00000000-0005-0000-0000-0000E3140000}"/>
    <cellStyle name="Normal 4 4 2 2 2 4 3 2" xfId="23354" xr:uid="{AD54A94E-10FB-47C7-8106-75D97E6988E9}"/>
    <cellStyle name="Normal 4 4 2 2 2 4 3 2 2" xfId="40248" xr:uid="{2278814B-0A24-4CDA-A133-94C31BF015EF}"/>
    <cellStyle name="Normal 4 4 2 2 2 4 3 3" xfId="14907" xr:uid="{1A26B61F-70C4-4CDD-A0CC-52F67321C327}"/>
    <cellStyle name="Normal 4 4 2 2 2 4 3 4" xfId="31801" xr:uid="{C02F7B91-6534-473C-BE5E-FEE4FA7C5059}"/>
    <cellStyle name="Normal 4 4 2 2 2 4 4" xfId="19137" xr:uid="{693EEFCB-39A3-4217-AFEF-1F746E6E63DC}"/>
    <cellStyle name="Normal 4 4 2 2 2 4 4 2" xfId="36031" xr:uid="{DF2FC0B9-5934-4F45-9F25-F29BB5347DCF}"/>
    <cellStyle name="Normal 4 4 2 2 2 4 5" xfId="10690" xr:uid="{0A034CE7-BE31-4602-A613-8394729EBEFA}"/>
    <cellStyle name="Normal 4 4 2 2 2 4 6" xfId="27584" xr:uid="{BFF12DCA-9FA0-4D36-986A-6F066A35EDA5}"/>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2 2 2" xfId="25912" xr:uid="{9136820B-86A8-4E32-8169-9AD9EE798230}"/>
    <cellStyle name="Normal 4 4 2 2 2 5 2 2 2 2" xfId="42806" xr:uid="{C8DEA76D-2169-47E5-96DF-094D0E4E4666}"/>
    <cellStyle name="Normal 4 4 2 2 2 5 2 2 3" xfId="17465" xr:uid="{54ABA581-489A-46F1-8951-C996054EFCC4}"/>
    <cellStyle name="Normal 4 4 2 2 2 5 2 2 4" xfId="34359" xr:uid="{64C65DB2-4697-47F4-AEDF-79846E122DE0}"/>
    <cellStyle name="Normal 4 4 2 2 2 5 2 3" xfId="21695" xr:uid="{3A9412ED-A71B-4A4D-9C20-BFD99588E08A}"/>
    <cellStyle name="Normal 4 4 2 2 2 5 2 3 2" xfId="38589" xr:uid="{DD482043-B812-406B-8871-7AAA942BC5E4}"/>
    <cellStyle name="Normal 4 4 2 2 2 5 2 4" xfId="13248" xr:uid="{8AB1322C-3E00-47D5-B676-8ECD47DEDAED}"/>
    <cellStyle name="Normal 4 4 2 2 2 5 2 5" xfId="30142" xr:uid="{8FA58524-1297-4DB5-BE86-21C7A2BC6DA4}"/>
    <cellStyle name="Normal 4 4 2 2 2 5 3" xfId="5994" xr:uid="{00000000-0005-0000-0000-0000E7140000}"/>
    <cellStyle name="Normal 4 4 2 2 2 5 3 2" xfId="23767" xr:uid="{EFF7ADE9-286C-4BDE-A30E-F0228F0AAFAA}"/>
    <cellStyle name="Normal 4 4 2 2 2 5 3 2 2" xfId="40661" xr:uid="{04E8721D-879F-407C-BCDE-43AF2C7725B9}"/>
    <cellStyle name="Normal 4 4 2 2 2 5 3 3" xfId="15320" xr:uid="{8CC67ADC-492F-4868-81DD-728A2D677358}"/>
    <cellStyle name="Normal 4 4 2 2 2 5 3 4" xfId="32214" xr:uid="{7EE39629-DE52-443A-98DE-8E9F4F6FE21D}"/>
    <cellStyle name="Normal 4 4 2 2 2 5 4" xfId="19550" xr:uid="{A6258E68-6676-47E1-AC02-9B950AC00149}"/>
    <cellStyle name="Normal 4 4 2 2 2 5 4 2" xfId="36444" xr:uid="{554C0558-99B2-4FB7-BE95-E589DEF2E0F5}"/>
    <cellStyle name="Normal 4 4 2 2 2 5 5" xfId="11103" xr:uid="{CCDCF67B-2F20-4ACA-92BC-C268274B0AAB}"/>
    <cellStyle name="Normal 4 4 2 2 2 5 6" xfId="27997" xr:uid="{762DF562-7D8B-4DA6-BF33-8C6ADC0C9A46}"/>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2 2 2" xfId="26325" xr:uid="{3F0E130E-1561-4237-9070-C064A14BD5CE}"/>
    <cellStyle name="Normal 4 4 2 2 2 6 2 2 2 2" xfId="43219" xr:uid="{FB1076FE-934B-486F-896D-60C9EF7CAC5E}"/>
    <cellStyle name="Normal 4 4 2 2 2 6 2 2 3" xfId="17878" xr:uid="{332723A1-E6A2-428B-AED8-B723E41AC9AC}"/>
    <cellStyle name="Normal 4 4 2 2 2 6 2 2 4" xfId="34772" xr:uid="{18D79947-6DC3-41F5-A0C4-09388FBE454A}"/>
    <cellStyle name="Normal 4 4 2 2 2 6 2 3" xfId="22108" xr:uid="{718EB7C1-DAEF-4561-8B15-A2B63BB24A30}"/>
    <cellStyle name="Normal 4 4 2 2 2 6 2 3 2" xfId="39002" xr:uid="{46051ABA-2D68-41DC-B787-9B76AA15F8DA}"/>
    <cellStyle name="Normal 4 4 2 2 2 6 2 4" xfId="13661" xr:uid="{519F8A83-2E90-4713-8553-D97FF49A365D}"/>
    <cellStyle name="Normal 4 4 2 2 2 6 2 5" xfId="30555" xr:uid="{A786ADB1-F6B1-4675-9612-F01A7EC0A92C}"/>
    <cellStyle name="Normal 4 4 2 2 2 6 3" xfId="6407" xr:uid="{00000000-0005-0000-0000-0000EB140000}"/>
    <cellStyle name="Normal 4 4 2 2 2 6 3 2" xfId="24180" xr:uid="{620F799C-AADF-43E7-9816-1162A7E9D416}"/>
    <cellStyle name="Normal 4 4 2 2 2 6 3 2 2" xfId="41074" xr:uid="{B53EAA58-CF8D-4251-ACCE-3B4A12D2BD23}"/>
    <cellStyle name="Normal 4 4 2 2 2 6 3 3" xfId="15733" xr:uid="{E3EE089A-E851-4921-9B0D-A4AB34B7AA7F}"/>
    <cellStyle name="Normal 4 4 2 2 2 6 3 4" xfId="32627" xr:uid="{F94453E0-2AF0-4B14-B61C-B405FB9C786B}"/>
    <cellStyle name="Normal 4 4 2 2 2 6 4" xfId="19963" xr:uid="{AA6B41DA-356F-431D-93EB-C13C8E0EE45A}"/>
    <cellStyle name="Normal 4 4 2 2 2 6 4 2" xfId="36857" xr:uid="{10C60EA6-3EE8-436D-A860-057F8F56FD8C}"/>
    <cellStyle name="Normal 4 4 2 2 2 6 5" xfId="11516" xr:uid="{C793415B-984C-4A30-8B90-A54003BFA498}"/>
    <cellStyle name="Normal 4 4 2 2 2 6 6" xfId="28410" xr:uid="{4E0B814C-D49E-4CB4-85E3-84B7D8BA3BC4}"/>
    <cellStyle name="Normal 4 4 2 2 2 7" xfId="2537" xr:uid="{00000000-0005-0000-0000-0000EC140000}"/>
    <cellStyle name="Normal 4 4 2 2 2 7 2" xfId="6820" xr:uid="{00000000-0005-0000-0000-0000ED140000}"/>
    <cellStyle name="Normal 4 4 2 2 2 7 2 2" xfId="24593" xr:uid="{0F2D942E-D9BD-405C-A1FA-0C5869338CFF}"/>
    <cellStyle name="Normal 4 4 2 2 2 7 2 2 2" xfId="41487" xr:uid="{DA3B3B92-D07B-42F6-87B9-9BBEEEC164B0}"/>
    <cellStyle name="Normal 4 4 2 2 2 7 2 3" xfId="16146" xr:uid="{0FE37523-48F2-45A4-9E07-B5593E856B49}"/>
    <cellStyle name="Normal 4 4 2 2 2 7 2 4" xfId="33040" xr:uid="{DD56117B-3942-4E50-96E3-6BA789AC226A}"/>
    <cellStyle name="Normal 4 4 2 2 2 7 3" xfId="20376" xr:uid="{D992D805-6804-4520-8CC6-39E11ABA96A3}"/>
    <cellStyle name="Normal 4 4 2 2 2 7 3 2" xfId="37270" xr:uid="{5F144B11-67BD-4C68-9EBA-BC0D58A812CE}"/>
    <cellStyle name="Normal 4 4 2 2 2 7 4" xfId="11929" xr:uid="{60FE906C-1C37-4B24-8B9D-A3C4713C45FA}"/>
    <cellStyle name="Normal 4 4 2 2 2 7 5" xfId="28823" xr:uid="{D6C0498B-6983-4C55-9130-971F69D9CD84}"/>
    <cellStyle name="Normal 4 4 2 2 2 8" xfId="4755" xr:uid="{00000000-0005-0000-0000-0000EE140000}"/>
    <cellStyle name="Normal 4 4 2 2 2 8 2" xfId="22528" xr:uid="{C3642349-6964-4D30-8166-23F07746530B}"/>
    <cellStyle name="Normal 4 4 2 2 2 8 2 2" xfId="39422" xr:uid="{25C3FC33-22A8-497C-AB74-9698BCC79294}"/>
    <cellStyle name="Normal 4 4 2 2 2 8 3" xfId="14081" xr:uid="{E69D5D28-633B-4044-AEE9-DBF322138327}"/>
    <cellStyle name="Normal 4 4 2 2 2 8 4" xfId="30975" xr:uid="{3EB11DEB-CF76-4231-9C47-A0D879FBFE95}"/>
    <cellStyle name="Normal 4 4 2 2 2 9" xfId="8927" xr:uid="{195B9197-F273-4D3B-B7A6-9CBAA360D528}"/>
    <cellStyle name="Normal 4 4 2 2 2 9 2" xfId="18311" xr:uid="{137C5121-A817-4652-B152-06687D759CA7}"/>
    <cellStyle name="Normal 4 4 2 2 2 9 3" xfId="35205" xr:uid="{6AA02287-8A20-46C6-9E07-6CCEA1693860}"/>
    <cellStyle name="Normal 4 4 2 2 3" xfId="383" xr:uid="{00000000-0005-0000-0000-0000EF140000}"/>
    <cellStyle name="Normal 4 4 2 2 3 10" xfId="26760" xr:uid="{01915E19-C5AC-4A3C-9029-A5B32B08AD01}"/>
    <cellStyle name="Normal 4 4 2 2 3 2" xfId="858" xr:uid="{00000000-0005-0000-0000-0000F0140000}"/>
    <cellStyle name="Normal 4 4 2 2 3 2 2" xfId="3093" xr:uid="{00000000-0005-0000-0000-0000F1140000}"/>
    <cellStyle name="Normal 4 4 2 2 3 2 2 2" xfId="7315" xr:uid="{00000000-0005-0000-0000-0000F2140000}"/>
    <cellStyle name="Normal 4 4 2 2 3 2 2 2 2" xfId="25088" xr:uid="{AC3941FA-B6E9-403C-8E1B-15C13F8DD8FF}"/>
    <cellStyle name="Normal 4 4 2 2 3 2 2 2 2 2" xfId="41982" xr:uid="{28827037-DF8C-4328-861E-771DE5FFA760}"/>
    <cellStyle name="Normal 4 4 2 2 3 2 2 2 3" xfId="16641" xr:uid="{61FA52EB-A1A7-4FE9-8274-3543CD94CBB0}"/>
    <cellStyle name="Normal 4 4 2 2 3 2 2 2 4" xfId="33535" xr:uid="{98EACDB4-3060-4FEB-8D68-12F986972654}"/>
    <cellStyle name="Normal 4 4 2 2 3 2 2 3" xfId="20871" xr:uid="{412806F1-1728-40E2-AD84-E4A2A7F72360}"/>
    <cellStyle name="Normal 4 4 2 2 3 2 2 3 2" xfId="37765" xr:uid="{A31C668A-1793-47DC-AF46-A4796486BC83}"/>
    <cellStyle name="Normal 4 4 2 2 3 2 2 4" xfId="12424" xr:uid="{D1E8A5A7-3A7C-4946-B558-ED11887CE66C}"/>
    <cellStyle name="Normal 4 4 2 2 3 2 2 5" xfId="29318" xr:uid="{D82E3437-3A2D-48FF-9B1A-D997BA5B0E6F}"/>
    <cellStyle name="Normal 4 4 2 2 3 2 3" xfId="5170" xr:uid="{00000000-0005-0000-0000-0000F3140000}"/>
    <cellStyle name="Normal 4 4 2 2 3 2 3 2" xfId="22943" xr:uid="{24756446-1965-4874-A0BA-097C2B0BD6BF}"/>
    <cellStyle name="Normal 4 4 2 2 3 2 3 2 2" xfId="39837" xr:uid="{D4FBC208-9C42-4473-B28E-43A8C32839DC}"/>
    <cellStyle name="Normal 4 4 2 2 3 2 3 3" xfId="14496" xr:uid="{1F8D1E0C-847A-482C-9544-6054E8164F97}"/>
    <cellStyle name="Normal 4 4 2 2 3 2 3 4" xfId="31390" xr:uid="{76FCB33B-1B2D-43FA-B9B6-F81D848A1131}"/>
    <cellStyle name="Normal 4 4 2 2 3 2 4" xfId="9456" xr:uid="{7CB0B972-68D8-4A2C-A3A7-1D2BD109E44A}"/>
    <cellStyle name="Normal 4 4 2 2 3 2 4 2" xfId="18726" xr:uid="{FBFC4765-BD76-4DDF-8C17-91E319B5EFC9}"/>
    <cellStyle name="Normal 4 4 2 2 3 2 4 3" xfId="35620" xr:uid="{37BDE1D0-78D2-4B43-A3B5-A9AE004C1C99}"/>
    <cellStyle name="Normal 4 4 2 2 3 2 5" xfId="10279" xr:uid="{376E0DC3-BAB0-4771-9209-79EA68F1B7E3}"/>
    <cellStyle name="Normal 4 4 2 2 3 2 6" xfId="27173" xr:uid="{55F37E58-B20B-4E4F-BF26-80260274A7E0}"/>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2 2 2" xfId="25501" xr:uid="{75B25EDF-91A1-4997-B976-46F7480DC017}"/>
    <cellStyle name="Normal 4 4 2 2 3 3 2 2 2 2" xfId="42395" xr:uid="{F0613030-1915-45AC-B264-018276A18E56}"/>
    <cellStyle name="Normal 4 4 2 2 3 3 2 2 3" xfId="17054" xr:uid="{1FE66E19-8C8B-4DC6-B709-AF33559962CA}"/>
    <cellStyle name="Normal 4 4 2 2 3 3 2 2 4" xfId="33948" xr:uid="{348FE849-1174-4083-8180-374BA0661585}"/>
    <cellStyle name="Normal 4 4 2 2 3 3 2 3" xfId="21284" xr:uid="{03D19265-818D-491B-8E98-ECBE775AF9ED}"/>
    <cellStyle name="Normal 4 4 2 2 3 3 2 3 2" xfId="38178" xr:uid="{1F29D194-2921-43B2-803E-7B5B685133F8}"/>
    <cellStyle name="Normal 4 4 2 2 3 3 2 4" xfId="12837" xr:uid="{146A669F-292D-48FD-839A-FF70818327BF}"/>
    <cellStyle name="Normal 4 4 2 2 3 3 2 5" xfId="29731" xr:uid="{70BB51EF-6FFA-4DB8-8409-59E6DA2E5935}"/>
    <cellStyle name="Normal 4 4 2 2 3 3 3" xfId="5583" xr:uid="{00000000-0005-0000-0000-0000F7140000}"/>
    <cellStyle name="Normal 4 4 2 2 3 3 3 2" xfId="23356" xr:uid="{5AA1D339-A4EF-4659-BCEB-821F1A2054D9}"/>
    <cellStyle name="Normal 4 4 2 2 3 3 3 2 2" xfId="40250" xr:uid="{9FC2B05F-F9E1-4D69-B3CB-80DA88266DCB}"/>
    <cellStyle name="Normal 4 4 2 2 3 3 3 3" xfId="14909" xr:uid="{5F839214-E2AA-4BF1-AE5F-EE01E1808B24}"/>
    <cellStyle name="Normal 4 4 2 2 3 3 3 4" xfId="31803" xr:uid="{6B0835C3-A366-4903-A6DF-1F53CEC41EC1}"/>
    <cellStyle name="Normal 4 4 2 2 3 3 4" xfId="19139" xr:uid="{10B68A6C-C65F-4628-B2C5-D9C77496289A}"/>
    <cellStyle name="Normal 4 4 2 2 3 3 4 2" xfId="36033" xr:uid="{A738BB15-111F-4203-A2B8-C1741565CB1B}"/>
    <cellStyle name="Normal 4 4 2 2 3 3 5" xfId="10692" xr:uid="{F7C2E123-D246-427F-8190-CF1C7CED5846}"/>
    <cellStyle name="Normal 4 4 2 2 3 3 6" xfId="27586" xr:uid="{E6921DFD-3692-4223-87EC-2773B1262367}"/>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2 2 2" xfId="25914" xr:uid="{247D6299-112B-4502-B510-D59D39F27E1B}"/>
    <cellStyle name="Normal 4 4 2 2 3 4 2 2 2 2" xfId="42808" xr:uid="{99D695FC-E21C-417D-9F9D-640B2D3ECE82}"/>
    <cellStyle name="Normal 4 4 2 2 3 4 2 2 3" xfId="17467" xr:uid="{D36131ED-478A-47DD-AE59-D29A42B87588}"/>
    <cellStyle name="Normal 4 4 2 2 3 4 2 2 4" xfId="34361" xr:uid="{78C353CF-7FAF-44EC-AE7A-EA12A43F6574}"/>
    <cellStyle name="Normal 4 4 2 2 3 4 2 3" xfId="21697" xr:uid="{AA856769-A076-4590-85C0-162AD33E3E29}"/>
    <cellStyle name="Normal 4 4 2 2 3 4 2 3 2" xfId="38591" xr:uid="{DC6C7D4B-18EE-4354-A7A7-9EBBD366EF32}"/>
    <cellStyle name="Normal 4 4 2 2 3 4 2 4" xfId="13250" xr:uid="{168257F5-B28F-4528-8655-BBD9FEFF7940}"/>
    <cellStyle name="Normal 4 4 2 2 3 4 2 5" xfId="30144" xr:uid="{1492525F-B682-454A-9B10-0CD8236BEC6E}"/>
    <cellStyle name="Normal 4 4 2 2 3 4 3" xfId="5996" xr:uid="{00000000-0005-0000-0000-0000FB140000}"/>
    <cellStyle name="Normal 4 4 2 2 3 4 3 2" xfId="23769" xr:uid="{A5A9250A-1AC4-432A-BC80-D3EE47E2EA79}"/>
    <cellStyle name="Normal 4 4 2 2 3 4 3 2 2" xfId="40663" xr:uid="{FFEB5ECD-B314-4228-A7BD-928C037AB542}"/>
    <cellStyle name="Normal 4 4 2 2 3 4 3 3" xfId="15322" xr:uid="{3806D17F-8EE3-46B5-8E1B-0AED35821E1D}"/>
    <cellStyle name="Normal 4 4 2 2 3 4 3 4" xfId="32216" xr:uid="{3DD939E0-0281-4031-880F-1C4860A6D41D}"/>
    <cellStyle name="Normal 4 4 2 2 3 4 4" xfId="19552" xr:uid="{21D83E58-9BA1-4F66-BDA0-5A68B3D93C00}"/>
    <cellStyle name="Normal 4 4 2 2 3 4 4 2" xfId="36446" xr:uid="{DAFB660D-CF9A-45BB-B969-10ED3491EA4B}"/>
    <cellStyle name="Normal 4 4 2 2 3 4 5" xfId="11105" xr:uid="{44C8317B-2E73-4D8A-9FA5-742C661DC473}"/>
    <cellStyle name="Normal 4 4 2 2 3 4 6" xfId="27999" xr:uid="{95120C87-1AC9-4BCD-97BC-C577C0827D0F}"/>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2 2 2" xfId="26327" xr:uid="{AEDDF165-105C-4CFF-B4C1-6ED6DDBABD25}"/>
    <cellStyle name="Normal 4 4 2 2 3 5 2 2 2 2" xfId="43221" xr:uid="{7B4C0A3F-028C-49DC-9576-C8F388041A60}"/>
    <cellStyle name="Normal 4 4 2 2 3 5 2 2 3" xfId="17880" xr:uid="{213CF478-EF81-4066-A59C-2B5854EC5F18}"/>
    <cellStyle name="Normal 4 4 2 2 3 5 2 2 4" xfId="34774" xr:uid="{F9E68EDC-7C43-4FE6-B42A-C592C4812087}"/>
    <cellStyle name="Normal 4 4 2 2 3 5 2 3" xfId="22110" xr:uid="{867D48E9-E5F2-4AFF-8E80-8AC8FDC63A82}"/>
    <cellStyle name="Normal 4 4 2 2 3 5 2 3 2" xfId="39004" xr:uid="{5FAC5293-AA48-41DF-922D-1802A2730210}"/>
    <cellStyle name="Normal 4 4 2 2 3 5 2 4" xfId="13663" xr:uid="{53A6DFB8-DCF3-4009-95F8-2A580445AAA1}"/>
    <cellStyle name="Normal 4 4 2 2 3 5 2 5" xfId="30557" xr:uid="{E482B248-1999-4C79-9B0D-BEF5D0AC9FA8}"/>
    <cellStyle name="Normal 4 4 2 2 3 5 3" xfId="6409" xr:uid="{00000000-0005-0000-0000-0000FF140000}"/>
    <cellStyle name="Normal 4 4 2 2 3 5 3 2" xfId="24182" xr:uid="{3418EEF0-46E3-4910-88F2-F1350C8BD3B4}"/>
    <cellStyle name="Normal 4 4 2 2 3 5 3 2 2" xfId="41076" xr:uid="{31CC4483-2578-4588-A704-38AF0F36815E}"/>
    <cellStyle name="Normal 4 4 2 2 3 5 3 3" xfId="15735" xr:uid="{B43D1F32-3B3C-408C-A0C2-0E5860255519}"/>
    <cellStyle name="Normal 4 4 2 2 3 5 3 4" xfId="32629" xr:uid="{B9F3DE1A-EB57-4CEF-841E-0098306B2998}"/>
    <cellStyle name="Normal 4 4 2 2 3 5 4" xfId="19965" xr:uid="{0B9CC768-9FB0-4661-9FDD-358D4702E4D2}"/>
    <cellStyle name="Normal 4 4 2 2 3 5 4 2" xfId="36859" xr:uid="{F118EC7A-ADC6-481D-B1C6-B3DBE00ED61E}"/>
    <cellStyle name="Normal 4 4 2 2 3 5 5" xfId="11518" xr:uid="{43BBDB55-0779-48C5-8736-B9E99811306D}"/>
    <cellStyle name="Normal 4 4 2 2 3 5 6" xfId="28412" xr:uid="{2573D3EA-3DD6-46AA-84E7-033FDC7F15EC}"/>
    <cellStyle name="Normal 4 4 2 2 3 6" xfId="2539" xr:uid="{00000000-0005-0000-0000-000000150000}"/>
    <cellStyle name="Normal 4 4 2 2 3 6 2" xfId="6822" xr:uid="{00000000-0005-0000-0000-000001150000}"/>
    <cellStyle name="Normal 4 4 2 2 3 6 2 2" xfId="24595" xr:uid="{B8A3781C-98E6-4627-B01E-AF14FE045D9F}"/>
    <cellStyle name="Normal 4 4 2 2 3 6 2 2 2" xfId="41489" xr:uid="{68BEE7F7-5120-4CE9-B8E2-4B75EC81621D}"/>
    <cellStyle name="Normal 4 4 2 2 3 6 2 3" xfId="16148" xr:uid="{A6037B5C-E203-476D-BDC7-7A909BBFE1F0}"/>
    <cellStyle name="Normal 4 4 2 2 3 6 2 4" xfId="33042" xr:uid="{EC527C97-F5CC-4AD4-9391-60187272026B}"/>
    <cellStyle name="Normal 4 4 2 2 3 6 3" xfId="20378" xr:uid="{8D451C34-93D2-4B83-9F41-42C4F9792F12}"/>
    <cellStyle name="Normal 4 4 2 2 3 6 3 2" xfId="37272" xr:uid="{A6D203AF-E1AB-4444-9770-24763AFDB6A1}"/>
    <cellStyle name="Normal 4 4 2 2 3 6 4" xfId="11931" xr:uid="{0760503E-36C2-4149-A27B-430E31CCF6CE}"/>
    <cellStyle name="Normal 4 4 2 2 3 6 5" xfId="28825" xr:uid="{FB4D894D-D720-4144-BB0E-1709046E4927}"/>
    <cellStyle name="Normal 4 4 2 2 3 7" xfId="4757" xr:uid="{00000000-0005-0000-0000-000002150000}"/>
    <cellStyle name="Normal 4 4 2 2 3 7 2" xfId="22530" xr:uid="{D661A7ED-131F-44B2-A733-F03F8A7622B4}"/>
    <cellStyle name="Normal 4 4 2 2 3 7 2 2" xfId="39424" xr:uid="{407EEE4C-68F0-46EF-B369-BB5E4AF2F82A}"/>
    <cellStyle name="Normal 4 4 2 2 3 7 3" xfId="14083" xr:uid="{AB975ECC-05AA-45CF-92BC-B590F489B872}"/>
    <cellStyle name="Normal 4 4 2 2 3 7 4" xfId="30977" xr:uid="{349BF720-984F-4A57-83B1-BC936317859C}"/>
    <cellStyle name="Normal 4 4 2 2 3 8" xfId="9031" xr:uid="{F1B59444-328A-4279-8A0A-A9F7E26061D5}"/>
    <cellStyle name="Normal 4 4 2 2 3 8 2" xfId="18313" xr:uid="{7223043C-DF7F-4555-B099-A22A31234B92}"/>
    <cellStyle name="Normal 4 4 2 2 3 8 3" xfId="35207" xr:uid="{A8D0B619-CC90-4BA4-8163-C26AE4E085B7}"/>
    <cellStyle name="Normal 4 4 2 2 3 9" xfId="9866" xr:uid="{07936CB9-B45B-49AB-884F-9ACC3C56790D}"/>
    <cellStyle name="Normal 4 4 2 2 4" xfId="855" xr:uid="{00000000-0005-0000-0000-000003150000}"/>
    <cellStyle name="Normal 4 4 2 2 4 2" xfId="3090" xr:uid="{00000000-0005-0000-0000-000004150000}"/>
    <cellStyle name="Normal 4 4 2 2 4 2 2" xfId="7312" xr:uid="{00000000-0005-0000-0000-000005150000}"/>
    <cellStyle name="Normal 4 4 2 2 4 2 2 2" xfId="25085" xr:uid="{4BC4FE7A-27A3-4A82-8BFD-BA9D74E62E36}"/>
    <cellStyle name="Normal 4 4 2 2 4 2 2 2 2" xfId="41979" xr:uid="{D3559556-0AD2-43AA-AD4C-88F1D6816ABF}"/>
    <cellStyle name="Normal 4 4 2 2 4 2 2 3" xfId="16638" xr:uid="{C4C35DEF-AA82-4107-A323-503F534E70F7}"/>
    <cellStyle name="Normal 4 4 2 2 4 2 2 4" xfId="33532" xr:uid="{A55DE36A-6411-4615-A6E2-909C840238E5}"/>
    <cellStyle name="Normal 4 4 2 2 4 2 3" xfId="20868" xr:uid="{FCB6F996-582C-44EB-9A9C-216B9D6B6462}"/>
    <cellStyle name="Normal 4 4 2 2 4 2 3 2" xfId="37762" xr:uid="{483BFBB3-F3AA-4DAB-A127-13030DA7AD4C}"/>
    <cellStyle name="Normal 4 4 2 2 4 2 4" xfId="12421" xr:uid="{6B89E52E-6B3A-4AE9-903B-ABC53793B11E}"/>
    <cellStyle name="Normal 4 4 2 2 4 2 5" xfId="29315" xr:uid="{2B82E91A-9A62-4B02-AD8B-149EDB61CAD9}"/>
    <cellStyle name="Normal 4 4 2 2 4 3" xfId="5167" xr:uid="{00000000-0005-0000-0000-000006150000}"/>
    <cellStyle name="Normal 4 4 2 2 4 3 2" xfId="22940" xr:uid="{F776659F-AF44-4954-8863-9CCF772AEDE7}"/>
    <cellStyle name="Normal 4 4 2 2 4 3 2 2" xfId="39834" xr:uid="{67E243B3-A923-4F31-8B17-76C7A34C1E1E}"/>
    <cellStyle name="Normal 4 4 2 2 4 3 3" xfId="14493" xr:uid="{3252A883-2C8E-494C-89C6-3341DAFEC080}"/>
    <cellStyle name="Normal 4 4 2 2 4 3 4" xfId="31387" xr:uid="{D1E8AB0D-3B37-465A-9DEF-01D9793AC18F}"/>
    <cellStyle name="Normal 4 4 2 2 4 4" xfId="9249" xr:uid="{7E4CA7C7-738D-4CFA-907A-40590344548A}"/>
    <cellStyle name="Normal 4 4 2 2 4 4 2" xfId="18723" xr:uid="{5D1693FD-410A-4188-9F22-7E7AD8724E3F}"/>
    <cellStyle name="Normal 4 4 2 2 4 4 3" xfId="35617" xr:uid="{F4DB1B6F-FCDB-4B1C-861F-CF6120718515}"/>
    <cellStyle name="Normal 4 4 2 2 4 5" xfId="10276" xr:uid="{A7C4FC2B-0A10-47A0-8957-EC10E7E9A09A}"/>
    <cellStyle name="Normal 4 4 2 2 4 6" xfId="27170" xr:uid="{9D4D06BE-2C59-40E2-B8D0-8B4DBD5B4A91}"/>
    <cellStyle name="Normal 4 4 2 2 5" xfId="1273" xr:uid="{00000000-0005-0000-0000-000007150000}"/>
    <cellStyle name="Normal 4 4 2 2 5 2" xfId="3503" xr:uid="{00000000-0005-0000-0000-000008150000}"/>
    <cellStyle name="Normal 4 4 2 2 5 2 2" xfId="7725" xr:uid="{00000000-0005-0000-0000-000009150000}"/>
    <cellStyle name="Normal 4 4 2 2 5 2 2 2" xfId="25498" xr:uid="{8AFD76A7-F1CB-446C-9683-0A0CF1813B04}"/>
    <cellStyle name="Normal 4 4 2 2 5 2 2 2 2" xfId="42392" xr:uid="{C82E5F77-F397-4DAC-B105-4B8EC66F56E4}"/>
    <cellStyle name="Normal 4 4 2 2 5 2 2 3" xfId="17051" xr:uid="{E67FA7F6-D878-4FF2-A5A8-E077B398250F}"/>
    <cellStyle name="Normal 4 4 2 2 5 2 2 4" xfId="33945" xr:uid="{74416E75-7A76-4635-B8D5-3D609F2DDCBF}"/>
    <cellStyle name="Normal 4 4 2 2 5 2 3" xfId="21281" xr:uid="{4D1A7665-E248-47CE-9B6C-F767E12434BB}"/>
    <cellStyle name="Normal 4 4 2 2 5 2 3 2" xfId="38175" xr:uid="{AFA34228-F9EA-4B4A-A1B8-E5E4C31E333D}"/>
    <cellStyle name="Normal 4 4 2 2 5 2 4" xfId="12834" xr:uid="{7DF122BB-E691-4BD9-8A7D-BA0B8322C879}"/>
    <cellStyle name="Normal 4 4 2 2 5 2 5" xfId="29728" xr:uid="{6A527EC0-A518-411D-8992-F07E8A48B2D0}"/>
    <cellStyle name="Normal 4 4 2 2 5 3" xfId="5580" xr:uid="{00000000-0005-0000-0000-00000A150000}"/>
    <cellStyle name="Normal 4 4 2 2 5 3 2" xfId="23353" xr:uid="{5C7C2988-FA0E-447A-BF82-074FA690D70F}"/>
    <cellStyle name="Normal 4 4 2 2 5 3 2 2" xfId="40247" xr:uid="{4F932AF7-C8C4-44BC-B5DB-8469A785F412}"/>
    <cellStyle name="Normal 4 4 2 2 5 3 3" xfId="14906" xr:uid="{887597FD-FCEB-4036-9DA2-5560C34DE564}"/>
    <cellStyle name="Normal 4 4 2 2 5 3 4" xfId="31800" xr:uid="{911D062D-3BBA-47CC-97B6-C91F61717010}"/>
    <cellStyle name="Normal 4 4 2 2 5 4" xfId="19136" xr:uid="{CCB4AE40-2485-49F2-B85B-C23C2BD0A858}"/>
    <cellStyle name="Normal 4 4 2 2 5 4 2" xfId="36030" xr:uid="{AEAE826D-B28B-470E-BBD5-6167453820F5}"/>
    <cellStyle name="Normal 4 4 2 2 5 5" xfId="10689" xr:uid="{E6260DBA-472C-4053-B0E1-455DE1CE7E9A}"/>
    <cellStyle name="Normal 4 4 2 2 5 6" xfId="27583" xr:uid="{09D9E465-3454-4A47-AAD1-99E2FF0A65E8}"/>
    <cellStyle name="Normal 4 4 2 2 6" xfId="1686" xr:uid="{00000000-0005-0000-0000-00000B150000}"/>
    <cellStyle name="Normal 4 4 2 2 6 2" xfId="3916" xr:uid="{00000000-0005-0000-0000-00000C150000}"/>
    <cellStyle name="Normal 4 4 2 2 6 2 2" xfId="8138" xr:uid="{00000000-0005-0000-0000-00000D150000}"/>
    <cellStyle name="Normal 4 4 2 2 6 2 2 2" xfId="25911" xr:uid="{A596B2B0-72E2-4E81-A179-275505293044}"/>
    <cellStyle name="Normal 4 4 2 2 6 2 2 2 2" xfId="42805" xr:uid="{68EFE5E8-F896-4A55-9567-E49FB1058AF6}"/>
    <cellStyle name="Normal 4 4 2 2 6 2 2 3" xfId="17464" xr:uid="{267853DD-AB74-46CF-996B-5907B310E607}"/>
    <cellStyle name="Normal 4 4 2 2 6 2 2 4" xfId="34358" xr:uid="{8FFCA151-D0B2-49C0-AA40-03510BE218BF}"/>
    <cellStyle name="Normal 4 4 2 2 6 2 3" xfId="21694" xr:uid="{5C1247FE-45FE-4836-967A-B596B4EFC2EA}"/>
    <cellStyle name="Normal 4 4 2 2 6 2 3 2" xfId="38588" xr:uid="{DF86B8FF-6F31-47F6-9C79-4A698ACC9414}"/>
    <cellStyle name="Normal 4 4 2 2 6 2 4" xfId="13247" xr:uid="{2036EC9F-F175-4C95-90A4-55488F54ACFD}"/>
    <cellStyle name="Normal 4 4 2 2 6 2 5" xfId="30141" xr:uid="{9405161D-4338-4932-B572-49568ABF59FF}"/>
    <cellStyle name="Normal 4 4 2 2 6 3" xfId="5993" xr:uid="{00000000-0005-0000-0000-00000E150000}"/>
    <cellStyle name="Normal 4 4 2 2 6 3 2" xfId="23766" xr:uid="{92200328-F91D-4DB4-9EB3-6F93343F8D20}"/>
    <cellStyle name="Normal 4 4 2 2 6 3 2 2" xfId="40660" xr:uid="{9A9BA2A4-99FE-47C5-B020-9CDD6981E91C}"/>
    <cellStyle name="Normal 4 4 2 2 6 3 3" xfId="15319" xr:uid="{A27F2D1F-5404-4BB1-A578-4D5EBCFC2FB1}"/>
    <cellStyle name="Normal 4 4 2 2 6 3 4" xfId="32213" xr:uid="{6AA59047-755B-4B67-8AC4-FD06D5C0E1AF}"/>
    <cellStyle name="Normal 4 4 2 2 6 4" xfId="19549" xr:uid="{90029707-5E3D-4998-A15B-F81984580A3F}"/>
    <cellStyle name="Normal 4 4 2 2 6 4 2" xfId="36443" xr:uid="{ED6A8CB8-5F0D-440D-9A08-5BE6A9DBFD87}"/>
    <cellStyle name="Normal 4 4 2 2 6 5" xfId="11102" xr:uid="{F1418338-33A1-4526-B1A8-F1CD22386B52}"/>
    <cellStyle name="Normal 4 4 2 2 6 6" xfId="27996" xr:uid="{6FB25DE8-42D9-4B9D-A85D-CC067B184A13}"/>
    <cellStyle name="Normal 4 4 2 2 7" xfId="2100" xr:uid="{00000000-0005-0000-0000-00000F150000}"/>
    <cellStyle name="Normal 4 4 2 2 7 2" xfId="4329" xr:uid="{00000000-0005-0000-0000-000010150000}"/>
    <cellStyle name="Normal 4 4 2 2 7 2 2" xfId="8551" xr:uid="{00000000-0005-0000-0000-000011150000}"/>
    <cellStyle name="Normal 4 4 2 2 7 2 2 2" xfId="26324" xr:uid="{310BC7C7-1E95-4977-978D-F13DF1558D54}"/>
    <cellStyle name="Normal 4 4 2 2 7 2 2 2 2" xfId="43218" xr:uid="{43039489-2D7A-4B42-BA01-1F14AE98E3AF}"/>
    <cellStyle name="Normal 4 4 2 2 7 2 2 3" xfId="17877" xr:uid="{4D28AE96-6502-4B38-A78B-B02776B17C65}"/>
    <cellStyle name="Normal 4 4 2 2 7 2 2 4" xfId="34771" xr:uid="{FFC4105C-6D49-4810-9B5A-F76152509375}"/>
    <cellStyle name="Normal 4 4 2 2 7 2 3" xfId="22107" xr:uid="{9E85D6C7-C337-43B6-8C47-C1945B34D238}"/>
    <cellStyle name="Normal 4 4 2 2 7 2 3 2" xfId="39001" xr:uid="{BE2CCD0E-3D88-443E-97B6-17BABBA7E7F4}"/>
    <cellStyle name="Normal 4 4 2 2 7 2 4" xfId="13660" xr:uid="{AAC044E8-7E1C-423F-8908-105906F7A783}"/>
    <cellStyle name="Normal 4 4 2 2 7 2 5" xfId="30554" xr:uid="{44CACCA3-5158-443F-8F27-D40DA151AED7}"/>
    <cellStyle name="Normal 4 4 2 2 7 3" xfId="6406" xr:uid="{00000000-0005-0000-0000-000012150000}"/>
    <cellStyle name="Normal 4 4 2 2 7 3 2" xfId="24179" xr:uid="{2472F1A8-B585-4589-A13B-601E56EAAC32}"/>
    <cellStyle name="Normal 4 4 2 2 7 3 2 2" xfId="41073" xr:uid="{B9B2258B-07E9-4675-9206-A458C5B65B6A}"/>
    <cellStyle name="Normal 4 4 2 2 7 3 3" xfId="15732" xr:uid="{1833BC3C-5E7B-4DB0-8640-094A4C170373}"/>
    <cellStyle name="Normal 4 4 2 2 7 3 4" xfId="32626" xr:uid="{70CB8EFB-9512-4A12-B891-003F61582E34}"/>
    <cellStyle name="Normal 4 4 2 2 7 4" xfId="19962" xr:uid="{DD331F06-4867-4F3D-9FFF-0CC9719815CD}"/>
    <cellStyle name="Normal 4 4 2 2 7 4 2" xfId="36856" xr:uid="{7D10C1E2-ECD6-4BA4-8CA1-6F33DD656EEB}"/>
    <cellStyle name="Normal 4 4 2 2 7 5" xfId="11515" xr:uid="{F3C24666-63AF-4796-97D8-EC243F9822DF}"/>
    <cellStyle name="Normal 4 4 2 2 7 6" xfId="28409" xr:uid="{C674ED0A-D886-4CE1-B622-1181517757B2}"/>
    <cellStyle name="Normal 4 4 2 2 8" xfId="2536" xr:uid="{00000000-0005-0000-0000-000013150000}"/>
    <cellStyle name="Normal 4 4 2 2 8 2" xfId="6819" xr:uid="{00000000-0005-0000-0000-000014150000}"/>
    <cellStyle name="Normal 4 4 2 2 8 2 2" xfId="24592" xr:uid="{183C8B49-C3CF-4123-987D-5B4AD61FC18D}"/>
    <cellStyle name="Normal 4 4 2 2 8 2 2 2" xfId="41486" xr:uid="{630FD81E-AFCD-45B4-8E6A-FB7C07A827BC}"/>
    <cellStyle name="Normal 4 4 2 2 8 2 3" xfId="16145" xr:uid="{F81F626F-6DBA-4C9F-AB6A-D29A17ABE633}"/>
    <cellStyle name="Normal 4 4 2 2 8 2 4" xfId="33039" xr:uid="{B0F39FDD-77B6-47BB-B04A-E7FF4D7FF39D}"/>
    <cellStyle name="Normal 4 4 2 2 8 3" xfId="20375" xr:uid="{B8FC9D50-EC21-48A9-9AD6-D5B9161B71A6}"/>
    <cellStyle name="Normal 4 4 2 2 8 3 2" xfId="37269" xr:uid="{5AD6B6B5-3E09-4B5E-8B32-00BC8DE45D5A}"/>
    <cellStyle name="Normal 4 4 2 2 8 4" xfId="11928" xr:uid="{264FB54F-76E5-40C9-9E79-FC110DB713B5}"/>
    <cellStyle name="Normal 4 4 2 2 8 5" xfId="28822" xr:uid="{7B383682-7F0F-4368-BE8E-356561CFB3CD}"/>
    <cellStyle name="Normal 4 4 2 2 9" xfId="4754" xr:uid="{00000000-0005-0000-0000-000015150000}"/>
    <cellStyle name="Normal 4 4 2 2 9 2" xfId="22527" xr:uid="{D3C39667-7753-41EE-AB93-A627E16CA099}"/>
    <cellStyle name="Normal 4 4 2 2 9 2 2" xfId="39421" xr:uid="{359A4844-6D03-4A49-A099-51D36B10B881}"/>
    <cellStyle name="Normal 4 4 2 2 9 3" xfId="14080" xr:uid="{CF5A094B-C0A5-4FB3-B307-5EF667375C9D}"/>
    <cellStyle name="Normal 4 4 2 2 9 4" xfId="30974" xr:uid="{D21458C5-CC1C-46FF-B8BC-91635689D926}"/>
    <cellStyle name="Normal 4 4 2 3" xfId="384" xr:uid="{00000000-0005-0000-0000-000016150000}"/>
    <cellStyle name="Normal 4 4 2 3 10" xfId="9867" xr:uid="{B4BC06D2-FE2E-47F9-AE41-2D5823614043}"/>
    <cellStyle name="Normal 4 4 2 3 11" xfId="26761" xr:uid="{391F8D9D-C180-4563-8F33-86E478E117EB}"/>
    <cellStyle name="Normal 4 4 2 3 2" xfId="385" xr:uid="{00000000-0005-0000-0000-000017150000}"/>
    <cellStyle name="Normal 4 4 2 3 2 10" xfId="26762" xr:uid="{6D9DCA44-7101-4C19-A6D9-2F5436DF5742}"/>
    <cellStyle name="Normal 4 4 2 3 2 2" xfId="860" xr:uid="{00000000-0005-0000-0000-000018150000}"/>
    <cellStyle name="Normal 4 4 2 3 2 2 2" xfId="3095" xr:uid="{00000000-0005-0000-0000-000019150000}"/>
    <cellStyle name="Normal 4 4 2 3 2 2 2 2" xfId="7317" xr:uid="{00000000-0005-0000-0000-00001A150000}"/>
    <cellStyle name="Normal 4 4 2 3 2 2 2 2 2" xfId="25090" xr:uid="{15AA2403-BDC4-4B4C-830E-FC0ADAA1B973}"/>
    <cellStyle name="Normal 4 4 2 3 2 2 2 2 2 2" xfId="41984" xr:uid="{FF97C57C-86B1-485A-A46D-F9E3D6A58FC5}"/>
    <cellStyle name="Normal 4 4 2 3 2 2 2 2 3" xfId="16643" xr:uid="{36E947DF-3569-4FD9-97F7-7498D36F35EE}"/>
    <cellStyle name="Normal 4 4 2 3 2 2 2 2 4" xfId="33537" xr:uid="{90F57749-8D54-4FC6-A81C-FF4BCAEE4D9C}"/>
    <cellStyle name="Normal 4 4 2 3 2 2 2 3" xfId="20873" xr:uid="{C397F8E1-CE79-4A5F-8313-BF0B957C5827}"/>
    <cellStyle name="Normal 4 4 2 3 2 2 2 3 2" xfId="37767" xr:uid="{C55F1857-4399-42B0-BF9D-F07E10CFCD90}"/>
    <cellStyle name="Normal 4 4 2 3 2 2 2 4" xfId="12426" xr:uid="{1A929CC8-5A05-4308-A647-BDFEAE054278}"/>
    <cellStyle name="Normal 4 4 2 3 2 2 2 5" xfId="29320" xr:uid="{222E5CD8-00C3-4A25-AD9D-6D0A1E46E464}"/>
    <cellStyle name="Normal 4 4 2 3 2 2 3" xfId="5172" xr:uid="{00000000-0005-0000-0000-00001B150000}"/>
    <cellStyle name="Normal 4 4 2 3 2 2 3 2" xfId="22945" xr:uid="{355C151E-C2CA-49E4-8118-6DC9C1558557}"/>
    <cellStyle name="Normal 4 4 2 3 2 2 3 2 2" xfId="39839" xr:uid="{2C2470CB-673A-4748-807F-255940ABE9CE}"/>
    <cellStyle name="Normal 4 4 2 3 2 2 3 3" xfId="14498" xr:uid="{328462CE-039B-4539-BB49-E4E455A43AD9}"/>
    <cellStyle name="Normal 4 4 2 3 2 2 3 4" xfId="31392" xr:uid="{11CA6E4E-17F9-4CAC-9BC3-B044BF48B2AF}"/>
    <cellStyle name="Normal 4 4 2 3 2 2 4" xfId="9516" xr:uid="{93008D3B-5827-4778-B167-5B518B5BF56F}"/>
    <cellStyle name="Normal 4 4 2 3 2 2 4 2" xfId="18728" xr:uid="{7F798A6B-46D2-495D-8186-B468422D6FDE}"/>
    <cellStyle name="Normal 4 4 2 3 2 2 4 3" xfId="35622" xr:uid="{61BF4381-B52A-41E3-BCC1-CEF8201012DF}"/>
    <cellStyle name="Normal 4 4 2 3 2 2 5" xfId="10281" xr:uid="{C9353FD9-E5F9-4B95-B684-CA923310DE15}"/>
    <cellStyle name="Normal 4 4 2 3 2 2 6" xfId="27175" xr:uid="{52716B4C-061D-4B9F-9690-88CB26D1F8F1}"/>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2 2 2" xfId="25503" xr:uid="{1EE1E03D-7669-4D2F-8EFC-3728A937DA7C}"/>
    <cellStyle name="Normal 4 4 2 3 2 3 2 2 2 2" xfId="42397" xr:uid="{7045F865-32E9-44A5-B4A1-EFEC7E9C9112}"/>
    <cellStyle name="Normal 4 4 2 3 2 3 2 2 3" xfId="17056" xr:uid="{794DC8D7-30FC-4FC9-9E32-19122A8BE0CE}"/>
    <cellStyle name="Normal 4 4 2 3 2 3 2 2 4" xfId="33950" xr:uid="{8C31C8D3-A91B-4114-ACF1-EA60BF75A0C8}"/>
    <cellStyle name="Normal 4 4 2 3 2 3 2 3" xfId="21286" xr:uid="{837993A5-20AB-4255-8D7D-B4EF7EF62DEA}"/>
    <cellStyle name="Normal 4 4 2 3 2 3 2 3 2" xfId="38180" xr:uid="{67744A70-4983-40A3-9D2E-34B5E5056F7E}"/>
    <cellStyle name="Normal 4 4 2 3 2 3 2 4" xfId="12839" xr:uid="{0646D8A6-7AFD-49F8-8249-55531EE772A1}"/>
    <cellStyle name="Normal 4 4 2 3 2 3 2 5" xfId="29733" xr:uid="{06412807-4ABA-4CC1-9F80-6F41FDF20C54}"/>
    <cellStyle name="Normal 4 4 2 3 2 3 3" xfId="5585" xr:uid="{00000000-0005-0000-0000-00001F150000}"/>
    <cellStyle name="Normal 4 4 2 3 2 3 3 2" xfId="23358" xr:uid="{2788EA29-A5CA-4593-92F3-FE55EAB1E7D6}"/>
    <cellStyle name="Normal 4 4 2 3 2 3 3 2 2" xfId="40252" xr:uid="{A1F93A1A-304F-4310-9A8B-575217C27DA5}"/>
    <cellStyle name="Normal 4 4 2 3 2 3 3 3" xfId="14911" xr:uid="{03289F83-44E5-43F9-AE09-57FD46D54EF6}"/>
    <cellStyle name="Normal 4 4 2 3 2 3 3 4" xfId="31805" xr:uid="{D68D9CB3-77AA-4DCF-BC65-70304FC6397A}"/>
    <cellStyle name="Normal 4 4 2 3 2 3 4" xfId="19141" xr:uid="{D2C65728-B504-4805-97E5-23EF1588AF3C}"/>
    <cellStyle name="Normal 4 4 2 3 2 3 4 2" xfId="36035" xr:uid="{0AFC1A8F-0AF2-40D4-83E7-F6B716BCBBB7}"/>
    <cellStyle name="Normal 4 4 2 3 2 3 5" xfId="10694" xr:uid="{AB5809B9-C8CA-49C4-B80A-F234490216CA}"/>
    <cellStyle name="Normal 4 4 2 3 2 3 6" xfId="27588" xr:uid="{37DBE36E-7794-4DDB-B28C-AC4B8B854E07}"/>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2 2 2" xfId="25916" xr:uid="{2CD988D1-AFB3-4489-AD6D-1FFD26D58AA3}"/>
    <cellStyle name="Normal 4 4 2 3 2 4 2 2 2 2" xfId="42810" xr:uid="{E5E3AE29-D731-4847-BE83-4B978612D386}"/>
    <cellStyle name="Normal 4 4 2 3 2 4 2 2 3" xfId="17469" xr:uid="{3B86D9F2-924B-4C88-8A75-6F91B1D64CD0}"/>
    <cellStyle name="Normal 4 4 2 3 2 4 2 2 4" xfId="34363" xr:uid="{BF60C73D-5999-4BF7-A6D6-1AF605A3306E}"/>
    <cellStyle name="Normal 4 4 2 3 2 4 2 3" xfId="21699" xr:uid="{CF93B1DC-DBFB-449B-AC26-EA0CCCD2F317}"/>
    <cellStyle name="Normal 4 4 2 3 2 4 2 3 2" xfId="38593" xr:uid="{DA2A3F20-94CB-40DB-A334-96F6E9414D81}"/>
    <cellStyle name="Normal 4 4 2 3 2 4 2 4" xfId="13252" xr:uid="{0B99F966-B08F-46E1-AFD6-075951B2ABC9}"/>
    <cellStyle name="Normal 4 4 2 3 2 4 2 5" xfId="30146" xr:uid="{816EC808-8EA6-4719-A503-264348374022}"/>
    <cellStyle name="Normal 4 4 2 3 2 4 3" xfId="5998" xr:uid="{00000000-0005-0000-0000-000023150000}"/>
    <cellStyle name="Normal 4 4 2 3 2 4 3 2" xfId="23771" xr:uid="{E17D947C-2E79-491A-AD9D-9F64E6D946AF}"/>
    <cellStyle name="Normal 4 4 2 3 2 4 3 2 2" xfId="40665" xr:uid="{C827F5D5-9CCA-45E9-96F7-F687D7BA40E2}"/>
    <cellStyle name="Normal 4 4 2 3 2 4 3 3" xfId="15324" xr:uid="{55920F88-EBEA-477C-A307-DCB6427D29C6}"/>
    <cellStyle name="Normal 4 4 2 3 2 4 3 4" xfId="32218" xr:uid="{E627B7B0-4C6B-4F77-889B-DD0EB4CE3179}"/>
    <cellStyle name="Normal 4 4 2 3 2 4 4" xfId="19554" xr:uid="{AAF870CD-88B3-4150-B762-57D204461A33}"/>
    <cellStyle name="Normal 4 4 2 3 2 4 4 2" xfId="36448" xr:uid="{7D3C2FD7-323E-439D-A01A-B1EC98398A57}"/>
    <cellStyle name="Normal 4 4 2 3 2 4 5" xfId="11107" xr:uid="{337566AE-3A59-459A-B570-F03E11351A79}"/>
    <cellStyle name="Normal 4 4 2 3 2 4 6" xfId="28001" xr:uid="{32A6E15F-3253-4E7B-B8E5-0998F04520A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2 2 2" xfId="26329" xr:uid="{38A2D9F6-95D9-4C75-9E05-3D6CB1C4A07E}"/>
    <cellStyle name="Normal 4 4 2 3 2 5 2 2 2 2" xfId="43223" xr:uid="{923E9B37-731C-419E-AF2C-00B455AA94AD}"/>
    <cellStyle name="Normal 4 4 2 3 2 5 2 2 3" xfId="17882" xr:uid="{E83F80D2-EEBD-4DC3-AE38-7DC76CC63E54}"/>
    <cellStyle name="Normal 4 4 2 3 2 5 2 2 4" xfId="34776" xr:uid="{F50F6B1D-5B08-4FCC-B80F-4B2F41467A81}"/>
    <cellStyle name="Normal 4 4 2 3 2 5 2 3" xfId="22112" xr:uid="{5E4EEC7B-22FA-4140-9B95-9054989CC997}"/>
    <cellStyle name="Normal 4 4 2 3 2 5 2 3 2" xfId="39006" xr:uid="{3D0F86FD-14C1-4564-90A9-18F5AD480188}"/>
    <cellStyle name="Normal 4 4 2 3 2 5 2 4" xfId="13665" xr:uid="{1FA1005A-67A4-462E-87B0-E475BCB859F4}"/>
    <cellStyle name="Normal 4 4 2 3 2 5 2 5" xfId="30559" xr:uid="{E4BDA586-08E4-48B7-8DA7-F387769706DC}"/>
    <cellStyle name="Normal 4 4 2 3 2 5 3" xfId="6411" xr:uid="{00000000-0005-0000-0000-000027150000}"/>
    <cellStyle name="Normal 4 4 2 3 2 5 3 2" xfId="24184" xr:uid="{54E2CE91-9E26-415C-833B-ED02EAC28B3D}"/>
    <cellStyle name="Normal 4 4 2 3 2 5 3 2 2" xfId="41078" xr:uid="{2B084C58-39AC-4DE4-84EB-6266E88286E1}"/>
    <cellStyle name="Normal 4 4 2 3 2 5 3 3" xfId="15737" xr:uid="{BF5434E5-BB9D-4660-AD8F-FB0D0A4B55EC}"/>
    <cellStyle name="Normal 4 4 2 3 2 5 3 4" xfId="32631" xr:uid="{B7CCE582-E702-4363-AEE2-1D61C3B4040A}"/>
    <cellStyle name="Normal 4 4 2 3 2 5 4" xfId="19967" xr:uid="{9BD283BC-51A6-4001-A3BE-0EB5C63BDB70}"/>
    <cellStyle name="Normal 4 4 2 3 2 5 4 2" xfId="36861" xr:uid="{927F5789-681B-4E1A-A5B9-400765F694BE}"/>
    <cellStyle name="Normal 4 4 2 3 2 5 5" xfId="11520" xr:uid="{51587740-30C3-4E21-B65C-33BF493220E1}"/>
    <cellStyle name="Normal 4 4 2 3 2 5 6" xfId="28414" xr:uid="{F036BB5C-14E1-42A9-A920-28D0EB8963C2}"/>
    <cellStyle name="Normal 4 4 2 3 2 6" xfId="2541" xr:uid="{00000000-0005-0000-0000-000028150000}"/>
    <cellStyle name="Normal 4 4 2 3 2 6 2" xfId="6824" xr:uid="{00000000-0005-0000-0000-000029150000}"/>
    <cellStyle name="Normal 4 4 2 3 2 6 2 2" xfId="24597" xr:uid="{57D257BA-9A84-403C-AE8D-DD57946357F0}"/>
    <cellStyle name="Normal 4 4 2 3 2 6 2 2 2" xfId="41491" xr:uid="{5FDB5FE7-4889-4745-8040-63C9B68E6543}"/>
    <cellStyle name="Normal 4 4 2 3 2 6 2 3" xfId="16150" xr:uid="{819EE200-3023-4E12-9E55-BDD69BD01316}"/>
    <cellStyle name="Normal 4 4 2 3 2 6 2 4" xfId="33044" xr:uid="{089B7728-CAA5-49C7-BF42-472C5071700C}"/>
    <cellStyle name="Normal 4 4 2 3 2 6 3" xfId="20380" xr:uid="{AB99E793-7337-4DCE-A3D6-33160584E18A}"/>
    <cellStyle name="Normal 4 4 2 3 2 6 3 2" xfId="37274" xr:uid="{EF51DC41-097A-4E6F-BC80-93909F7C404A}"/>
    <cellStyle name="Normal 4 4 2 3 2 6 4" xfId="11933" xr:uid="{E45F19E7-72DB-4BC8-8128-92640557BDC3}"/>
    <cellStyle name="Normal 4 4 2 3 2 6 5" xfId="28827" xr:uid="{7DC2A085-25D5-44DD-A543-0A5558B05A70}"/>
    <cellStyle name="Normal 4 4 2 3 2 7" xfId="4759" xr:uid="{00000000-0005-0000-0000-00002A150000}"/>
    <cellStyle name="Normal 4 4 2 3 2 7 2" xfId="22532" xr:uid="{7B7818A1-9728-4812-8428-64D2BF8666AC}"/>
    <cellStyle name="Normal 4 4 2 3 2 7 2 2" xfId="39426" xr:uid="{7912B333-E37B-4B29-BB82-B0A441F45DEF}"/>
    <cellStyle name="Normal 4 4 2 3 2 7 3" xfId="14085" xr:uid="{C6190D78-9850-4F24-814F-3F29F99FF0ED}"/>
    <cellStyle name="Normal 4 4 2 3 2 7 4" xfId="30979" xr:uid="{757270BD-D3D7-4290-8732-E82FFDD406A2}"/>
    <cellStyle name="Normal 4 4 2 3 2 8" xfId="9091" xr:uid="{9DBAED0A-05EE-4674-B1B7-8D03DBB53301}"/>
    <cellStyle name="Normal 4 4 2 3 2 8 2" xfId="18315" xr:uid="{D104C582-8259-49E8-9AD2-B5EC4B6E7132}"/>
    <cellStyle name="Normal 4 4 2 3 2 8 3" xfId="35209" xr:uid="{22BC6A84-E354-4A8F-8370-04FCFF5BEEF6}"/>
    <cellStyle name="Normal 4 4 2 3 2 9" xfId="9868" xr:uid="{57168209-86D2-41E3-8696-3494EDE714EE}"/>
    <cellStyle name="Normal 4 4 2 3 3" xfId="859" xr:uid="{00000000-0005-0000-0000-00002B150000}"/>
    <cellStyle name="Normal 4 4 2 3 3 2" xfId="3094" xr:uid="{00000000-0005-0000-0000-00002C150000}"/>
    <cellStyle name="Normal 4 4 2 3 3 2 2" xfId="7316" xr:uid="{00000000-0005-0000-0000-00002D150000}"/>
    <cellStyle name="Normal 4 4 2 3 3 2 2 2" xfId="25089" xr:uid="{1CDFAF4B-8A37-48F7-B384-4D3DC6930254}"/>
    <cellStyle name="Normal 4 4 2 3 3 2 2 2 2" xfId="41983" xr:uid="{6845B728-7B6B-47CC-8321-7722C96DB7BE}"/>
    <cellStyle name="Normal 4 4 2 3 3 2 2 3" xfId="16642" xr:uid="{8C247A88-E20C-4945-B9FE-21760710A232}"/>
    <cellStyle name="Normal 4 4 2 3 3 2 2 4" xfId="33536" xr:uid="{3C332AC4-2EF3-4395-8997-662CA2BC434B}"/>
    <cellStyle name="Normal 4 4 2 3 3 2 3" xfId="20872" xr:uid="{B519D968-7CBA-435F-AEA4-E9A14CC30471}"/>
    <cellStyle name="Normal 4 4 2 3 3 2 3 2" xfId="37766" xr:uid="{D9716908-E113-47DB-91A3-2BDA2E756F02}"/>
    <cellStyle name="Normal 4 4 2 3 3 2 4" xfId="12425" xr:uid="{6A519B97-0AB8-4740-B3D9-4A3784E80478}"/>
    <cellStyle name="Normal 4 4 2 3 3 2 5" xfId="29319" xr:uid="{53084F36-EF79-400C-BE7B-B79F50E80466}"/>
    <cellStyle name="Normal 4 4 2 3 3 3" xfId="5171" xr:uid="{00000000-0005-0000-0000-00002E150000}"/>
    <cellStyle name="Normal 4 4 2 3 3 3 2" xfId="22944" xr:uid="{03E6527B-AAA6-4992-B8F8-78D1E5584C34}"/>
    <cellStyle name="Normal 4 4 2 3 3 3 2 2" xfId="39838" xr:uid="{6592171F-4A9D-4DC6-9F43-757BA14B4F6C}"/>
    <cellStyle name="Normal 4 4 2 3 3 3 3" xfId="14497" xr:uid="{1055B3F2-7182-4C70-B117-B2A11BCE8845}"/>
    <cellStyle name="Normal 4 4 2 3 3 3 4" xfId="31391" xr:uid="{A332E413-F920-441E-8F26-2C1DB72E1897}"/>
    <cellStyle name="Normal 4 4 2 3 3 4" xfId="9309" xr:uid="{73E912F6-92AF-449E-AE53-1DEDEF686C0F}"/>
    <cellStyle name="Normal 4 4 2 3 3 4 2" xfId="18727" xr:uid="{41F3E9E3-D115-4D14-93E7-2A08D6EDF080}"/>
    <cellStyle name="Normal 4 4 2 3 3 4 3" xfId="35621" xr:uid="{AA4C4B65-98F1-4C9D-81A4-284B2D4C5140}"/>
    <cellStyle name="Normal 4 4 2 3 3 5" xfId="10280" xr:uid="{1E228C6A-2A1C-4B5C-A0FC-96E368D20C98}"/>
    <cellStyle name="Normal 4 4 2 3 3 6" xfId="27174" xr:uid="{FA54C125-27D3-4D72-A675-AD2E71DA253A}"/>
    <cellStyle name="Normal 4 4 2 3 4" xfId="1277" xr:uid="{00000000-0005-0000-0000-00002F150000}"/>
    <cellStyle name="Normal 4 4 2 3 4 2" xfId="3507" xr:uid="{00000000-0005-0000-0000-000030150000}"/>
    <cellStyle name="Normal 4 4 2 3 4 2 2" xfId="7729" xr:uid="{00000000-0005-0000-0000-000031150000}"/>
    <cellStyle name="Normal 4 4 2 3 4 2 2 2" xfId="25502" xr:uid="{33B10B04-1AD1-4501-A2FF-43E8DD52E504}"/>
    <cellStyle name="Normal 4 4 2 3 4 2 2 2 2" xfId="42396" xr:uid="{B347EB79-B6B7-4630-8C6A-772AE58272E4}"/>
    <cellStyle name="Normal 4 4 2 3 4 2 2 3" xfId="17055" xr:uid="{02020570-9AC5-4B15-97AF-2ABA7F5BFBF5}"/>
    <cellStyle name="Normal 4 4 2 3 4 2 2 4" xfId="33949" xr:uid="{3EBF8A75-E589-4427-8C9C-8C8014738CB8}"/>
    <cellStyle name="Normal 4 4 2 3 4 2 3" xfId="21285" xr:uid="{8D59A177-67C1-42B3-A1DF-68A50BF3D723}"/>
    <cellStyle name="Normal 4 4 2 3 4 2 3 2" xfId="38179" xr:uid="{F4C3C3B7-DE61-4B1D-A821-CC23CB242863}"/>
    <cellStyle name="Normal 4 4 2 3 4 2 4" xfId="12838" xr:uid="{D6528504-9D7B-44FB-9CC3-922D27BF21B4}"/>
    <cellStyle name="Normal 4 4 2 3 4 2 5" xfId="29732" xr:uid="{C3A0FBBC-D340-417F-942A-D34DD1D48C9B}"/>
    <cellStyle name="Normal 4 4 2 3 4 3" xfId="5584" xr:uid="{00000000-0005-0000-0000-000032150000}"/>
    <cellStyle name="Normal 4 4 2 3 4 3 2" xfId="23357" xr:uid="{FFE1D072-8ABA-457D-A53E-1352A1C8CC98}"/>
    <cellStyle name="Normal 4 4 2 3 4 3 2 2" xfId="40251" xr:uid="{F15840AB-D2E8-41C3-A8FA-AB22C7C72070}"/>
    <cellStyle name="Normal 4 4 2 3 4 3 3" xfId="14910" xr:uid="{5507E884-3192-4FCE-B759-0A53863280EC}"/>
    <cellStyle name="Normal 4 4 2 3 4 3 4" xfId="31804" xr:uid="{FD6BB31C-CE50-41CD-89C2-C71DC6590DD2}"/>
    <cellStyle name="Normal 4 4 2 3 4 4" xfId="19140" xr:uid="{1082296D-14A6-4EB1-AF46-AE612EFFBB75}"/>
    <cellStyle name="Normal 4 4 2 3 4 4 2" xfId="36034" xr:uid="{0CC0EE07-F607-4CA7-A325-A90DE6383F98}"/>
    <cellStyle name="Normal 4 4 2 3 4 5" xfId="10693" xr:uid="{6CA9E53B-A5C6-4955-9723-72F2EF152C97}"/>
    <cellStyle name="Normal 4 4 2 3 4 6" xfId="27587" xr:uid="{79711D3D-C3F2-4F86-BA76-B456BC496EDD}"/>
    <cellStyle name="Normal 4 4 2 3 5" xfId="1690" xr:uid="{00000000-0005-0000-0000-000033150000}"/>
    <cellStyle name="Normal 4 4 2 3 5 2" xfId="3920" xr:uid="{00000000-0005-0000-0000-000034150000}"/>
    <cellStyle name="Normal 4 4 2 3 5 2 2" xfId="8142" xr:uid="{00000000-0005-0000-0000-000035150000}"/>
    <cellStyle name="Normal 4 4 2 3 5 2 2 2" xfId="25915" xr:uid="{99DF982E-2BCA-41A0-93F5-B7193DEF34F0}"/>
    <cellStyle name="Normal 4 4 2 3 5 2 2 2 2" xfId="42809" xr:uid="{E2C6A648-4625-4709-B56D-31D838428EB8}"/>
    <cellStyle name="Normal 4 4 2 3 5 2 2 3" xfId="17468" xr:uid="{AF558EFE-8D02-48B0-9197-0D2089704FA5}"/>
    <cellStyle name="Normal 4 4 2 3 5 2 2 4" xfId="34362" xr:uid="{5F26526E-2F96-471D-9B99-763EA923B859}"/>
    <cellStyle name="Normal 4 4 2 3 5 2 3" xfId="21698" xr:uid="{DCB54FEF-1E2A-4A26-B2E0-63493C3014D3}"/>
    <cellStyle name="Normal 4 4 2 3 5 2 3 2" xfId="38592" xr:uid="{31983B73-9A4E-4447-838F-0D6D68228686}"/>
    <cellStyle name="Normal 4 4 2 3 5 2 4" xfId="13251" xr:uid="{5ED1EBFE-1437-4713-9EB8-B4E433EDE29E}"/>
    <cellStyle name="Normal 4 4 2 3 5 2 5" xfId="30145" xr:uid="{0F803AE4-FB45-4AB8-AC9A-95107A4CAD37}"/>
    <cellStyle name="Normal 4 4 2 3 5 3" xfId="5997" xr:uid="{00000000-0005-0000-0000-000036150000}"/>
    <cellStyle name="Normal 4 4 2 3 5 3 2" xfId="23770" xr:uid="{FC7A6830-5517-439A-B574-7C83C0E2098B}"/>
    <cellStyle name="Normal 4 4 2 3 5 3 2 2" xfId="40664" xr:uid="{F9098534-6C1B-4557-AEFD-D05248CC3E36}"/>
    <cellStyle name="Normal 4 4 2 3 5 3 3" xfId="15323" xr:uid="{BEB0C7CF-866A-42C1-98B5-ECE859B02039}"/>
    <cellStyle name="Normal 4 4 2 3 5 3 4" xfId="32217" xr:uid="{AF32441E-793A-4D8C-8645-69656177497B}"/>
    <cellStyle name="Normal 4 4 2 3 5 4" xfId="19553" xr:uid="{022A7FDB-EE99-4392-87A0-997CEB16027A}"/>
    <cellStyle name="Normal 4 4 2 3 5 4 2" xfId="36447" xr:uid="{2A7E6E05-DB22-4B97-A9E0-EF64B7F23382}"/>
    <cellStyle name="Normal 4 4 2 3 5 5" xfId="11106" xr:uid="{801C33B7-5086-4B0F-A436-52DBFF4DF78B}"/>
    <cellStyle name="Normal 4 4 2 3 5 6" xfId="28000" xr:uid="{C3A698D0-5F87-4A91-89D1-AFD37D26B701}"/>
    <cellStyle name="Normal 4 4 2 3 6" xfId="2104" xr:uid="{00000000-0005-0000-0000-000037150000}"/>
    <cellStyle name="Normal 4 4 2 3 6 2" xfId="4333" xr:uid="{00000000-0005-0000-0000-000038150000}"/>
    <cellStyle name="Normal 4 4 2 3 6 2 2" xfId="8555" xr:uid="{00000000-0005-0000-0000-000039150000}"/>
    <cellStyle name="Normal 4 4 2 3 6 2 2 2" xfId="26328" xr:uid="{924BF265-3F27-4A12-AECC-D14008CBE993}"/>
    <cellStyle name="Normal 4 4 2 3 6 2 2 2 2" xfId="43222" xr:uid="{7F8CF346-68F5-4034-979B-E2CC10455E48}"/>
    <cellStyle name="Normal 4 4 2 3 6 2 2 3" xfId="17881" xr:uid="{1E37F7D2-62FA-41CA-AD02-79B9A19F3C09}"/>
    <cellStyle name="Normal 4 4 2 3 6 2 2 4" xfId="34775" xr:uid="{2C4F40CD-BBAB-4EF9-A522-B9F16F4A6F5F}"/>
    <cellStyle name="Normal 4 4 2 3 6 2 3" xfId="22111" xr:uid="{855D0278-E7A0-4FBF-B62C-D6D0406F466E}"/>
    <cellStyle name="Normal 4 4 2 3 6 2 3 2" xfId="39005" xr:uid="{C32223CE-2B61-4AC9-8770-286542E4F17A}"/>
    <cellStyle name="Normal 4 4 2 3 6 2 4" xfId="13664" xr:uid="{5F1D092F-756F-4955-91A8-4361FAD0BCBD}"/>
    <cellStyle name="Normal 4 4 2 3 6 2 5" xfId="30558" xr:uid="{B524A68F-FB02-4E31-A8D9-ECD4B5FF05F3}"/>
    <cellStyle name="Normal 4 4 2 3 6 3" xfId="6410" xr:uid="{00000000-0005-0000-0000-00003A150000}"/>
    <cellStyle name="Normal 4 4 2 3 6 3 2" xfId="24183" xr:uid="{55D3E713-230C-4E0E-AA36-DE10700294B7}"/>
    <cellStyle name="Normal 4 4 2 3 6 3 2 2" xfId="41077" xr:uid="{9D6C344A-5262-4162-8E23-2D5CAB96EEBA}"/>
    <cellStyle name="Normal 4 4 2 3 6 3 3" xfId="15736" xr:uid="{129E7085-602C-4F28-A088-FB6694B39606}"/>
    <cellStyle name="Normal 4 4 2 3 6 3 4" xfId="32630" xr:uid="{E2613811-C1AE-424F-83D3-50E3DA3D8613}"/>
    <cellStyle name="Normal 4 4 2 3 6 4" xfId="19966" xr:uid="{DC091244-CE61-47EB-8403-531091DB25A6}"/>
    <cellStyle name="Normal 4 4 2 3 6 4 2" xfId="36860" xr:uid="{D3228EDB-6DB1-49B2-A357-1FAB8A4F2F45}"/>
    <cellStyle name="Normal 4 4 2 3 6 5" xfId="11519" xr:uid="{57ACF7C1-4226-4340-BBC4-6EA06BDC3DAF}"/>
    <cellStyle name="Normal 4 4 2 3 6 6" xfId="28413" xr:uid="{A301C1B2-6466-46EA-A90A-626F1DB72AE3}"/>
    <cellStyle name="Normal 4 4 2 3 7" xfId="2540" xr:uid="{00000000-0005-0000-0000-00003B150000}"/>
    <cellStyle name="Normal 4 4 2 3 7 2" xfId="6823" xr:uid="{00000000-0005-0000-0000-00003C150000}"/>
    <cellStyle name="Normal 4 4 2 3 7 2 2" xfId="24596" xr:uid="{E88918CF-7C4A-4E40-A863-BF9E885C081E}"/>
    <cellStyle name="Normal 4 4 2 3 7 2 2 2" xfId="41490" xr:uid="{9609D8AB-B585-44E0-B82A-B23AA3E3C553}"/>
    <cellStyle name="Normal 4 4 2 3 7 2 3" xfId="16149" xr:uid="{1ABE8B30-4A5C-4492-A37F-8F1504197379}"/>
    <cellStyle name="Normal 4 4 2 3 7 2 4" xfId="33043" xr:uid="{600599B0-90A7-4844-94D4-F9779249D244}"/>
    <cellStyle name="Normal 4 4 2 3 7 3" xfId="20379" xr:uid="{A515E3A8-7A71-43AE-BDF0-C7936B5CD91B}"/>
    <cellStyle name="Normal 4 4 2 3 7 3 2" xfId="37273" xr:uid="{86BB334F-934A-4762-8C97-3372F170E033}"/>
    <cellStyle name="Normal 4 4 2 3 7 4" xfId="11932" xr:uid="{6B1A6E2B-DB4D-4346-982D-C36969AFA2D3}"/>
    <cellStyle name="Normal 4 4 2 3 7 5" xfId="28826" xr:uid="{34D8C287-D677-4BCA-B6E8-9CE75486951C}"/>
    <cellStyle name="Normal 4 4 2 3 8" xfId="4758" xr:uid="{00000000-0005-0000-0000-00003D150000}"/>
    <cellStyle name="Normal 4 4 2 3 8 2" xfId="22531" xr:uid="{13A32273-1DF6-4926-9C31-942B33AA89DA}"/>
    <cellStyle name="Normal 4 4 2 3 8 2 2" xfId="39425" xr:uid="{8BDCDE62-530B-4AB8-B12C-320BC4BDB539}"/>
    <cellStyle name="Normal 4 4 2 3 8 3" xfId="14084" xr:uid="{A3499125-5A22-4CEB-A816-612C12FCA629}"/>
    <cellStyle name="Normal 4 4 2 3 8 4" xfId="30978" xr:uid="{1D561F8C-B518-4F52-A8BE-BE003EC86E12}"/>
    <cellStyle name="Normal 4 4 2 3 9" xfId="8884" xr:uid="{CBA8CCC0-D2E2-46C8-AC83-39734599F615}"/>
    <cellStyle name="Normal 4 4 2 3 9 2" xfId="18314" xr:uid="{DC943C5C-5892-4165-88F7-E6EB35E65E2C}"/>
    <cellStyle name="Normal 4 4 2 3 9 3" xfId="35208" xr:uid="{8DB63C89-638E-4F39-85DF-6751A05D5FDB}"/>
    <cellStyle name="Normal 4 4 2 4" xfId="386" xr:uid="{00000000-0005-0000-0000-00003E150000}"/>
    <cellStyle name="Normal 4 4 2 4 10" xfId="26763" xr:uid="{D20537BC-4475-46E8-8229-60389CF678FB}"/>
    <cellStyle name="Normal 4 4 2 4 2" xfId="861" xr:uid="{00000000-0005-0000-0000-00003F150000}"/>
    <cellStyle name="Normal 4 4 2 4 2 2" xfId="3096" xr:uid="{00000000-0005-0000-0000-000040150000}"/>
    <cellStyle name="Normal 4 4 2 4 2 2 2" xfId="7318" xr:uid="{00000000-0005-0000-0000-000041150000}"/>
    <cellStyle name="Normal 4 4 2 4 2 2 2 2" xfId="25091" xr:uid="{49F5C6B3-686F-4DDD-B556-73ABDA2827DD}"/>
    <cellStyle name="Normal 4 4 2 4 2 2 2 2 2" xfId="41985" xr:uid="{E169B015-969A-4F88-AAD4-8EA2DA6AD53C}"/>
    <cellStyle name="Normal 4 4 2 4 2 2 2 3" xfId="16644" xr:uid="{423CC0F7-D6D7-41CE-B2A6-A740E52306A6}"/>
    <cellStyle name="Normal 4 4 2 4 2 2 2 4" xfId="33538" xr:uid="{E1B0774D-FA97-4095-B790-EC1E3A82D9E1}"/>
    <cellStyle name="Normal 4 4 2 4 2 2 3" xfId="20874" xr:uid="{5DDEBC89-B09F-4D98-A262-460F74862255}"/>
    <cellStyle name="Normal 4 4 2 4 2 2 3 2" xfId="37768" xr:uid="{0DED1C96-4BCD-4BA1-AC8F-977CC3709B51}"/>
    <cellStyle name="Normal 4 4 2 4 2 2 4" xfId="12427" xr:uid="{A556D048-73C0-478E-824C-526E8FA31D62}"/>
    <cellStyle name="Normal 4 4 2 4 2 2 5" xfId="29321" xr:uid="{E16EF1CA-5875-45D9-B06D-8F53F87A5BEB}"/>
    <cellStyle name="Normal 4 4 2 4 2 3" xfId="5173" xr:uid="{00000000-0005-0000-0000-000042150000}"/>
    <cellStyle name="Normal 4 4 2 4 2 3 2" xfId="22946" xr:uid="{2EC46F48-A9A7-472D-B350-28942949FA1A}"/>
    <cellStyle name="Normal 4 4 2 4 2 3 2 2" xfId="39840" xr:uid="{E8C08416-CAD7-4146-A707-AEFA7930A5CC}"/>
    <cellStyle name="Normal 4 4 2 4 2 3 3" xfId="14499" xr:uid="{7E3B3A62-8C88-4800-8ABF-481813CE2BAC}"/>
    <cellStyle name="Normal 4 4 2 4 2 3 4" xfId="31393" xr:uid="{24147EA4-513B-44A8-82DE-9B57B7659921}"/>
    <cellStyle name="Normal 4 4 2 4 2 4" xfId="9413" xr:uid="{4DC092EA-7C69-4E02-9FE8-33F62D070F54}"/>
    <cellStyle name="Normal 4 4 2 4 2 4 2" xfId="18729" xr:uid="{F86FE98B-FC3E-4178-B5FD-4C61F8F9368A}"/>
    <cellStyle name="Normal 4 4 2 4 2 4 3" xfId="35623" xr:uid="{785AEC27-EFF7-4316-AD14-31609BA57549}"/>
    <cellStyle name="Normal 4 4 2 4 2 5" xfId="10282" xr:uid="{0BB4CF6D-62C8-4F6B-B3EF-EB3FF333CF42}"/>
    <cellStyle name="Normal 4 4 2 4 2 6" xfId="27176" xr:uid="{FDDB559C-0751-4930-8394-7F87DB98EEFE}"/>
    <cellStyle name="Normal 4 4 2 4 3" xfId="1279" xr:uid="{00000000-0005-0000-0000-000043150000}"/>
    <cellStyle name="Normal 4 4 2 4 3 2" xfId="3509" xr:uid="{00000000-0005-0000-0000-000044150000}"/>
    <cellStyle name="Normal 4 4 2 4 3 2 2" xfId="7731" xr:uid="{00000000-0005-0000-0000-000045150000}"/>
    <cellStyle name="Normal 4 4 2 4 3 2 2 2" xfId="25504" xr:uid="{DAB7266C-5D23-492E-89BA-268AE6E7D5A9}"/>
    <cellStyle name="Normal 4 4 2 4 3 2 2 2 2" xfId="42398" xr:uid="{A35DFC12-AC99-49C0-99A3-49316824D1BE}"/>
    <cellStyle name="Normal 4 4 2 4 3 2 2 3" xfId="17057" xr:uid="{C1B4A19B-C5EA-4F87-8ABD-6E502914A754}"/>
    <cellStyle name="Normal 4 4 2 4 3 2 2 4" xfId="33951" xr:uid="{85DF83CA-481F-4485-A1FF-0EF66FD7CEE7}"/>
    <cellStyle name="Normal 4 4 2 4 3 2 3" xfId="21287" xr:uid="{1D8F0F76-0249-4357-A6A4-FE4255B783B7}"/>
    <cellStyle name="Normal 4 4 2 4 3 2 3 2" xfId="38181" xr:uid="{E149F904-CB68-418B-87C2-23A974CCE04D}"/>
    <cellStyle name="Normal 4 4 2 4 3 2 4" xfId="12840" xr:uid="{A49BB892-3674-4384-B024-E352ECF8C694}"/>
    <cellStyle name="Normal 4 4 2 4 3 2 5" xfId="29734" xr:uid="{B66F1242-2EB6-4896-A431-C2D769141944}"/>
    <cellStyle name="Normal 4 4 2 4 3 3" xfId="5586" xr:uid="{00000000-0005-0000-0000-000046150000}"/>
    <cellStyle name="Normal 4 4 2 4 3 3 2" xfId="23359" xr:uid="{24B0CF66-A244-45DA-8FEB-A99A29B7A393}"/>
    <cellStyle name="Normal 4 4 2 4 3 3 2 2" xfId="40253" xr:uid="{9DD13848-A683-49E6-9D39-41D206D71B1B}"/>
    <cellStyle name="Normal 4 4 2 4 3 3 3" xfId="14912" xr:uid="{00505D7E-0214-4DF8-B275-C17F5D1891F5}"/>
    <cellStyle name="Normal 4 4 2 4 3 3 4" xfId="31806" xr:uid="{84C7B628-DBA8-4824-B57E-996F327795D1}"/>
    <cellStyle name="Normal 4 4 2 4 3 4" xfId="19142" xr:uid="{1986E9DE-2783-4920-9C01-2F70F4DA2712}"/>
    <cellStyle name="Normal 4 4 2 4 3 4 2" xfId="36036" xr:uid="{4630DD0A-C55D-4231-9D08-5FAFF144B1C3}"/>
    <cellStyle name="Normal 4 4 2 4 3 5" xfId="10695" xr:uid="{F17A8C6D-A964-4490-B6B9-4C5855EC9E26}"/>
    <cellStyle name="Normal 4 4 2 4 3 6" xfId="27589" xr:uid="{4FA56BCF-35A8-4008-945D-5161F6F95CF0}"/>
    <cellStyle name="Normal 4 4 2 4 4" xfId="1692" xr:uid="{00000000-0005-0000-0000-000047150000}"/>
    <cellStyle name="Normal 4 4 2 4 4 2" xfId="3922" xr:uid="{00000000-0005-0000-0000-000048150000}"/>
    <cellStyle name="Normal 4 4 2 4 4 2 2" xfId="8144" xr:uid="{00000000-0005-0000-0000-000049150000}"/>
    <cellStyle name="Normal 4 4 2 4 4 2 2 2" xfId="25917" xr:uid="{47174358-A89D-4A88-B03A-9BE1719C185F}"/>
    <cellStyle name="Normal 4 4 2 4 4 2 2 2 2" xfId="42811" xr:uid="{16FDA015-E1A7-44B2-8C90-DC4807E7323A}"/>
    <cellStyle name="Normal 4 4 2 4 4 2 2 3" xfId="17470" xr:uid="{2964871F-0DA0-4AC3-AC82-3DB7F323482F}"/>
    <cellStyle name="Normal 4 4 2 4 4 2 2 4" xfId="34364" xr:uid="{2604379C-B281-4E29-8CA5-99702A68896D}"/>
    <cellStyle name="Normal 4 4 2 4 4 2 3" xfId="21700" xr:uid="{91D6FB6E-E086-4EA0-93EF-8C8D1A0A5C11}"/>
    <cellStyle name="Normal 4 4 2 4 4 2 3 2" xfId="38594" xr:uid="{F5E7467C-05F1-4FB4-9300-39086EB014FD}"/>
    <cellStyle name="Normal 4 4 2 4 4 2 4" xfId="13253" xr:uid="{EF0CA80F-E1B4-4334-B140-98FA6E1AF6B3}"/>
    <cellStyle name="Normal 4 4 2 4 4 2 5" xfId="30147" xr:uid="{1BCCDAE3-9578-4AE9-9856-B13CF3732B55}"/>
    <cellStyle name="Normal 4 4 2 4 4 3" xfId="5999" xr:uid="{00000000-0005-0000-0000-00004A150000}"/>
    <cellStyle name="Normal 4 4 2 4 4 3 2" xfId="23772" xr:uid="{2BFFE937-1CAA-406B-B2E4-327D7ACBBEFE}"/>
    <cellStyle name="Normal 4 4 2 4 4 3 2 2" xfId="40666" xr:uid="{03D1E791-24F2-449D-97BE-AA34B4AA94D6}"/>
    <cellStyle name="Normal 4 4 2 4 4 3 3" xfId="15325" xr:uid="{F1294042-0111-424D-9CBC-2084C263AE19}"/>
    <cellStyle name="Normal 4 4 2 4 4 3 4" xfId="32219" xr:uid="{808C1A37-B07D-4598-BA6B-3154C80C489B}"/>
    <cellStyle name="Normal 4 4 2 4 4 4" xfId="19555" xr:uid="{4707070F-1BD8-42F8-834E-9F050640930F}"/>
    <cellStyle name="Normal 4 4 2 4 4 4 2" xfId="36449" xr:uid="{403CCE48-B8D6-4C6F-9886-55086D273B2E}"/>
    <cellStyle name="Normal 4 4 2 4 4 5" xfId="11108" xr:uid="{4351A590-A51E-4712-A7A3-A260E7240E93}"/>
    <cellStyle name="Normal 4 4 2 4 4 6" xfId="28002" xr:uid="{8AC0E570-B245-4501-809E-D3A5ED3F0BCD}"/>
    <cellStyle name="Normal 4 4 2 4 5" xfId="2106" xr:uid="{00000000-0005-0000-0000-00004B150000}"/>
    <cellStyle name="Normal 4 4 2 4 5 2" xfId="4335" xr:uid="{00000000-0005-0000-0000-00004C150000}"/>
    <cellStyle name="Normal 4 4 2 4 5 2 2" xfId="8557" xr:uid="{00000000-0005-0000-0000-00004D150000}"/>
    <cellStyle name="Normal 4 4 2 4 5 2 2 2" xfId="26330" xr:uid="{1949C1ED-CD61-4180-AEF1-F07E2A486F33}"/>
    <cellStyle name="Normal 4 4 2 4 5 2 2 2 2" xfId="43224" xr:uid="{A5183903-4A3F-4F6E-B8B0-F11F81B1030C}"/>
    <cellStyle name="Normal 4 4 2 4 5 2 2 3" xfId="17883" xr:uid="{49D13EB9-B291-4331-BF01-DEB5A4D350D8}"/>
    <cellStyle name="Normal 4 4 2 4 5 2 2 4" xfId="34777" xr:uid="{9F63CB55-E39E-42B8-9502-89B992E60B0C}"/>
    <cellStyle name="Normal 4 4 2 4 5 2 3" xfId="22113" xr:uid="{3A00289C-228E-4F96-A26B-5FD40F932B83}"/>
    <cellStyle name="Normal 4 4 2 4 5 2 3 2" xfId="39007" xr:uid="{178C2078-DEC6-4073-BE2F-C75355488A65}"/>
    <cellStyle name="Normal 4 4 2 4 5 2 4" xfId="13666" xr:uid="{A1D7BFD8-271F-4862-A770-9144150CA112}"/>
    <cellStyle name="Normal 4 4 2 4 5 2 5" xfId="30560" xr:uid="{FA08BC02-48AE-4008-A302-E8E8403CB100}"/>
    <cellStyle name="Normal 4 4 2 4 5 3" xfId="6412" xr:uid="{00000000-0005-0000-0000-00004E150000}"/>
    <cellStyle name="Normal 4 4 2 4 5 3 2" xfId="24185" xr:uid="{E669B9F3-6270-4E42-9738-660B357D3BC9}"/>
    <cellStyle name="Normal 4 4 2 4 5 3 2 2" xfId="41079" xr:uid="{16A521A5-E3A4-45B7-BDCE-125DBABD2519}"/>
    <cellStyle name="Normal 4 4 2 4 5 3 3" xfId="15738" xr:uid="{62F64505-7E3B-4098-A32A-54A265304141}"/>
    <cellStyle name="Normal 4 4 2 4 5 3 4" xfId="32632" xr:uid="{69413730-9FF9-4F3E-A898-F0F3829BF532}"/>
    <cellStyle name="Normal 4 4 2 4 5 4" xfId="19968" xr:uid="{8F6EC8CA-D1B0-46BC-8E72-35DF6DCA78E6}"/>
    <cellStyle name="Normal 4 4 2 4 5 4 2" xfId="36862" xr:uid="{A9880D4F-B099-4EB7-B0DB-08E6E61284F5}"/>
    <cellStyle name="Normal 4 4 2 4 5 5" xfId="11521" xr:uid="{139B67E2-5A2C-4305-9DF3-6CF7ED1FAC5A}"/>
    <cellStyle name="Normal 4 4 2 4 5 6" xfId="28415" xr:uid="{6EEEEA25-31E2-4536-8A9E-653DFC886055}"/>
    <cellStyle name="Normal 4 4 2 4 6" xfId="2542" xr:uid="{00000000-0005-0000-0000-00004F150000}"/>
    <cellStyle name="Normal 4 4 2 4 6 2" xfId="6825" xr:uid="{00000000-0005-0000-0000-000050150000}"/>
    <cellStyle name="Normal 4 4 2 4 6 2 2" xfId="24598" xr:uid="{7D848F8A-746E-421E-A22B-8C6D86E62133}"/>
    <cellStyle name="Normal 4 4 2 4 6 2 2 2" xfId="41492" xr:uid="{30B11647-9525-47F8-936C-105833F8834F}"/>
    <cellStyle name="Normal 4 4 2 4 6 2 3" xfId="16151" xr:uid="{6B3E69DF-D752-4563-9897-C3FFA5414238}"/>
    <cellStyle name="Normal 4 4 2 4 6 2 4" xfId="33045" xr:uid="{B7B2ABFC-DA18-47A8-AA49-735E47A4FC5E}"/>
    <cellStyle name="Normal 4 4 2 4 6 3" xfId="20381" xr:uid="{D244EB48-669F-4F12-A01D-9272E4BD8CA8}"/>
    <cellStyle name="Normal 4 4 2 4 6 3 2" xfId="37275" xr:uid="{FE035D9E-F196-4084-A794-61C46A2A6259}"/>
    <cellStyle name="Normal 4 4 2 4 6 4" xfId="11934" xr:uid="{FA1C5511-CDA8-4C9F-B123-59E77C8A870D}"/>
    <cellStyle name="Normal 4 4 2 4 6 5" xfId="28828" xr:uid="{8B402E3F-140D-477C-B974-B7BCA967230F}"/>
    <cellStyle name="Normal 4 4 2 4 7" xfId="4760" xr:uid="{00000000-0005-0000-0000-000051150000}"/>
    <cellStyle name="Normal 4 4 2 4 7 2" xfId="22533" xr:uid="{6672051A-8BB9-4F2C-A7DB-617D354CFD88}"/>
    <cellStyle name="Normal 4 4 2 4 7 2 2" xfId="39427" xr:uid="{DDD8DF74-E83E-4EB8-B0A2-7F8E8129A5F5}"/>
    <cellStyle name="Normal 4 4 2 4 7 3" xfId="14086" xr:uid="{0010DC68-9D9A-4E45-95F8-9F7F70D850D8}"/>
    <cellStyle name="Normal 4 4 2 4 7 4" xfId="30980" xr:uid="{2F1B859C-C5AF-44F3-8C7E-0B611EB58765}"/>
    <cellStyle name="Normal 4 4 2 4 8" xfId="8988" xr:uid="{F852E7B0-7ACD-4401-B3B6-BE989A5C8AD5}"/>
    <cellStyle name="Normal 4 4 2 4 8 2" xfId="18316" xr:uid="{01CE5233-C60B-4752-852F-6CC78605DD2F}"/>
    <cellStyle name="Normal 4 4 2 4 8 3" xfId="35210" xr:uid="{AEEFB3E0-DC5F-490D-A3FB-48AA81E4FA6C}"/>
    <cellStyle name="Normal 4 4 2 4 9" xfId="9869" xr:uid="{182EC773-47A6-4FF3-ABD6-AA54C87D3963}"/>
    <cellStyle name="Normal 4 4 2 5" xfId="854" xr:uid="{00000000-0005-0000-0000-000052150000}"/>
    <cellStyle name="Normal 4 4 2 5 2" xfId="3089" xr:uid="{00000000-0005-0000-0000-000053150000}"/>
    <cellStyle name="Normal 4 4 2 5 2 2" xfId="7311" xr:uid="{00000000-0005-0000-0000-000054150000}"/>
    <cellStyle name="Normal 4 4 2 5 2 2 2" xfId="25084" xr:uid="{348CA8BC-10FD-4931-8EE3-25406CD1E034}"/>
    <cellStyle name="Normal 4 4 2 5 2 2 2 2" xfId="41978" xr:uid="{DA850C46-EEF4-48BA-95FD-F3A25A9807B2}"/>
    <cellStyle name="Normal 4 4 2 5 2 2 3" xfId="16637" xr:uid="{E74D33C8-F4A1-43D3-9EE2-3BCB7173DE5D}"/>
    <cellStyle name="Normal 4 4 2 5 2 2 4" xfId="33531" xr:uid="{B854658D-2BC2-4E75-BB44-25B2AAB607CC}"/>
    <cellStyle name="Normal 4 4 2 5 2 3" xfId="20867" xr:uid="{9ADE2FA5-FDCF-4B21-B6ED-0C8E6349E58E}"/>
    <cellStyle name="Normal 4 4 2 5 2 3 2" xfId="37761" xr:uid="{C39ABF05-43BF-4535-BB83-1B3DFE31E55E}"/>
    <cellStyle name="Normal 4 4 2 5 2 4" xfId="12420" xr:uid="{EAB6B72E-BDDF-48E1-B940-5CF761A784D3}"/>
    <cellStyle name="Normal 4 4 2 5 2 5" xfId="29314" xr:uid="{ED8C146D-EB69-42C6-BA0E-70E2C24CB1AB}"/>
    <cellStyle name="Normal 4 4 2 5 3" xfId="5166" xr:uid="{00000000-0005-0000-0000-000055150000}"/>
    <cellStyle name="Normal 4 4 2 5 3 2" xfId="22939" xr:uid="{0FD22C26-FA10-4B3D-B1AC-151B0FB4E6EE}"/>
    <cellStyle name="Normal 4 4 2 5 3 2 2" xfId="39833" xr:uid="{0AB1F0B0-623F-4151-90AD-B796F8A9400C}"/>
    <cellStyle name="Normal 4 4 2 5 3 3" xfId="14492" xr:uid="{67DAFC39-5FBA-4A6A-86B5-07F3AF2BD70C}"/>
    <cellStyle name="Normal 4 4 2 5 3 4" xfId="31386" xr:uid="{702120B3-86BA-4055-AD8B-9A6255536357}"/>
    <cellStyle name="Normal 4 4 2 5 4" xfId="9205" xr:uid="{A63DE01D-3EC8-40FC-A47E-E0EA001EED52}"/>
    <cellStyle name="Normal 4 4 2 5 4 2" xfId="18722" xr:uid="{1448B96F-82A2-44B4-BC85-E6A4B9A77C7F}"/>
    <cellStyle name="Normal 4 4 2 5 4 3" xfId="35616" xr:uid="{830B259B-0AAE-4630-9A9C-5A24C59AB338}"/>
    <cellStyle name="Normal 4 4 2 5 5" xfId="10275" xr:uid="{D962CCAE-7D05-4117-AF67-2C72D3E66538}"/>
    <cellStyle name="Normal 4 4 2 5 6" xfId="27169" xr:uid="{8D0B2351-C662-4BA8-85D4-6FAF0AF6A7BA}"/>
    <cellStyle name="Normal 4 4 2 6" xfId="1272" xr:uid="{00000000-0005-0000-0000-000056150000}"/>
    <cellStyle name="Normal 4 4 2 6 2" xfId="3502" xr:uid="{00000000-0005-0000-0000-000057150000}"/>
    <cellStyle name="Normal 4 4 2 6 2 2" xfId="7724" xr:uid="{00000000-0005-0000-0000-000058150000}"/>
    <cellStyle name="Normal 4 4 2 6 2 2 2" xfId="25497" xr:uid="{3D2223FE-6391-465C-9751-C33B2F362BDD}"/>
    <cellStyle name="Normal 4 4 2 6 2 2 2 2" xfId="42391" xr:uid="{9C7B1DEF-A462-466C-AC58-0F45D6B51FFB}"/>
    <cellStyle name="Normal 4 4 2 6 2 2 3" xfId="17050" xr:uid="{243C253E-336F-4BFB-88E2-013BC337F223}"/>
    <cellStyle name="Normal 4 4 2 6 2 2 4" xfId="33944" xr:uid="{A3BA3500-FB82-4E1C-AF2B-00534622B4E2}"/>
    <cellStyle name="Normal 4 4 2 6 2 3" xfId="21280" xr:uid="{1C4C58BE-6479-4818-A331-A7C209985183}"/>
    <cellStyle name="Normal 4 4 2 6 2 3 2" xfId="38174" xr:uid="{F97B9DA6-73E2-4389-93D5-B9F6C182694C}"/>
    <cellStyle name="Normal 4 4 2 6 2 4" xfId="12833" xr:uid="{0714ECAF-6A03-471D-8F35-4B40EDF5D5E6}"/>
    <cellStyle name="Normal 4 4 2 6 2 5" xfId="29727" xr:uid="{9D720A83-BE7B-4A96-B772-2E7EEEF8B328}"/>
    <cellStyle name="Normal 4 4 2 6 3" xfId="5579" xr:uid="{00000000-0005-0000-0000-000059150000}"/>
    <cellStyle name="Normal 4 4 2 6 3 2" xfId="23352" xr:uid="{A347F323-5E09-40E2-B4E9-51F1D79E721D}"/>
    <cellStyle name="Normal 4 4 2 6 3 2 2" xfId="40246" xr:uid="{38780E90-024F-460D-B972-85EEA5B7BEB8}"/>
    <cellStyle name="Normal 4 4 2 6 3 3" xfId="14905" xr:uid="{2E84C162-E9F9-4D1D-BD21-C9BA9C3A8722}"/>
    <cellStyle name="Normal 4 4 2 6 3 4" xfId="31799" xr:uid="{956BBFE7-F686-4D49-8300-C3C70225BAF8}"/>
    <cellStyle name="Normal 4 4 2 6 4" xfId="19135" xr:uid="{8EF3EAAD-038B-4966-94B4-0F720AF792A0}"/>
    <cellStyle name="Normal 4 4 2 6 4 2" xfId="36029" xr:uid="{2E6C2E1C-FD28-44AC-8374-90A491ED5DCD}"/>
    <cellStyle name="Normal 4 4 2 6 5" xfId="10688" xr:uid="{D7E14D5C-05C5-442A-BCEA-BD979AE52FC6}"/>
    <cellStyle name="Normal 4 4 2 6 6" xfId="27582" xr:uid="{AB62ACE5-7D56-44EF-8D44-4B1DD4585C39}"/>
    <cellStyle name="Normal 4 4 2 7" xfId="1685" xr:uid="{00000000-0005-0000-0000-00005A150000}"/>
    <cellStyle name="Normal 4 4 2 7 2" xfId="3915" xr:uid="{00000000-0005-0000-0000-00005B150000}"/>
    <cellStyle name="Normal 4 4 2 7 2 2" xfId="8137" xr:uid="{00000000-0005-0000-0000-00005C150000}"/>
    <cellStyle name="Normal 4 4 2 7 2 2 2" xfId="25910" xr:uid="{7C636184-70B5-45C9-83DB-BC207D582FE1}"/>
    <cellStyle name="Normal 4 4 2 7 2 2 2 2" xfId="42804" xr:uid="{82E7ED86-A72B-443B-9BE8-00AFCBCDCE31}"/>
    <cellStyle name="Normal 4 4 2 7 2 2 3" xfId="17463" xr:uid="{F525F5B7-06F6-4CB2-8ED4-F5DE30F6BF71}"/>
    <cellStyle name="Normal 4 4 2 7 2 2 4" xfId="34357" xr:uid="{97B03806-4B74-4B6E-9163-835E9D6EBA1F}"/>
    <cellStyle name="Normal 4 4 2 7 2 3" xfId="21693" xr:uid="{183F57AE-2B9D-42A1-A013-F3FF92444C53}"/>
    <cellStyle name="Normal 4 4 2 7 2 3 2" xfId="38587" xr:uid="{4EC97ABB-A3A2-4C1B-A190-695471460B78}"/>
    <cellStyle name="Normal 4 4 2 7 2 4" xfId="13246" xr:uid="{652AB9EE-2A71-4835-AA41-C8A86923EB6D}"/>
    <cellStyle name="Normal 4 4 2 7 2 5" xfId="30140" xr:uid="{D58CBDCD-7F29-4AD8-BCAB-BF977E1A1B8C}"/>
    <cellStyle name="Normal 4 4 2 7 3" xfId="5992" xr:uid="{00000000-0005-0000-0000-00005D150000}"/>
    <cellStyle name="Normal 4 4 2 7 3 2" xfId="23765" xr:uid="{F7F0969A-C8EB-402B-8043-02DC540351A4}"/>
    <cellStyle name="Normal 4 4 2 7 3 2 2" xfId="40659" xr:uid="{6D49EBDE-8988-424F-8AD7-66ED09F13043}"/>
    <cellStyle name="Normal 4 4 2 7 3 3" xfId="15318" xr:uid="{A3C5CD8D-57C0-4277-9CBD-6ED449DDE017}"/>
    <cellStyle name="Normal 4 4 2 7 3 4" xfId="32212" xr:uid="{07C10457-F57C-4E62-BC8C-A98E4EB1C7FA}"/>
    <cellStyle name="Normal 4 4 2 7 4" xfId="19548" xr:uid="{A7AF5B3C-D44A-43D8-AF20-EFD919DB9C39}"/>
    <cellStyle name="Normal 4 4 2 7 4 2" xfId="36442" xr:uid="{CF85D54D-00DD-48CD-86E2-B1081BE51476}"/>
    <cellStyle name="Normal 4 4 2 7 5" xfId="11101" xr:uid="{3353B0D6-73D9-452D-8DB2-662F5A91342A}"/>
    <cellStyle name="Normal 4 4 2 7 6" xfId="27995" xr:uid="{FD461F07-793E-4DE5-9E67-FACF936199E0}"/>
    <cellStyle name="Normal 4 4 2 8" xfId="2099" xr:uid="{00000000-0005-0000-0000-00005E150000}"/>
    <cellStyle name="Normal 4 4 2 8 2" xfId="4328" xr:uid="{00000000-0005-0000-0000-00005F150000}"/>
    <cellStyle name="Normal 4 4 2 8 2 2" xfId="8550" xr:uid="{00000000-0005-0000-0000-000060150000}"/>
    <cellStyle name="Normal 4 4 2 8 2 2 2" xfId="26323" xr:uid="{0875ABC9-576E-41D6-AB8C-1CBF562C1AB5}"/>
    <cellStyle name="Normal 4 4 2 8 2 2 2 2" xfId="43217" xr:uid="{8944459F-9A90-4C69-BE0F-D7CFC80BD3C6}"/>
    <cellStyle name="Normal 4 4 2 8 2 2 3" xfId="17876" xr:uid="{76172341-0F37-4848-ACED-5244F9251A1F}"/>
    <cellStyle name="Normal 4 4 2 8 2 2 4" xfId="34770" xr:uid="{B3BC4D4E-610F-4CB1-876F-164546EA4880}"/>
    <cellStyle name="Normal 4 4 2 8 2 3" xfId="22106" xr:uid="{5E573AD3-CF15-42DC-81D8-93DDF0EEE2A9}"/>
    <cellStyle name="Normal 4 4 2 8 2 3 2" xfId="39000" xr:uid="{DDB2EEC8-B82F-46FD-9904-D7D208C1397E}"/>
    <cellStyle name="Normal 4 4 2 8 2 4" xfId="13659" xr:uid="{3A73D569-5ADA-45AA-9B71-2740B7F7796D}"/>
    <cellStyle name="Normal 4 4 2 8 2 5" xfId="30553" xr:uid="{54E284DC-ED3A-4B8E-AB0A-9B2A11F1A37A}"/>
    <cellStyle name="Normal 4 4 2 8 3" xfId="6405" xr:uid="{00000000-0005-0000-0000-000061150000}"/>
    <cellStyle name="Normal 4 4 2 8 3 2" xfId="24178" xr:uid="{434F486A-99EF-4CF0-9409-61B2F69282C5}"/>
    <cellStyle name="Normal 4 4 2 8 3 2 2" xfId="41072" xr:uid="{A04E3C4F-14E1-453C-ACDC-443788ADBB2B}"/>
    <cellStyle name="Normal 4 4 2 8 3 3" xfId="15731" xr:uid="{529DF244-2D38-4E18-A550-85733BD8EF83}"/>
    <cellStyle name="Normal 4 4 2 8 3 4" xfId="32625" xr:uid="{8B98A20F-F76E-4A12-B63E-6AC55593AD75}"/>
    <cellStyle name="Normal 4 4 2 8 4" xfId="19961" xr:uid="{CEED64AF-914E-45DC-8F32-7AEC6CDB6F7F}"/>
    <cellStyle name="Normal 4 4 2 8 4 2" xfId="36855" xr:uid="{6AE98FDA-1129-4087-A1F0-E8D6D4C7B93A}"/>
    <cellStyle name="Normal 4 4 2 8 5" xfId="11514" xr:uid="{93E74EBF-FFBA-44D9-838A-2555F795AF46}"/>
    <cellStyle name="Normal 4 4 2 8 6" xfId="28408" xr:uid="{AA40113B-6150-4383-8009-EFDC3280011D}"/>
    <cellStyle name="Normal 4 4 2 9" xfId="2535" xr:uid="{00000000-0005-0000-0000-000062150000}"/>
    <cellStyle name="Normal 4 4 2 9 2" xfId="6818" xr:uid="{00000000-0005-0000-0000-000063150000}"/>
    <cellStyle name="Normal 4 4 2 9 2 2" xfId="24591" xr:uid="{EEC77C5B-97FB-42BA-B923-8B2C54BF72EF}"/>
    <cellStyle name="Normal 4 4 2 9 2 2 2" xfId="41485" xr:uid="{3961B25E-2F98-4225-96C1-783248030143}"/>
    <cellStyle name="Normal 4 4 2 9 2 3" xfId="16144" xr:uid="{9FA901AA-D7E4-467C-9240-422647680199}"/>
    <cellStyle name="Normal 4 4 2 9 2 4" xfId="33038" xr:uid="{5622A7E6-2732-45C8-B7F9-667723161E03}"/>
    <cellStyle name="Normal 4 4 2 9 3" xfId="20374" xr:uid="{5AE7450E-514E-490C-8637-B4691A29BB55}"/>
    <cellStyle name="Normal 4 4 2 9 3 2" xfId="37268" xr:uid="{6721D52E-317E-4E05-874F-088B092301F9}"/>
    <cellStyle name="Normal 4 4 2 9 4" xfId="11927" xr:uid="{FFB81437-0BF6-4A69-B918-48065129D347}"/>
    <cellStyle name="Normal 4 4 2 9 5" xfId="28821" xr:uid="{DC86929D-DF9F-42A8-8BE1-31229B8DF469}"/>
    <cellStyle name="Normal 4 4 3" xfId="387" xr:uid="{00000000-0005-0000-0000-000064150000}"/>
    <cellStyle name="Normal 4 4 3 10" xfId="8823" xr:uid="{E623F102-F69B-4FD0-BEDA-A1480AF4D892}"/>
    <cellStyle name="Normal 4 4 3 10 2" xfId="18317" xr:uid="{68FEDB51-15A6-46A9-995F-F7E7A3806FB6}"/>
    <cellStyle name="Normal 4 4 3 10 3" xfId="35211" xr:uid="{BCF946D1-9B9C-4E89-94FB-9D15FE392A5E}"/>
    <cellStyle name="Normal 4 4 3 11" xfId="9870" xr:uid="{23D1562B-32CE-45D1-AB87-772399A58069}"/>
    <cellStyle name="Normal 4 4 3 12" xfId="26764" xr:uid="{5704CC7A-6040-45AF-9E20-2F06844B0997}"/>
    <cellStyle name="Normal 4 4 3 2" xfId="388" xr:uid="{00000000-0005-0000-0000-000065150000}"/>
    <cellStyle name="Normal 4 4 3 2 10" xfId="9871" xr:uid="{08C1AFC6-DAE0-4C45-BD19-8930DE16B8B9}"/>
    <cellStyle name="Normal 4 4 3 2 11" xfId="26765" xr:uid="{D5D19299-F542-4BF0-9547-18AFA5BCC3F3}"/>
    <cellStyle name="Normal 4 4 3 2 2" xfId="389" xr:uid="{00000000-0005-0000-0000-000066150000}"/>
    <cellStyle name="Normal 4 4 3 2 2 10" xfId="26766" xr:uid="{1FAC26FD-A158-4127-8BC9-C3740C364795}"/>
    <cellStyle name="Normal 4 4 3 2 2 2" xfId="864" xr:uid="{00000000-0005-0000-0000-000067150000}"/>
    <cellStyle name="Normal 4 4 3 2 2 2 2" xfId="3099" xr:uid="{00000000-0005-0000-0000-000068150000}"/>
    <cellStyle name="Normal 4 4 3 2 2 2 2 2" xfId="7321" xr:uid="{00000000-0005-0000-0000-000069150000}"/>
    <cellStyle name="Normal 4 4 3 2 2 2 2 2 2" xfId="25094" xr:uid="{537BD79D-923A-45F2-B43C-37D62F954F1D}"/>
    <cellStyle name="Normal 4 4 3 2 2 2 2 2 2 2" xfId="41988" xr:uid="{3ED9CB84-4FE9-4157-8ABA-8CA51075BD21}"/>
    <cellStyle name="Normal 4 4 3 2 2 2 2 2 3" xfId="16647" xr:uid="{9D5E9AAA-1934-4492-8EBB-159FCECEB356}"/>
    <cellStyle name="Normal 4 4 3 2 2 2 2 2 4" xfId="33541" xr:uid="{EA54197B-586C-4880-BACC-8031C006FCFD}"/>
    <cellStyle name="Normal 4 4 3 2 2 2 2 3" xfId="20877" xr:uid="{3B3C7B3F-3F32-45E5-954D-9820EEA8027A}"/>
    <cellStyle name="Normal 4 4 3 2 2 2 2 3 2" xfId="37771" xr:uid="{B07E194C-4F45-4EE0-AA99-B19D2A0D75A1}"/>
    <cellStyle name="Normal 4 4 3 2 2 2 2 4" xfId="12430" xr:uid="{DE9A5D7D-ED1D-4EEF-A316-CA85983C04A8}"/>
    <cellStyle name="Normal 4 4 3 2 2 2 2 5" xfId="29324" xr:uid="{1EF2D0AC-C203-442E-8ECF-3AEB01C4C9B1}"/>
    <cellStyle name="Normal 4 4 3 2 2 2 3" xfId="5176" xr:uid="{00000000-0005-0000-0000-00006A150000}"/>
    <cellStyle name="Normal 4 4 3 2 2 2 3 2" xfId="22949" xr:uid="{8109B513-7B4E-45F0-8F12-23D3A5EA97F7}"/>
    <cellStyle name="Normal 4 4 3 2 2 2 3 2 2" xfId="39843" xr:uid="{B78D42F7-4486-4105-A020-AAD763EAC645}"/>
    <cellStyle name="Normal 4 4 3 2 2 2 3 3" xfId="14502" xr:uid="{5591B28E-C288-44DF-B1BC-B754B439F1A6}"/>
    <cellStyle name="Normal 4 4 3 2 2 2 3 4" xfId="31396" xr:uid="{A0F4F865-8CB1-495F-930D-945E7D817415}"/>
    <cellStyle name="Normal 4 4 3 2 2 2 4" xfId="9558" xr:uid="{8C9519E6-5920-473D-9749-EC61E4877632}"/>
    <cellStyle name="Normal 4 4 3 2 2 2 4 2" xfId="18732" xr:uid="{4BFA0665-86AC-4C91-93CA-8164706506F1}"/>
    <cellStyle name="Normal 4 4 3 2 2 2 4 3" xfId="35626" xr:uid="{0F1ADCE9-0960-4A20-9235-E3511297AD46}"/>
    <cellStyle name="Normal 4 4 3 2 2 2 5" xfId="10285" xr:uid="{B486B045-9B34-44A1-8288-819DEB00C772}"/>
    <cellStyle name="Normal 4 4 3 2 2 2 6" xfId="27179" xr:uid="{BA86BABA-70A7-4C10-86E6-3A017F859AB3}"/>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2 2 2" xfId="25507" xr:uid="{FB777BD6-6A40-42F1-8000-56F962F9B615}"/>
    <cellStyle name="Normal 4 4 3 2 2 3 2 2 2 2" xfId="42401" xr:uid="{338C7A80-A323-4476-AF49-DDA231FEF6DD}"/>
    <cellStyle name="Normal 4 4 3 2 2 3 2 2 3" xfId="17060" xr:uid="{578B1A99-4D2E-4582-B2FD-CA3F4BC05C7C}"/>
    <cellStyle name="Normal 4 4 3 2 2 3 2 2 4" xfId="33954" xr:uid="{F2654D13-3209-43C6-950B-D7B9FBFE7E03}"/>
    <cellStyle name="Normal 4 4 3 2 2 3 2 3" xfId="21290" xr:uid="{4B0B0537-6D48-4472-B1B0-31FC85E13ED4}"/>
    <cellStyle name="Normal 4 4 3 2 2 3 2 3 2" xfId="38184" xr:uid="{EC417B34-DACE-4FA2-B2F8-B866F10E9E4A}"/>
    <cellStyle name="Normal 4 4 3 2 2 3 2 4" xfId="12843" xr:uid="{52B0AB20-1EA7-4A5A-88E6-E3AF4549D3CF}"/>
    <cellStyle name="Normal 4 4 3 2 2 3 2 5" xfId="29737" xr:uid="{79714188-EAB0-4FF8-B934-1DAA1EFCC2E9}"/>
    <cellStyle name="Normal 4 4 3 2 2 3 3" xfId="5589" xr:uid="{00000000-0005-0000-0000-00006E150000}"/>
    <cellStyle name="Normal 4 4 3 2 2 3 3 2" xfId="23362" xr:uid="{3D8EE471-0499-4F8B-BF4F-071098884DFC}"/>
    <cellStyle name="Normal 4 4 3 2 2 3 3 2 2" xfId="40256" xr:uid="{79B0804F-920B-4919-8384-7C30F8518D0F}"/>
    <cellStyle name="Normal 4 4 3 2 2 3 3 3" xfId="14915" xr:uid="{91DD7652-C6CA-42B0-8098-8E188AAF23FE}"/>
    <cellStyle name="Normal 4 4 3 2 2 3 3 4" xfId="31809" xr:uid="{FF152C46-F853-4DB3-A332-2922D08475E1}"/>
    <cellStyle name="Normal 4 4 3 2 2 3 4" xfId="19145" xr:uid="{F8E202D1-5096-4D2C-91B5-A4F2D96BD841}"/>
    <cellStyle name="Normal 4 4 3 2 2 3 4 2" xfId="36039" xr:uid="{63C12AAC-99FF-4682-8AE8-6F0E463111EB}"/>
    <cellStyle name="Normal 4 4 3 2 2 3 5" xfId="10698" xr:uid="{15C6B597-3165-414B-BD7D-DE61CDE42F3F}"/>
    <cellStyle name="Normal 4 4 3 2 2 3 6" xfId="27592" xr:uid="{6B328878-6575-4AB6-8918-0DDED96E1ACD}"/>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2 2 2" xfId="25920" xr:uid="{2C6A830F-FE30-470D-B799-3CE7DC80263F}"/>
    <cellStyle name="Normal 4 4 3 2 2 4 2 2 2 2" xfId="42814" xr:uid="{9536B0EF-61E0-4A28-8A91-D7B06570DBFE}"/>
    <cellStyle name="Normal 4 4 3 2 2 4 2 2 3" xfId="17473" xr:uid="{176CFBDD-2A97-4A9A-9F4E-652560C70A7A}"/>
    <cellStyle name="Normal 4 4 3 2 2 4 2 2 4" xfId="34367" xr:uid="{FDD3A5D1-CB0F-45DA-A618-A7152DD82756}"/>
    <cellStyle name="Normal 4 4 3 2 2 4 2 3" xfId="21703" xr:uid="{DF8C04A8-18B2-43CD-AAE5-50165FE1A98A}"/>
    <cellStyle name="Normal 4 4 3 2 2 4 2 3 2" xfId="38597" xr:uid="{609A1494-5011-483F-976B-98F7335DBE29}"/>
    <cellStyle name="Normal 4 4 3 2 2 4 2 4" xfId="13256" xr:uid="{9B22532A-24E7-4472-8D3B-51FCC557E11C}"/>
    <cellStyle name="Normal 4 4 3 2 2 4 2 5" xfId="30150" xr:uid="{69F906F4-CD30-4EA7-8786-3908BA5E967F}"/>
    <cellStyle name="Normal 4 4 3 2 2 4 3" xfId="6002" xr:uid="{00000000-0005-0000-0000-000072150000}"/>
    <cellStyle name="Normal 4 4 3 2 2 4 3 2" xfId="23775" xr:uid="{A209E64B-6D7B-4EEF-8C55-45AF07D8C89C}"/>
    <cellStyle name="Normal 4 4 3 2 2 4 3 2 2" xfId="40669" xr:uid="{9CC9246D-07E7-4181-9FF5-0DCF81EB1999}"/>
    <cellStyle name="Normal 4 4 3 2 2 4 3 3" xfId="15328" xr:uid="{AE8843C8-6784-45E5-AB8A-B85CAA2E9529}"/>
    <cellStyle name="Normal 4 4 3 2 2 4 3 4" xfId="32222" xr:uid="{FF8ABF67-753D-4B05-A5FA-829EB0D5F0A2}"/>
    <cellStyle name="Normal 4 4 3 2 2 4 4" xfId="19558" xr:uid="{EA5B75B7-9A39-4D3D-909B-0FEA6945B5B2}"/>
    <cellStyle name="Normal 4 4 3 2 2 4 4 2" xfId="36452" xr:uid="{8E2CA73A-B29A-403D-B24A-59D6B5014675}"/>
    <cellStyle name="Normal 4 4 3 2 2 4 5" xfId="11111" xr:uid="{31D8B22A-67FE-4035-B84F-A3D358D3C71F}"/>
    <cellStyle name="Normal 4 4 3 2 2 4 6" xfId="28005" xr:uid="{376C19D3-93BF-4FBF-9252-095A9340312B}"/>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2 2 2" xfId="26333" xr:uid="{D8DFB263-4175-4FB9-AA66-4DD41EE433AB}"/>
    <cellStyle name="Normal 4 4 3 2 2 5 2 2 2 2" xfId="43227" xr:uid="{E5A3E7B8-D709-46FB-BD96-D0D0051B51B0}"/>
    <cellStyle name="Normal 4 4 3 2 2 5 2 2 3" xfId="17886" xr:uid="{9CA8C4E5-46EA-4073-9459-B84B9A955A8A}"/>
    <cellStyle name="Normal 4 4 3 2 2 5 2 2 4" xfId="34780" xr:uid="{C8E565DC-6D88-4AC3-9E96-A717FBC667CF}"/>
    <cellStyle name="Normal 4 4 3 2 2 5 2 3" xfId="22116" xr:uid="{8599DB5F-D315-4280-AB34-6E7FD39E765F}"/>
    <cellStyle name="Normal 4 4 3 2 2 5 2 3 2" xfId="39010" xr:uid="{1A798352-9E28-49B5-90CB-0F6778BFF839}"/>
    <cellStyle name="Normal 4 4 3 2 2 5 2 4" xfId="13669" xr:uid="{01F2BB69-F982-4C7C-A0C0-0D99A048DB58}"/>
    <cellStyle name="Normal 4 4 3 2 2 5 2 5" xfId="30563" xr:uid="{0AE26824-96EA-403D-8601-EAA25101BE2B}"/>
    <cellStyle name="Normal 4 4 3 2 2 5 3" xfId="6415" xr:uid="{00000000-0005-0000-0000-000076150000}"/>
    <cellStyle name="Normal 4 4 3 2 2 5 3 2" xfId="24188" xr:uid="{4980CBA7-C2FC-4C3E-B02B-EA8167475550}"/>
    <cellStyle name="Normal 4 4 3 2 2 5 3 2 2" xfId="41082" xr:uid="{973496CE-5905-4878-8AA8-209F846956E3}"/>
    <cellStyle name="Normal 4 4 3 2 2 5 3 3" xfId="15741" xr:uid="{0FD54DCE-6E93-4CDF-8048-F1873878FE44}"/>
    <cellStyle name="Normal 4 4 3 2 2 5 3 4" xfId="32635" xr:uid="{20EAB914-E661-42F9-A7E6-20661304CBD1}"/>
    <cellStyle name="Normal 4 4 3 2 2 5 4" xfId="19971" xr:uid="{63AD0A84-7D7F-4D3D-9EE3-478E77788435}"/>
    <cellStyle name="Normal 4 4 3 2 2 5 4 2" xfId="36865" xr:uid="{00A34904-84DE-40FF-9A18-36DD7FAF3AC3}"/>
    <cellStyle name="Normal 4 4 3 2 2 5 5" xfId="11524" xr:uid="{4BC81F14-5012-42B4-A28D-424D95EF6D68}"/>
    <cellStyle name="Normal 4 4 3 2 2 5 6" xfId="28418" xr:uid="{9D333E87-9173-4BD7-BBA9-52598C4EEDA5}"/>
    <cellStyle name="Normal 4 4 3 2 2 6" xfId="2545" xr:uid="{00000000-0005-0000-0000-000077150000}"/>
    <cellStyle name="Normal 4 4 3 2 2 6 2" xfId="6828" xr:uid="{00000000-0005-0000-0000-000078150000}"/>
    <cellStyle name="Normal 4 4 3 2 2 6 2 2" xfId="24601" xr:uid="{2FE4BD79-5180-434B-9EE2-4C2598A2874A}"/>
    <cellStyle name="Normal 4 4 3 2 2 6 2 2 2" xfId="41495" xr:uid="{C9F8CD80-11E5-4833-978E-2E3E75D70391}"/>
    <cellStyle name="Normal 4 4 3 2 2 6 2 3" xfId="16154" xr:uid="{93F732B2-5570-4929-A2AF-669F910F65E5}"/>
    <cellStyle name="Normal 4 4 3 2 2 6 2 4" xfId="33048" xr:uid="{51817511-20BE-47DD-A58E-6FE35738D9D8}"/>
    <cellStyle name="Normal 4 4 3 2 2 6 3" xfId="20384" xr:uid="{5803630D-1200-4E0A-8165-4A202A299CAC}"/>
    <cellStyle name="Normal 4 4 3 2 2 6 3 2" xfId="37278" xr:uid="{3DF67EF4-C2B7-422B-880B-DBAE9170A2D6}"/>
    <cellStyle name="Normal 4 4 3 2 2 6 4" xfId="11937" xr:uid="{B9B9575D-A7AC-48DD-A3A4-CCAFFD96FC1A}"/>
    <cellStyle name="Normal 4 4 3 2 2 6 5" xfId="28831" xr:uid="{D2D5D9FF-E8A1-489D-8266-A5232007DC6A}"/>
    <cellStyle name="Normal 4 4 3 2 2 7" xfId="4763" xr:uid="{00000000-0005-0000-0000-000079150000}"/>
    <cellStyle name="Normal 4 4 3 2 2 7 2" xfId="22536" xr:uid="{652FA5F8-ABFC-4979-8A12-72C0E5F8A579}"/>
    <cellStyle name="Normal 4 4 3 2 2 7 2 2" xfId="39430" xr:uid="{FD405DBD-89BD-4EF8-98A7-257FA820DD4C}"/>
    <cellStyle name="Normal 4 4 3 2 2 7 3" xfId="14089" xr:uid="{304FB0E9-BD0B-4C44-9DC5-A51322D1348E}"/>
    <cellStyle name="Normal 4 4 3 2 2 7 4" xfId="30983" xr:uid="{D286B47B-52B0-4C5C-85E0-60BA69F0AB90}"/>
    <cellStyle name="Normal 4 4 3 2 2 8" xfId="9133" xr:uid="{37002A66-D58A-4EF9-8D22-8F1A3EE99E08}"/>
    <cellStyle name="Normal 4 4 3 2 2 8 2" xfId="18319" xr:uid="{5142A6C8-5629-474C-AC1C-770D5E292083}"/>
    <cellStyle name="Normal 4 4 3 2 2 8 3" xfId="35213" xr:uid="{946B3374-2FA0-4FD4-A012-1CA2C4A96DD7}"/>
    <cellStyle name="Normal 4 4 3 2 2 9" xfId="9872" xr:uid="{9426ED5A-5F62-4573-BA03-EB71EF539981}"/>
    <cellStyle name="Normal 4 4 3 2 3" xfId="863" xr:uid="{00000000-0005-0000-0000-00007A150000}"/>
    <cellStyle name="Normal 4 4 3 2 3 2" xfId="3098" xr:uid="{00000000-0005-0000-0000-00007B150000}"/>
    <cellStyle name="Normal 4 4 3 2 3 2 2" xfId="7320" xr:uid="{00000000-0005-0000-0000-00007C150000}"/>
    <cellStyle name="Normal 4 4 3 2 3 2 2 2" xfId="25093" xr:uid="{8DDBEE75-AF33-486B-B1A3-A4B8DBF6E90E}"/>
    <cellStyle name="Normal 4 4 3 2 3 2 2 2 2" xfId="41987" xr:uid="{73C26A5E-9907-4F2B-9FD7-765627B9CD41}"/>
    <cellStyle name="Normal 4 4 3 2 3 2 2 3" xfId="16646" xr:uid="{7B5493FD-4961-4C51-984D-1D40679CE7A6}"/>
    <cellStyle name="Normal 4 4 3 2 3 2 2 4" xfId="33540" xr:uid="{3C31CD1D-C95D-40AD-9E76-F2248BD22290}"/>
    <cellStyle name="Normal 4 4 3 2 3 2 3" xfId="20876" xr:uid="{877CB6AB-E379-4C29-A686-3CC6DF4BFF20}"/>
    <cellStyle name="Normal 4 4 3 2 3 2 3 2" xfId="37770" xr:uid="{69476880-92CB-436E-BD54-BB0F6BB63F7A}"/>
    <cellStyle name="Normal 4 4 3 2 3 2 4" xfId="12429" xr:uid="{146AA135-0615-4181-99CB-523200D691F6}"/>
    <cellStyle name="Normal 4 4 3 2 3 2 5" xfId="29323" xr:uid="{5D9F0AEA-08D2-42DD-B929-1AA60E556A36}"/>
    <cellStyle name="Normal 4 4 3 2 3 3" xfId="5175" xr:uid="{00000000-0005-0000-0000-00007D150000}"/>
    <cellStyle name="Normal 4 4 3 2 3 3 2" xfId="22948" xr:uid="{57E6A71B-4DC6-4B64-AE4D-F62542DCD2D5}"/>
    <cellStyle name="Normal 4 4 3 2 3 3 2 2" xfId="39842" xr:uid="{36803BCC-DA45-4366-9201-3D69F9079C4D}"/>
    <cellStyle name="Normal 4 4 3 2 3 3 3" xfId="14501" xr:uid="{A2BF511B-D6A1-4B07-BF19-84DA5AEEA3DB}"/>
    <cellStyle name="Normal 4 4 3 2 3 3 4" xfId="31395" xr:uid="{24194A24-5A01-4189-B22F-C1A7234E211C}"/>
    <cellStyle name="Normal 4 4 3 2 3 4" xfId="9351" xr:uid="{51AD2B95-755A-411D-AA40-98381F5D8294}"/>
    <cellStyle name="Normal 4 4 3 2 3 4 2" xfId="18731" xr:uid="{FAE4F00B-45F2-4DDF-8CA2-2600C2122C2B}"/>
    <cellStyle name="Normal 4 4 3 2 3 4 3" xfId="35625" xr:uid="{F2029F2D-11EF-4237-8BBE-C73464268E5B}"/>
    <cellStyle name="Normal 4 4 3 2 3 5" xfId="10284" xr:uid="{8960D485-6975-497D-95CE-D6889698C471}"/>
    <cellStyle name="Normal 4 4 3 2 3 6" xfId="27178" xr:uid="{ED36EBCD-A988-4F52-A491-E8396A17FD60}"/>
    <cellStyle name="Normal 4 4 3 2 4" xfId="1281" xr:uid="{00000000-0005-0000-0000-00007E150000}"/>
    <cellStyle name="Normal 4 4 3 2 4 2" xfId="3511" xr:uid="{00000000-0005-0000-0000-00007F150000}"/>
    <cellStyle name="Normal 4 4 3 2 4 2 2" xfId="7733" xr:uid="{00000000-0005-0000-0000-000080150000}"/>
    <cellStyle name="Normal 4 4 3 2 4 2 2 2" xfId="25506" xr:uid="{6E0CCE6C-C16E-4D4F-933D-D02E0010C75D}"/>
    <cellStyle name="Normal 4 4 3 2 4 2 2 2 2" xfId="42400" xr:uid="{0CF17F70-2EF2-403E-A61B-A717E0178635}"/>
    <cellStyle name="Normal 4 4 3 2 4 2 2 3" xfId="17059" xr:uid="{F74E0FC1-6FE3-46D0-B964-0EFF5FF6EBCD}"/>
    <cellStyle name="Normal 4 4 3 2 4 2 2 4" xfId="33953" xr:uid="{84A7BD1E-958F-4A9A-9B96-FF7114A761E9}"/>
    <cellStyle name="Normal 4 4 3 2 4 2 3" xfId="21289" xr:uid="{99197311-2661-4F92-8DE8-A01A4A5DEC2B}"/>
    <cellStyle name="Normal 4 4 3 2 4 2 3 2" xfId="38183" xr:uid="{20C31B52-A3E6-4401-986C-13DAC9CDB9A7}"/>
    <cellStyle name="Normal 4 4 3 2 4 2 4" xfId="12842" xr:uid="{DE3DD245-259B-4FA2-8E69-BE895E65B936}"/>
    <cellStyle name="Normal 4 4 3 2 4 2 5" xfId="29736" xr:uid="{87C94BF2-2985-4750-908F-D1C3CF704B86}"/>
    <cellStyle name="Normal 4 4 3 2 4 3" xfId="5588" xr:uid="{00000000-0005-0000-0000-000081150000}"/>
    <cellStyle name="Normal 4 4 3 2 4 3 2" xfId="23361" xr:uid="{60E65865-8828-4550-B429-E80D893C1182}"/>
    <cellStyle name="Normal 4 4 3 2 4 3 2 2" xfId="40255" xr:uid="{AA0DC450-37E7-4EF0-B17F-8B2F5D0E58A7}"/>
    <cellStyle name="Normal 4 4 3 2 4 3 3" xfId="14914" xr:uid="{1664F196-2423-4835-8580-9CF155EBFD24}"/>
    <cellStyle name="Normal 4 4 3 2 4 3 4" xfId="31808" xr:uid="{CA598965-F8C2-4C2A-88A9-7388D3D082FC}"/>
    <cellStyle name="Normal 4 4 3 2 4 4" xfId="19144" xr:uid="{64F211F1-F272-40FB-906A-DCFC2950FD54}"/>
    <cellStyle name="Normal 4 4 3 2 4 4 2" xfId="36038" xr:uid="{95956423-3472-4E19-BF81-59C82BC1E697}"/>
    <cellStyle name="Normal 4 4 3 2 4 5" xfId="10697" xr:uid="{FD4EBDB0-C8BD-4650-BA31-6ECED92612AC}"/>
    <cellStyle name="Normal 4 4 3 2 4 6" xfId="27591" xr:uid="{9E5A1B4C-138B-4E45-A261-D37E5FB4F5AE}"/>
    <cellStyle name="Normal 4 4 3 2 5" xfId="1694" xr:uid="{00000000-0005-0000-0000-000082150000}"/>
    <cellStyle name="Normal 4 4 3 2 5 2" xfId="3924" xr:uid="{00000000-0005-0000-0000-000083150000}"/>
    <cellStyle name="Normal 4 4 3 2 5 2 2" xfId="8146" xr:uid="{00000000-0005-0000-0000-000084150000}"/>
    <cellStyle name="Normal 4 4 3 2 5 2 2 2" xfId="25919" xr:uid="{999FE7CD-E895-46ED-89EF-168F1F99085F}"/>
    <cellStyle name="Normal 4 4 3 2 5 2 2 2 2" xfId="42813" xr:uid="{04F8D0A9-8289-439E-BC56-5E7033111D6F}"/>
    <cellStyle name="Normal 4 4 3 2 5 2 2 3" xfId="17472" xr:uid="{65875F81-0552-413B-B630-AAE166894709}"/>
    <cellStyle name="Normal 4 4 3 2 5 2 2 4" xfId="34366" xr:uid="{65AEC452-E5D6-41DB-807B-AB4E12F8425D}"/>
    <cellStyle name="Normal 4 4 3 2 5 2 3" xfId="21702" xr:uid="{4CC433C3-E833-4A14-898B-A7AA8C7C8C33}"/>
    <cellStyle name="Normal 4 4 3 2 5 2 3 2" xfId="38596" xr:uid="{66BDD060-DEF3-4156-B2A8-F48AD962EEA4}"/>
    <cellStyle name="Normal 4 4 3 2 5 2 4" xfId="13255" xr:uid="{72168F2D-BB08-4473-99FA-B9E403864D57}"/>
    <cellStyle name="Normal 4 4 3 2 5 2 5" xfId="30149" xr:uid="{27B30EB4-E700-4343-BE36-74D63973418B}"/>
    <cellStyle name="Normal 4 4 3 2 5 3" xfId="6001" xr:uid="{00000000-0005-0000-0000-000085150000}"/>
    <cellStyle name="Normal 4 4 3 2 5 3 2" xfId="23774" xr:uid="{E4ED9B56-476E-4448-94DE-5BD3DEB4832D}"/>
    <cellStyle name="Normal 4 4 3 2 5 3 2 2" xfId="40668" xr:uid="{74B637B0-1536-420A-B9ED-44F951D4E9F3}"/>
    <cellStyle name="Normal 4 4 3 2 5 3 3" xfId="15327" xr:uid="{7C1C5CBA-A95F-4C37-A423-DDFD51212701}"/>
    <cellStyle name="Normal 4 4 3 2 5 3 4" xfId="32221" xr:uid="{EAECD67F-3982-4B6D-8A9E-C501AF7282D2}"/>
    <cellStyle name="Normal 4 4 3 2 5 4" xfId="19557" xr:uid="{39E2A575-AAD7-4A89-8FD9-8A35748F20DD}"/>
    <cellStyle name="Normal 4 4 3 2 5 4 2" xfId="36451" xr:uid="{C093A0BC-D948-46F2-A3A1-6F0A7D2E10CD}"/>
    <cellStyle name="Normal 4 4 3 2 5 5" xfId="11110" xr:uid="{A8DE4C3E-6E79-4F2A-87D9-8F8C5751CA9D}"/>
    <cellStyle name="Normal 4 4 3 2 5 6" xfId="28004" xr:uid="{BD368DA0-E6C7-4694-B76D-AB817B9E8943}"/>
    <cellStyle name="Normal 4 4 3 2 6" xfId="2108" xr:uid="{00000000-0005-0000-0000-000086150000}"/>
    <cellStyle name="Normal 4 4 3 2 6 2" xfId="4337" xr:uid="{00000000-0005-0000-0000-000087150000}"/>
    <cellStyle name="Normal 4 4 3 2 6 2 2" xfId="8559" xr:uid="{00000000-0005-0000-0000-000088150000}"/>
    <cellStyle name="Normal 4 4 3 2 6 2 2 2" xfId="26332" xr:uid="{F504D76E-46B0-4A7F-A3E4-CA443D88377D}"/>
    <cellStyle name="Normal 4 4 3 2 6 2 2 2 2" xfId="43226" xr:uid="{C1BFFA85-D979-4980-B00B-448F84407032}"/>
    <cellStyle name="Normal 4 4 3 2 6 2 2 3" xfId="17885" xr:uid="{6DF4758D-6A34-4575-B578-2AE044768031}"/>
    <cellStyle name="Normal 4 4 3 2 6 2 2 4" xfId="34779" xr:uid="{1EE613B6-C939-4987-809C-B74BDC56FBFF}"/>
    <cellStyle name="Normal 4 4 3 2 6 2 3" xfId="22115" xr:uid="{3AC4476D-033C-443C-BE50-8193F0E08A91}"/>
    <cellStyle name="Normal 4 4 3 2 6 2 3 2" xfId="39009" xr:uid="{DA419583-72C9-45E6-8EE2-E598F6C57184}"/>
    <cellStyle name="Normal 4 4 3 2 6 2 4" xfId="13668" xr:uid="{01ED00F4-E715-49E3-9382-E6F3204E2DF7}"/>
    <cellStyle name="Normal 4 4 3 2 6 2 5" xfId="30562" xr:uid="{E7BC8997-ADDC-4F1D-A172-7EE18B6C91D6}"/>
    <cellStyle name="Normal 4 4 3 2 6 3" xfId="6414" xr:uid="{00000000-0005-0000-0000-000089150000}"/>
    <cellStyle name="Normal 4 4 3 2 6 3 2" xfId="24187" xr:uid="{B3A1CCA2-692E-4F60-96CA-086E6BDD327B}"/>
    <cellStyle name="Normal 4 4 3 2 6 3 2 2" xfId="41081" xr:uid="{EDC08970-9037-4015-933D-2AC84397C9BA}"/>
    <cellStyle name="Normal 4 4 3 2 6 3 3" xfId="15740" xr:uid="{7D77775E-F335-488D-8769-90AC34DD8360}"/>
    <cellStyle name="Normal 4 4 3 2 6 3 4" xfId="32634" xr:uid="{C009752B-D3D4-4329-84ED-31D534A8BB8B}"/>
    <cellStyle name="Normal 4 4 3 2 6 4" xfId="19970" xr:uid="{D05B8843-FB72-4F87-879B-957EDEE99D54}"/>
    <cellStyle name="Normal 4 4 3 2 6 4 2" xfId="36864" xr:uid="{FA681DAA-9712-432B-A561-3BD33EB6A559}"/>
    <cellStyle name="Normal 4 4 3 2 6 5" xfId="11523" xr:uid="{4C4EBC45-A07A-476E-84F6-CB5FA44A4BC5}"/>
    <cellStyle name="Normal 4 4 3 2 6 6" xfId="28417" xr:uid="{E5A3EB3C-5E4C-4B81-923D-19F086BE23AC}"/>
    <cellStyle name="Normal 4 4 3 2 7" xfId="2544" xr:uid="{00000000-0005-0000-0000-00008A150000}"/>
    <cellStyle name="Normal 4 4 3 2 7 2" xfId="6827" xr:uid="{00000000-0005-0000-0000-00008B150000}"/>
    <cellStyle name="Normal 4 4 3 2 7 2 2" xfId="24600" xr:uid="{4133F808-1162-40C2-961A-9A877D0727A2}"/>
    <cellStyle name="Normal 4 4 3 2 7 2 2 2" xfId="41494" xr:uid="{A8C89AB6-7B75-46AA-9B13-1E71EDFA3B00}"/>
    <cellStyle name="Normal 4 4 3 2 7 2 3" xfId="16153" xr:uid="{943FFB45-E479-4F15-A7B6-4C7DAD2DE73B}"/>
    <cellStyle name="Normal 4 4 3 2 7 2 4" xfId="33047" xr:uid="{EC51BD10-B196-4D69-808C-4FC0BAA22CAB}"/>
    <cellStyle name="Normal 4 4 3 2 7 3" xfId="20383" xr:uid="{FAD53623-A9A3-4FC6-AE61-7E5EEF26812C}"/>
    <cellStyle name="Normal 4 4 3 2 7 3 2" xfId="37277" xr:uid="{AB00F254-76A8-44B1-B361-2EFA388E58EC}"/>
    <cellStyle name="Normal 4 4 3 2 7 4" xfId="11936" xr:uid="{F5439360-4BD0-4ADA-8EBC-B1079583CB82}"/>
    <cellStyle name="Normal 4 4 3 2 7 5" xfId="28830" xr:uid="{F237C8B4-514D-4309-B6B0-BEA751F89C35}"/>
    <cellStyle name="Normal 4 4 3 2 8" xfId="4762" xr:uid="{00000000-0005-0000-0000-00008C150000}"/>
    <cellStyle name="Normal 4 4 3 2 8 2" xfId="22535" xr:uid="{8F9E59EF-16E9-4C41-A0B3-D08B9DD03AAF}"/>
    <cellStyle name="Normal 4 4 3 2 8 2 2" xfId="39429" xr:uid="{2FC78AAA-74FC-4ABC-AFFD-2BAAC18C9796}"/>
    <cellStyle name="Normal 4 4 3 2 8 3" xfId="14088" xr:uid="{7FE405AA-31AF-48C4-9D4B-7C9B4023BF6B}"/>
    <cellStyle name="Normal 4 4 3 2 8 4" xfId="30982" xr:uid="{E8D34D44-D7C9-4A96-B081-36F542F00F1E}"/>
    <cellStyle name="Normal 4 4 3 2 9" xfId="8926" xr:uid="{821D1F47-EF8D-4C64-BA70-5606A81A57B5}"/>
    <cellStyle name="Normal 4 4 3 2 9 2" xfId="18318" xr:uid="{BA97437F-594A-46CA-A4F3-31A0DFD3F023}"/>
    <cellStyle name="Normal 4 4 3 2 9 3" xfId="35212" xr:uid="{EC9BB38C-9F18-4525-95E8-794DD3EB99F3}"/>
    <cellStyle name="Normal 4 4 3 3" xfId="390" xr:uid="{00000000-0005-0000-0000-00008D150000}"/>
    <cellStyle name="Normal 4 4 3 3 10" xfId="26767" xr:uid="{EC16CA77-A073-4E7A-8905-CBA70D9DC559}"/>
    <cellStyle name="Normal 4 4 3 3 2" xfId="865" xr:uid="{00000000-0005-0000-0000-00008E150000}"/>
    <cellStyle name="Normal 4 4 3 3 2 2" xfId="3100" xr:uid="{00000000-0005-0000-0000-00008F150000}"/>
    <cellStyle name="Normal 4 4 3 3 2 2 2" xfId="7322" xr:uid="{00000000-0005-0000-0000-000090150000}"/>
    <cellStyle name="Normal 4 4 3 3 2 2 2 2" xfId="25095" xr:uid="{91E7D998-990B-43DC-A886-40283C26C771}"/>
    <cellStyle name="Normal 4 4 3 3 2 2 2 2 2" xfId="41989" xr:uid="{2ECBFD08-8D2C-4C30-9F7E-41F62C8BF525}"/>
    <cellStyle name="Normal 4 4 3 3 2 2 2 3" xfId="16648" xr:uid="{BB3B0BDA-0720-49C2-BA53-A27CEBA041BC}"/>
    <cellStyle name="Normal 4 4 3 3 2 2 2 4" xfId="33542" xr:uid="{0E0719B8-CB19-4535-B7CC-72038AF4EC02}"/>
    <cellStyle name="Normal 4 4 3 3 2 2 3" xfId="20878" xr:uid="{C8E1C406-6AC6-4808-903D-E9BAC64D762F}"/>
    <cellStyle name="Normal 4 4 3 3 2 2 3 2" xfId="37772" xr:uid="{9A36B3A3-AD8A-4D71-84D1-66372C58A84F}"/>
    <cellStyle name="Normal 4 4 3 3 2 2 4" xfId="12431" xr:uid="{27CD015E-9E20-455B-8E69-9B3DEE78CC5C}"/>
    <cellStyle name="Normal 4 4 3 3 2 2 5" xfId="29325" xr:uid="{3E4043A7-6F86-4A93-B8F6-92C535E086AD}"/>
    <cellStyle name="Normal 4 4 3 3 2 3" xfId="5177" xr:uid="{00000000-0005-0000-0000-000091150000}"/>
    <cellStyle name="Normal 4 4 3 3 2 3 2" xfId="22950" xr:uid="{2B691DF6-36CB-4DE0-B223-D5ACCEA7CC1F}"/>
    <cellStyle name="Normal 4 4 3 3 2 3 2 2" xfId="39844" xr:uid="{C281405E-D6DC-4B4E-8FA1-52A8301148E7}"/>
    <cellStyle name="Normal 4 4 3 3 2 3 3" xfId="14503" xr:uid="{7584A54A-FF0F-4537-B767-C781A68798FE}"/>
    <cellStyle name="Normal 4 4 3 3 2 3 4" xfId="31397" xr:uid="{AE02DF55-C86C-4B08-817C-243400B2FAB9}"/>
    <cellStyle name="Normal 4 4 3 3 2 4" xfId="9455" xr:uid="{E39EB3A2-D99A-426C-AFEC-E4C90C85BE02}"/>
    <cellStyle name="Normal 4 4 3 3 2 4 2" xfId="18733" xr:uid="{3D19AD2D-A6A2-4CE7-99CE-EF80E4D6044B}"/>
    <cellStyle name="Normal 4 4 3 3 2 4 3" xfId="35627" xr:uid="{903DA853-51BF-4B50-A0C9-ACB2F6E5AE13}"/>
    <cellStyle name="Normal 4 4 3 3 2 5" xfId="10286" xr:uid="{0F4C16F1-3F89-44DB-BD53-5CB1FBE0832D}"/>
    <cellStyle name="Normal 4 4 3 3 2 6" xfId="27180" xr:uid="{6F69C9A2-E722-4B00-98FC-8DD230C84E6C}"/>
    <cellStyle name="Normal 4 4 3 3 3" xfId="1283" xr:uid="{00000000-0005-0000-0000-000092150000}"/>
    <cellStyle name="Normal 4 4 3 3 3 2" xfId="3513" xr:uid="{00000000-0005-0000-0000-000093150000}"/>
    <cellStyle name="Normal 4 4 3 3 3 2 2" xfId="7735" xr:uid="{00000000-0005-0000-0000-000094150000}"/>
    <cellStyle name="Normal 4 4 3 3 3 2 2 2" xfId="25508" xr:uid="{2DA545CE-7230-473D-A87A-474A70255BB1}"/>
    <cellStyle name="Normal 4 4 3 3 3 2 2 2 2" xfId="42402" xr:uid="{AE5B6A37-9AE2-4348-957A-784B69BDC2E2}"/>
    <cellStyle name="Normal 4 4 3 3 3 2 2 3" xfId="17061" xr:uid="{2C0DC81D-C84F-43D3-9964-5B9F1551E2E4}"/>
    <cellStyle name="Normal 4 4 3 3 3 2 2 4" xfId="33955" xr:uid="{A97769A6-0DC4-4E67-8553-FF033F2303E1}"/>
    <cellStyle name="Normal 4 4 3 3 3 2 3" xfId="21291" xr:uid="{51A1BF16-CF24-4870-BBD0-8E44199EB1CD}"/>
    <cellStyle name="Normal 4 4 3 3 3 2 3 2" xfId="38185" xr:uid="{DB07329E-B9A6-4236-A547-C70792A4B93E}"/>
    <cellStyle name="Normal 4 4 3 3 3 2 4" xfId="12844" xr:uid="{DAAC92CF-DD1A-45FD-B9FF-D54D78DC0253}"/>
    <cellStyle name="Normal 4 4 3 3 3 2 5" xfId="29738" xr:uid="{A3286C95-0460-41B4-9FD1-20F5F88629F5}"/>
    <cellStyle name="Normal 4 4 3 3 3 3" xfId="5590" xr:uid="{00000000-0005-0000-0000-000095150000}"/>
    <cellStyle name="Normal 4 4 3 3 3 3 2" xfId="23363" xr:uid="{94E923D3-798C-4BEC-A8C7-25574D215C35}"/>
    <cellStyle name="Normal 4 4 3 3 3 3 2 2" xfId="40257" xr:uid="{A1F97E1E-B606-4455-AF09-F208AFF89CE9}"/>
    <cellStyle name="Normal 4 4 3 3 3 3 3" xfId="14916" xr:uid="{9E1EDC49-8652-4C7B-9F52-8B6067A0B55E}"/>
    <cellStyle name="Normal 4 4 3 3 3 3 4" xfId="31810" xr:uid="{950FF5CF-3B42-42C9-A43F-50379AC5B2A8}"/>
    <cellStyle name="Normal 4 4 3 3 3 4" xfId="19146" xr:uid="{2FBDD05A-69AB-4747-BD58-F101E168A964}"/>
    <cellStyle name="Normal 4 4 3 3 3 4 2" xfId="36040" xr:uid="{E031672D-F868-4F07-9095-277AF998C144}"/>
    <cellStyle name="Normal 4 4 3 3 3 5" xfId="10699" xr:uid="{B5BDF40E-48B3-4075-950B-6A85FC7EC106}"/>
    <cellStyle name="Normal 4 4 3 3 3 6" xfId="27593" xr:uid="{561FFEC8-0956-46C1-9C57-D39983FDA3F2}"/>
    <cellStyle name="Normal 4 4 3 3 4" xfId="1696" xr:uid="{00000000-0005-0000-0000-000096150000}"/>
    <cellStyle name="Normal 4 4 3 3 4 2" xfId="3926" xr:uid="{00000000-0005-0000-0000-000097150000}"/>
    <cellStyle name="Normal 4 4 3 3 4 2 2" xfId="8148" xr:uid="{00000000-0005-0000-0000-000098150000}"/>
    <cellStyle name="Normal 4 4 3 3 4 2 2 2" xfId="25921" xr:uid="{F3D5227E-3E71-4B25-9E41-DA014807A77E}"/>
    <cellStyle name="Normal 4 4 3 3 4 2 2 2 2" xfId="42815" xr:uid="{30DBAC89-F5A2-4ACF-8DFB-F4AB5AB0ADF9}"/>
    <cellStyle name="Normal 4 4 3 3 4 2 2 3" xfId="17474" xr:uid="{9C0A278D-190F-4FC2-8486-CAA2C2A539A4}"/>
    <cellStyle name="Normal 4 4 3 3 4 2 2 4" xfId="34368" xr:uid="{0AD7C2C7-5DDF-4906-8EC7-506D7DA3A3D7}"/>
    <cellStyle name="Normal 4 4 3 3 4 2 3" xfId="21704" xr:uid="{36118761-1CF5-452E-825A-70F6AEE51056}"/>
    <cellStyle name="Normal 4 4 3 3 4 2 3 2" xfId="38598" xr:uid="{1A17D098-C7C0-4FC4-BFB9-F2549ED7F704}"/>
    <cellStyle name="Normal 4 4 3 3 4 2 4" xfId="13257" xr:uid="{5331C436-4D20-4910-A12A-EF78320BECD8}"/>
    <cellStyle name="Normal 4 4 3 3 4 2 5" xfId="30151" xr:uid="{C7CEF834-40B6-4F66-9065-22C75E6B48CB}"/>
    <cellStyle name="Normal 4 4 3 3 4 3" xfId="6003" xr:uid="{00000000-0005-0000-0000-000099150000}"/>
    <cellStyle name="Normal 4 4 3 3 4 3 2" xfId="23776" xr:uid="{380D9747-F11E-4D60-87AA-2457134BF174}"/>
    <cellStyle name="Normal 4 4 3 3 4 3 2 2" xfId="40670" xr:uid="{36AB3C36-3010-4555-83DF-C3FC10DEF8C9}"/>
    <cellStyle name="Normal 4 4 3 3 4 3 3" xfId="15329" xr:uid="{AEE30BBC-0F7A-41D5-8DBD-3814B1AB7338}"/>
    <cellStyle name="Normal 4 4 3 3 4 3 4" xfId="32223" xr:uid="{23DB46F8-865B-4102-9696-4F400268B727}"/>
    <cellStyle name="Normal 4 4 3 3 4 4" xfId="19559" xr:uid="{125817DA-F1AA-40E5-9065-14194AE4BA44}"/>
    <cellStyle name="Normal 4 4 3 3 4 4 2" xfId="36453" xr:uid="{09B8B355-0CF3-46E8-93E8-F11AE2CABE47}"/>
    <cellStyle name="Normal 4 4 3 3 4 5" xfId="11112" xr:uid="{6EB8FD21-D846-4AD2-9145-9D42D0907D9E}"/>
    <cellStyle name="Normal 4 4 3 3 4 6" xfId="28006" xr:uid="{8FE00016-898E-480F-A342-692D86805031}"/>
    <cellStyle name="Normal 4 4 3 3 5" xfId="2110" xr:uid="{00000000-0005-0000-0000-00009A150000}"/>
    <cellStyle name="Normal 4 4 3 3 5 2" xfId="4339" xr:uid="{00000000-0005-0000-0000-00009B150000}"/>
    <cellStyle name="Normal 4 4 3 3 5 2 2" xfId="8561" xr:uid="{00000000-0005-0000-0000-00009C150000}"/>
    <cellStyle name="Normal 4 4 3 3 5 2 2 2" xfId="26334" xr:uid="{8978289D-7064-4807-BF18-A88708547F1D}"/>
    <cellStyle name="Normal 4 4 3 3 5 2 2 2 2" xfId="43228" xr:uid="{184C138C-0B0A-4969-BDE3-F371B2E6AD20}"/>
    <cellStyle name="Normal 4 4 3 3 5 2 2 3" xfId="17887" xr:uid="{FCE9E806-B00B-4F83-99A6-4595F560CCE8}"/>
    <cellStyle name="Normal 4 4 3 3 5 2 2 4" xfId="34781" xr:uid="{53DC0B52-3C41-4180-BE57-E8C1D3625E06}"/>
    <cellStyle name="Normal 4 4 3 3 5 2 3" xfId="22117" xr:uid="{870AF1D2-DA70-4A3C-BC8E-1E28F938AD47}"/>
    <cellStyle name="Normal 4 4 3 3 5 2 3 2" xfId="39011" xr:uid="{0905CB20-AF68-4754-906C-FE6459E5F220}"/>
    <cellStyle name="Normal 4 4 3 3 5 2 4" xfId="13670" xr:uid="{E0BF8961-8E1F-4E4C-9CF3-CCF599D1A106}"/>
    <cellStyle name="Normal 4 4 3 3 5 2 5" xfId="30564" xr:uid="{255883A5-13B6-4805-BE30-05A29FC5AD49}"/>
    <cellStyle name="Normal 4 4 3 3 5 3" xfId="6416" xr:uid="{00000000-0005-0000-0000-00009D150000}"/>
    <cellStyle name="Normal 4 4 3 3 5 3 2" xfId="24189" xr:uid="{8C874815-00E8-4468-A6A8-D37701E31963}"/>
    <cellStyle name="Normal 4 4 3 3 5 3 2 2" xfId="41083" xr:uid="{BEE5539A-1909-4C32-8423-097310D98868}"/>
    <cellStyle name="Normal 4 4 3 3 5 3 3" xfId="15742" xr:uid="{C46F775E-6E1C-4CA5-A6FF-890E0CCC9F57}"/>
    <cellStyle name="Normal 4 4 3 3 5 3 4" xfId="32636" xr:uid="{E308271E-5971-44F3-8776-12B73468F6F0}"/>
    <cellStyle name="Normal 4 4 3 3 5 4" xfId="19972" xr:uid="{E702A91C-A8ED-4BA5-BF76-EEFFCDD020A2}"/>
    <cellStyle name="Normal 4 4 3 3 5 4 2" xfId="36866" xr:uid="{620EFF57-7840-45D6-9691-4AEB5BC95D25}"/>
    <cellStyle name="Normal 4 4 3 3 5 5" xfId="11525" xr:uid="{CFB25A67-24F3-4A72-9E9D-4A61C06E95C8}"/>
    <cellStyle name="Normal 4 4 3 3 5 6" xfId="28419" xr:uid="{CFDED43F-CC68-47D1-8AAB-789845FC9455}"/>
    <cellStyle name="Normal 4 4 3 3 6" xfId="2546" xr:uid="{00000000-0005-0000-0000-00009E150000}"/>
    <cellStyle name="Normal 4 4 3 3 6 2" xfId="6829" xr:uid="{00000000-0005-0000-0000-00009F150000}"/>
    <cellStyle name="Normal 4 4 3 3 6 2 2" xfId="24602" xr:uid="{BCA2EFB5-FD98-448B-9AF7-CB38DE6933FC}"/>
    <cellStyle name="Normal 4 4 3 3 6 2 2 2" xfId="41496" xr:uid="{84C0AF9D-8319-468A-87B6-040BD31B461C}"/>
    <cellStyle name="Normal 4 4 3 3 6 2 3" xfId="16155" xr:uid="{3ACF2248-E5E7-4E32-8CE7-028A3031DF96}"/>
    <cellStyle name="Normal 4 4 3 3 6 2 4" xfId="33049" xr:uid="{77C79BB9-1FA9-4B35-8089-4F37A03117D0}"/>
    <cellStyle name="Normal 4 4 3 3 6 3" xfId="20385" xr:uid="{94008F36-8DAF-49B8-97EB-FC48DF345A98}"/>
    <cellStyle name="Normal 4 4 3 3 6 3 2" xfId="37279" xr:uid="{291237F4-E2DB-4E21-880A-4409A657199A}"/>
    <cellStyle name="Normal 4 4 3 3 6 4" xfId="11938" xr:uid="{244DF07E-E852-4B59-B5D9-6D1B9FD35695}"/>
    <cellStyle name="Normal 4 4 3 3 6 5" xfId="28832" xr:uid="{6AADF272-865F-4B24-912E-AF9449F8C4C9}"/>
    <cellStyle name="Normal 4 4 3 3 7" xfId="4764" xr:uid="{00000000-0005-0000-0000-0000A0150000}"/>
    <cellStyle name="Normal 4 4 3 3 7 2" xfId="22537" xr:uid="{FB919D6B-DB34-4296-9EFB-42C18A26702E}"/>
    <cellStyle name="Normal 4 4 3 3 7 2 2" xfId="39431" xr:uid="{EC660DCF-7E13-4B4C-B55F-F2508B809A25}"/>
    <cellStyle name="Normal 4 4 3 3 7 3" xfId="14090" xr:uid="{AB009005-5D07-4036-9474-FA1B84971ABC}"/>
    <cellStyle name="Normal 4 4 3 3 7 4" xfId="30984" xr:uid="{4E8E1F02-BA27-47D5-AEAA-9D334C93982C}"/>
    <cellStyle name="Normal 4 4 3 3 8" xfId="9030" xr:uid="{F975DAAD-4546-4770-9976-5C5C66DA227B}"/>
    <cellStyle name="Normal 4 4 3 3 8 2" xfId="18320" xr:uid="{72E4A8E3-2159-46ED-9185-DB1708BE1C56}"/>
    <cellStyle name="Normal 4 4 3 3 8 3" xfId="35214" xr:uid="{C1E13DA2-2C32-41AE-B4B9-B8D16AE47EFC}"/>
    <cellStyle name="Normal 4 4 3 3 9" xfId="9873" xr:uid="{F62D0E55-817F-4B87-A531-5618021C4084}"/>
    <cellStyle name="Normal 4 4 3 4" xfId="862" xr:uid="{00000000-0005-0000-0000-0000A1150000}"/>
    <cellStyle name="Normal 4 4 3 4 2" xfId="3097" xr:uid="{00000000-0005-0000-0000-0000A2150000}"/>
    <cellStyle name="Normal 4 4 3 4 2 2" xfId="7319" xr:uid="{00000000-0005-0000-0000-0000A3150000}"/>
    <cellStyle name="Normal 4 4 3 4 2 2 2" xfId="25092" xr:uid="{39ECE3D0-ECD0-45FB-A410-CE202615FE2A}"/>
    <cellStyle name="Normal 4 4 3 4 2 2 2 2" xfId="41986" xr:uid="{74FFF8B8-4588-4E58-9EF4-4863E2D74841}"/>
    <cellStyle name="Normal 4 4 3 4 2 2 3" xfId="16645" xr:uid="{E8CF92A4-323F-488E-AD09-BF71EED5FF86}"/>
    <cellStyle name="Normal 4 4 3 4 2 2 4" xfId="33539" xr:uid="{75865A4A-C707-4B11-8BA2-5FFE7CE14E70}"/>
    <cellStyle name="Normal 4 4 3 4 2 3" xfId="20875" xr:uid="{19703048-698C-4ECA-B0A3-0DA4049E27D2}"/>
    <cellStyle name="Normal 4 4 3 4 2 3 2" xfId="37769" xr:uid="{01A202B2-2543-4181-A5F8-8651D4778D27}"/>
    <cellStyle name="Normal 4 4 3 4 2 4" xfId="12428" xr:uid="{92F1C059-52A2-4A02-976A-C5400B81017D}"/>
    <cellStyle name="Normal 4 4 3 4 2 5" xfId="29322" xr:uid="{E4414B84-4374-4A9E-A711-BBCFBD0115A9}"/>
    <cellStyle name="Normal 4 4 3 4 3" xfId="5174" xr:uid="{00000000-0005-0000-0000-0000A4150000}"/>
    <cellStyle name="Normal 4 4 3 4 3 2" xfId="22947" xr:uid="{9C4F4275-F3EC-4450-9DAE-4927CD1ABB17}"/>
    <cellStyle name="Normal 4 4 3 4 3 2 2" xfId="39841" xr:uid="{F76A53A6-6CCB-444A-85B8-8D176A25FDCA}"/>
    <cellStyle name="Normal 4 4 3 4 3 3" xfId="14500" xr:uid="{238C83B9-9BF0-4270-ACF3-05D9A7B47D11}"/>
    <cellStyle name="Normal 4 4 3 4 3 4" xfId="31394" xr:uid="{972AC109-9034-4CE0-9A1E-586581F7AF51}"/>
    <cellStyle name="Normal 4 4 3 4 4" xfId="9248" xr:uid="{6C5F877B-48E6-47C2-B849-E53F373D5A86}"/>
    <cellStyle name="Normal 4 4 3 4 4 2" xfId="18730" xr:uid="{D9C762C9-8768-4072-97A1-567CC1017530}"/>
    <cellStyle name="Normal 4 4 3 4 4 3" xfId="35624" xr:uid="{72A4E200-6EC7-4B1F-9452-681EAF09665C}"/>
    <cellStyle name="Normal 4 4 3 4 5" xfId="10283" xr:uid="{D77D45E4-94D7-4DC3-B49E-A64B7F494BC4}"/>
    <cellStyle name="Normal 4 4 3 4 6" xfId="27177" xr:uid="{9323DB6D-64EA-4713-9B72-9B653B5F1708}"/>
    <cellStyle name="Normal 4 4 3 5" xfId="1280" xr:uid="{00000000-0005-0000-0000-0000A5150000}"/>
    <cellStyle name="Normal 4 4 3 5 2" xfId="3510" xr:uid="{00000000-0005-0000-0000-0000A6150000}"/>
    <cellStyle name="Normal 4 4 3 5 2 2" xfId="7732" xr:uid="{00000000-0005-0000-0000-0000A7150000}"/>
    <cellStyle name="Normal 4 4 3 5 2 2 2" xfId="25505" xr:uid="{3F220437-0D7B-4EA6-8D0D-C338DC0D8A3B}"/>
    <cellStyle name="Normal 4 4 3 5 2 2 2 2" xfId="42399" xr:uid="{3EA4595B-6E82-4100-A2E9-95F95858AE4D}"/>
    <cellStyle name="Normal 4 4 3 5 2 2 3" xfId="17058" xr:uid="{EFFBF59B-8DD8-487D-9E84-903B849AB417}"/>
    <cellStyle name="Normal 4 4 3 5 2 2 4" xfId="33952" xr:uid="{8D841DE6-98EC-46DD-ACD0-940CD233402F}"/>
    <cellStyle name="Normal 4 4 3 5 2 3" xfId="21288" xr:uid="{54A12946-F1D5-4343-86CE-530CDE08F31B}"/>
    <cellStyle name="Normal 4 4 3 5 2 3 2" xfId="38182" xr:uid="{708704BC-5D7A-404D-8318-6CB18D87FF35}"/>
    <cellStyle name="Normal 4 4 3 5 2 4" xfId="12841" xr:uid="{3DB55080-8EAE-4345-A1E2-A30FAD747098}"/>
    <cellStyle name="Normal 4 4 3 5 2 5" xfId="29735" xr:uid="{05613C79-256E-4EB6-A812-364FC946A75F}"/>
    <cellStyle name="Normal 4 4 3 5 3" xfId="5587" xr:uid="{00000000-0005-0000-0000-0000A8150000}"/>
    <cellStyle name="Normal 4 4 3 5 3 2" xfId="23360" xr:uid="{45C65553-95EC-41A5-9F4F-CCCA00C5F10F}"/>
    <cellStyle name="Normal 4 4 3 5 3 2 2" xfId="40254" xr:uid="{31B988DD-C537-44D2-80F7-E82F59A5B074}"/>
    <cellStyle name="Normal 4 4 3 5 3 3" xfId="14913" xr:uid="{F17902B5-DC08-4B88-928A-CA771F46F62B}"/>
    <cellStyle name="Normal 4 4 3 5 3 4" xfId="31807" xr:uid="{876A46EC-FEDE-4A9E-B160-AC8864D5110E}"/>
    <cellStyle name="Normal 4 4 3 5 4" xfId="19143" xr:uid="{2AC0739C-8D79-4A8E-9AD3-76E6F87FF6BD}"/>
    <cellStyle name="Normal 4 4 3 5 4 2" xfId="36037" xr:uid="{3F3F7A3A-90C4-4884-842D-8D30354A1DB9}"/>
    <cellStyle name="Normal 4 4 3 5 5" xfId="10696" xr:uid="{7D5557B6-3BF3-456A-9110-5B95AA2D391D}"/>
    <cellStyle name="Normal 4 4 3 5 6" xfId="27590" xr:uid="{6104331B-B459-4553-AE2C-3309D275217C}"/>
    <cellStyle name="Normal 4 4 3 6" xfId="1693" xr:uid="{00000000-0005-0000-0000-0000A9150000}"/>
    <cellStyle name="Normal 4 4 3 6 2" xfId="3923" xr:uid="{00000000-0005-0000-0000-0000AA150000}"/>
    <cellStyle name="Normal 4 4 3 6 2 2" xfId="8145" xr:uid="{00000000-0005-0000-0000-0000AB150000}"/>
    <cellStyle name="Normal 4 4 3 6 2 2 2" xfId="25918" xr:uid="{1B639B5F-710F-47D9-841C-C320EE52C903}"/>
    <cellStyle name="Normal 4 4 3 6 2 2 2 2" xfId="42812" xr:uid="{D6AEA7C4-6C20-4EAE-8200-6D3A929E2397}"/>
    <cellStyle name="Normal 4 4 3 6 2 2 3" xfId="17471" xr:uid="{1F7DA625-2626-4551-9C28-FC76610D7626}"/>
    <cellStyle name="Normal 4 4 3 6 2 2 4" xfId="34365" xr:uid="{6926746A-416A-44CB-A2DE-119D6F21C3A8}"/>
    <cellStyle name="Normal 4 4 3 6 2 3" xfId="21701" xr:uid="{01EAE741-327E-461E-9766-8C268B6B209D}"/>
    <cellStyle name="Normal 4 4 3 6 2 3 2" xfId="38595" xr:uid="{C1C69DFE-6020-469E-9365-DE9412AE420A}"/>
    <cellStyle name="Normal 4 4 3 6 2 4" xfId="13254" xr:uid="{F6D9764B-5984-440B-AEEA-D48B8744D755}"/>
    <cellStyle name="Normal 4 4 3 6 2 5" xfId="30148" xr:uid="{074AB753-D849-41C6-B440-1C92938B17B3}"/>
    <cellStyle name="Normal 4 4 3 6 3" xfId="6000" xr:uid="{00000000-0005-0000-0000-0000AC150000}"/>
    <cellStyle name="Normal 4 4 3 6 3 2" xfId="23773" xr:uid="{04285022-8813-46D6-B38C-6A0B82376FC1}"/>
    <cellStyle name="Normal 4 4 3 6 3 2 2" xfId="40667" xr:uid="{F7700FF7-1B3A-49D8-B9AE-7CC4E6F06376}"/>
    <cellStyle name="Normal 4 4 3 6 3 3" xfId="15326" xr:uid="{F03D1039-C332-4405-BC3F-9418915903E2}"/>
    <cellStyle name="Normal 4 4 3 6 3 4" xfId="32220" xr:uid="{20D1D755-F0C6-4A52-8A2A-D4AE3D3B0B8E}"/>
    <cellStyle name="Normal 4 4 3 6 4" xfId="19556" xr:uid="{F306A5CD-16E7-44F4-BCB5-07B072A96698}"/>
    <cellStyle name="Normal 4 4 3 6 4 2" xfId="36450" xr:uid="{A680FD63-C755-49A8-824F-E3B0E670A539}"/>
    <cellStyle name="Normal 4 4 3 6 5" xfId="11109" xr:uid="{59516D55-5121-401E-BB79-8EC75F9D9590}"/>
    <cellStyle name="Normal 4 4 3 6 6" xfId="28003" xr:uid="{257B1930-D2EF-485C-9545-00599CC760A4}"/>
    <cellStyle name="Normal 4 4 3 7" xfId="2107" xr:uid="{00000000-0005-0000-0000-0000AD150000}"/>
    <cellStyle name="Normal 4 4 3 7 2" xfId="4336" xr:uid="{00000000-0005-0000-0000-0000AE150000}"/>
    <cellStyle name="Normal 4 4 3 7 2 2" xfId="8558" xr:uid="{00000000-0005-0000-0000-0000AF150000}"/>
    <cellStyle name="Normal 4 4 3 7 2 2 2" xfId="26331" xr:uid="{2E4D4A43-4C2B-49DD-8408-5502B339CCC3}"/>
    <cellStyle name="Normal 4 4 3 7 2 2 2 2" xfId="43225" xr:uid="{D3C88B0E-5569-4BC3-B290-772BE99F7965}"/>
    <cellStyle name="Normal 4 4 3 7 2 2 3" xfId="17884" xr:uid="{52A02A2A-4D8D-4CDE-8685-803F401BD6CD}"/>
    <cellStyle name="Normal 4 4 3 7 2 2 4" xfId="34778" xr:uid="{A2D6BF1F-1B78-4BC7-B336-E34347E6F24C}"/>
    <cellStyle name="Normal 4 4 3 7 2 3" xfId="22114" xr:uid="{E308E1E6-420E-46B3-90A5-E5014EB18229}"/>
    <cellStyle name="Normal 4 4 3 7 2 3 2" xfId="39008" xr:uid="{A0A4721E-B224-4D2E-A225-606AF794074D}"/>
    <cellStyle name="Normal 4 4 3 7 2 4" xfId="13667" xr:uid="{2C0FA336-E047-4A75-BE9A-96FC44343A45}"/>
    <cellStyle name="Normal 4 4 3 7 2 5" xfId="30561" xr:uid="{DFAAEE81-639E-4307-A0FF-49D693037F4B}"/>
    <cellStyle name="Normal 4 4 3 7 3" xfId="6413" xr:uid="{00000000-0005-0000-0000-0000B0150000}"/>
    <cellStyle name="Normal 4 4 3 7 3 2" xfId="24186" xr:uid="{9CFF3843-04A4-43CA-A0EB-55D5328C6F6F}"/>
    <cellStyle name="Normal 4 4 3 7 3 2 2" xfId="41080" xr:uid="{82C6D361-C97E-423E-A7F1-CE91F919D824}"/>
    <cellStyle name="Normal 4 4 3 7 3 3" xfId="15739" xr:uid="{04F7B31E-3766-4B2D-AA48-5E84C0AB2DA1}"/>
    <cellStyle name="Normal 4 4 3 7 3 4" xfId="32633" xr:uid="{B75E737A-1B74-40C2-9DF7-BD688CFDC2B6}"/>
    <cellStyle name="Normal 4 4 3 7 4" xfId="19969" xr:uid="{5B337CD5-71ED-4BEB-AD00-9C4FFBB1D46E}"/>
    <cellStyle name="Normal 4 4 3 7 4 2" xfId="36863" xr:uid="{584E7422-387C-4E98-8E53-1F994E2484FB}"/>
    <cellStyle name="Normal 4 4 3 7 5" xfId="11522" xr:uid="{616E5B7B-BFEB-4B7A-94F1-4CD564BD85A2}"/>
    <cellStyle name="Normal 4 4 3 7 6" xfId="28416" xr:uid="{BBF975A3-63A4-48FC-8F3D-BF8DE1243A53}"/>
    <cellStyle name="Normal 4 4 3 8" xfId="2543" xr:uid="{00000000-0005-0000-0000-0000B1150000}"/>
    <cellStyle name="Normal 4 4 3 8 2" xfId="6826" xr:uid="{00000000-0005-0000-0000-0000B2150000}"/>
    <cellStyle name="Normal 4 4 3 8 2 2" xfId="24599" xr:uid="{963F8BB9-CFD3-4D36-A0D1-C12D43B6D7CD}"/>
    <cellStyle name="Normal 4 4 3 8 2 2 2" xfId="41493" xr:uid="{7185569A-135E-4C1E-9238-0C93B00E3DA6}"/>
    <cellStyle name="Normal 4 4 3 8 2 3" xfId="16152" xr:uid="{241DE88C-9E4C-4BBC-902E-9500E8A9AEBF}"/>
    <cellStyle name="Normal 4 4 3 8 2 4" xfId="33046" xr:uid="{CA2B0213-9502-4E5B-9B7F-B4DFDF9F2902}"/>
    <cellStyle name="Normal 4 4 3 8 3" xfId="20382" xr:uid="{92C44237-DB74-4207-AD5C-B6732E246B83}"/>
    <cellStyle name="Normal 4 4 3 8 3 2" xfId="37276" xr:uid="{909AE024-60B5-4A70-9182-D7DAD993F3FE}"/>
    <cellStyle name="Normal 4 4 3 8 4" xfId="11935" xr:uid="{0E705F05-C55A-4B8A-A2CF-71F4A283AC1E}"/>
    <cellStyle name="Normal 4 4 3 8 5" xfId="28829" xr:uid="{A08F24A1-4DC8-4801-93BC-B0F349E1E94C}"/>
    <cellStyle name="Normal 4 4 3 9" xfId="4761" xr:uid="{00000000-0005-0000-0000-0000B3150000}"/>
    <cellStyle name="Normal 4 4 3 9 2" xfId="22534" xr:uid="{D22654B4-89A6-4DD5-BA7B-28D858BFADB4}"/>
    <cellStyle name="Normal 4 4 3 9 2 2" xfId="39428" xr:uid="{A2DCDA6F-CBBA-4A9D-BC4F-A178205CD62F}"/>
    <cellStyle name="Normal 4 4 3 9 3" xfId="14087" xr:uid="{C49F588E-5514-456A-8DE4-687582A54CC3}"/>
    <cellStyle name="Normal 4 4 3 9 4" xfId="30981" xr:uid="{44D68104-2BD2-4D24-A56C-C3BC41B33625}"/>
    <cellStyle name="Normal 4 4 4" xfId="391" xr:uid="{00000000-0005-0000-0000-0000B4150000}"/>
    <cellStyle name="Normal 4 4 4 10" xfId="9874" xr:uid="{953EE047-F011-412F-B14A-622E2CE1BB1D}"/>
    <cellStyle name="Normal 4 4 4 11" xfId="26768" xr:uid="{58BDAD65-5BFC-42C5-8920-A8BF290ACD17}"/>
    <cellStyle name="Normal 4 4 4 2" xfId="392" xr:uid="{00000000-0005-0000-0000-0000B5150000}"/>
    <cellStyle name="Normal 4 4 4 2 10" xfId="26769" xr:uid="{995362C9-0CB3-4845-8982-AC53039E1CF3}"/>
    <cellStyle name="Normal 4 4 4 2 2" xfId="867" xr:uid="{00000000-0005-0000-0000-0000B6150000}"/>
    <cellStyle name="Normal 4 4 4 2 2 2" xfId="3102" xr:uid="{00000000-0005-0000-0000-0000B7150000}"/>
    <cellStyle name="Normal 4 4 4 2 2 2 2" xfId="7324" xr:uid="{00000000-0005-0000-0000-0000B8150000}"/>
    <cellStyle name="Normal 4 4 4 2 2 2 2 2" xfId="25097" xr:uid="{1C379986-4267-4A56-A735-9BC50B5C15A4}"/>
    <cellStyle name="Normal 4 4 4 2 2 2 2 2 2" xfId="41991" xr:uid="{BF3A436E-0020-4D66-A849-EE319009912D}"/>
    <cellStyle name="Normal 4 4 4 2 2 2 2 3" xfId="16650" xr:uid="{3D84A837-495B-4F30-9773-52D0BFEFFC5F}"/>
    <cellStyle name="Normal 4 4 4 2 2 2 2 4" xfId="33544" xr:uid="{C489A071-B0F4-46CA-9FFE-788A80A00FC2}"/>
    <cellStyle name="Normal 4 4 4 2 2 2 3" xfId="20880" xr:uid="{5D235B98-7AEC-431B-BB80-E1D06FAF3492}"/>
    <cellStyle name="Normal 4 4 4 2 2 2 3 2" xfId="37774" xr:uid="{2473F3E8-4905-4581-966B-6C2E7AA4C083}"/>
    <cellStyle name="Normal 4 4 4 2 2 2 4" xfId="12433" xr:uid="{CA098091-A807-4A8C-86F3-1EC32DA59DA2}"/>
    <cellStyle name="Normal 4 4 4 2 2 2 5" xfId="29327" xr:uid="{8E8A8A2B-2458-4DF0-B784-F5A8E7156573}"/>
    <cellStyle name="Normal 4 4 4 2 2 3" xfId="5179" xr:uid="{00000000-0005-0000-0000-0000B9150000}"/>
    <cellStyle name="Normal 4 4 4 2 2 3 2" xfId="22952" xr:uid="{451F965D-5B6D-4E8F-9057-383D32EA8BB0}"/>
    <cellStyle name="Normal 4 4 4 2 2 3 2 2" xfId="39846" xr:uid="{8D7B5772-8796-4DEB-927E-B7EEEF02BC7B}"/>
    <cellStyle name="Normal 4 4 4 2 2 3 3" xfId="14505" xr:uid="{C996B647-6CAB-4030-B012-E20CE417B28E}"/>
    <cellStyle name="Normal 4 4 4 2 2 3 4" xfId="31399" xr:uid="{477784CE-8322-49E2-8266-D78AD110A18C}"/>
    <cellStyle name="Normal 4 4 4 2 2 4" xfId="9484" xr:uid="{69910E0C-08C8-41C5-A6FC-61B52F6CD538}"/>
    <cellStyle name="Normal 4 4 4 2 2 4 2" xfId="18735" xr:uid="{709C634F-7FB8-43F1-BC05-25D5D636D3B3}"/>
    <cellStyle name="Normal 4 4 4 2 2 4 3" xfId="35629" xr:uid="{EFE6BC1B-2971-4910-9DD4-F82F7FEB88DB}"/>
    <cellStyle name="Normal 4 4 4 2 2 5" xfId="10288" xr:uid="{5AF11927-7F71-4E32-BB54-FB86BC3973E9}"/>
    <cellStyle name="Normal 4 4 4 2 2 6" xfId="27182" xr:uid="{C831CC1C-D4CE-4A50-A3B2-12EF2953AF30}"/>
    <cellStyle name="Normal 4 4 4 2 3" xfId="1285" xr:uid="{00000000-0005-0000-0000-0000BA150000}"/>
    <cellStyle name="Normal 4 4 4 2 3 2" xfId="3515" xr:uid="{00000000-0005-0000-0000-0000BB150000}"/>
    <cellStyle name="Normal 4 4 4 2 3 2 2" xfId="7737" xr:uid="{00000000-0005-0000-0000-0000BC150000}"/>
    <cellStyle name="Normal 4 4 4 2 3 2 2 2" xfId="25510" xr:uid="{7301AA68-34F7-41B2-9C2B-DAADD54CFD2E}"/>
    <cellStyle name="Normal 4 4 4 2 3 2 2 2 2" xfId="42404" xr:uid="{CD363548-5628-4ADB-AE30-19C1C3B6B96B}"/>
    <cellStyle name="Normal 4 4 4 2 3 2 2 3" xfId="17063" xr:uid="{9BE256F0-5BAA-4B02-989A-E8E6D6B5184A}"/>
    <cellStyle name="Normal 4 4 4 2 3 2 2 4" xfId="33957" xr:uid="{35C3F812-0A03-456C-BAA4-1D878FEF337E}"/>
    <cellStyle name="Normal 4 4 4 2 3 2 3" xfId="21293" xr:uid="{630B1D4E-CBF6-4791-8551-F184C3A2527B}"/>
    <cellStyle name="Normal 4 4 4 2 3 2 3 2" xfId="38187" xr:uid="{727E7689-1D5A-4B9D-B965-CCD4CBDFD968}"/>
    <cellStyle name="Normal 4 4 4 2 3 2 4" xfId="12846" xr:uid="{874568C7-1FF4-43DB-965E-A8ABE426DC3E}"/>
    <cellStyle name="Normal 4 4 4 2 3 2 5" xfId="29740" xr:uid="{26D86397-1EF6-4284-930E-61D71E5BCD97}"/>
    <cellStyle name="Normal 4 4 4 2 3 3" xfId="5592" xr:uid="{00000000-0005-0000-0000-0000BD150000}"/>
    <cellStyle name="Normal 4 4 4 2 3 3 2" xfId="23365" xr:uid="{FD7DE58A-555F-40BD-96F1-50C4639A178D}"/>
    <cellStyle name="Normal 4 4 4 2 3 3 2 2" xfId="40259" xr:uid="{6646BD8E-565B-4660-8C3D-ED58C200E6B3}"/>
    <cellStyle name="Normal 4 4 4 2 3 3 3" xfId="14918" xr:uid="{491F4B4E-E572-44D0-9CD0-50154EE6CDE5}"/>
    <cellStyle name="Normal 4 4 4 2 3 3 4" xfId="31812" xr:uid="{6EC78C50-D80B-4F29-A0F0-FE24C48245A7}"/>
    <cellStyle name="Normal 4 4 4 2 3 4" xfId="19148" xr:uid="{254C2B35-75FB-41A7-9F19-C453B954715C}"/>
    <cellStyle name="Normal 4 4 4 2 3 4 2" xfId="36042" xr:uid="{2C893084-5183-4510-8AF6-5875430EFA64}"/>
    <cellStyle name="Normal 4 4 4 2 3 5" xfId="10701" xr:uid="{5BF1EB01-7157-4EFB-9683-FEFDBFC46CC5}"/>
    <cellStyle name="Normal 4 4 4 2 3 6" xfId="27595" xr:uid="{29BA0D52-8118-4F60-B120-4E7B44E15064}"/>
    <cellStyle name="Normal 4 4 4 2 4" xfId="1698" xr:uid="{00000000-0005-0000-0000-0000BE150000}"/>
    <cellStyle name="Normal 4 4 4 2 4 2" xfId="3928" xr:uid="{00000000-0005-0000-0000-0000BF150000}"/>
    <cellStyle name="Normal 4 4 4 2 4 2 2" xfId="8150" xr:uid="{00000000-0005-0000-0000-0000C0150000}"/>
    <cellStyle name="Normal 4 4 4 2 4 2 2 2" xfId="25923" xr:uid="{9BAF61AC-5659-4321-A5F6-CC4E2437CEF1}"/>
    <cellStyle name="Normal 4 4 4 2 4 2 2 2 2" xfId="42817" xr:uid="{CF36BE52-80D7-4368-9E66-7D88E35A1456}"/>
    <cellStyle name="Normal 4 4 4 2 4 2 2 3" xfId="17476" xr:uid="{19A48531-A037-4017-BE23-8FB5E42EA91D}"/>
    <cellStyle name="Normal 4 4 4 2 4 2 2 4" xfId="34370" xr:uid="{C9C90A58-8F63-4496-BD8E-39CD8C75B8BF}"/>
    <cellStyle name="Normal 4 4 4 2 4 2 3" xfId="21706" xr:uid="{706A58CA-460B-4226-9DA0-19FD673571AC}"/>
    <cellStyle name="Normal 4 4 4 2 4 2 3 2" xfId="38600" xr:uid="{203D0ECF-C84A-40A6-9C9D-7355557D72E2}"/>
    <cellStyle name="Normal 4 4 4 2 4 2 4" xfId="13259" xr:uid="{EDDA4450-3D43-4613-B85E-83DD1C046E45}"/>
    <cellStyle name="Normal 4 4 4 2 4 2 5" xfId="30153" xr:uid="{66C7D5AF-4629-4666-8637-093FACE27183}"/>
    <cellStyle name="Normal 4 4 4 2 4 3" xfId="6005" xr:uid="{00000000-0005-0000-0000-0000C1150000}"/>
    <cellStyle name="Normal 4 4 4 2 4 3 2" xfId="23778" xr:uid="{D77D7F6B-CB65-4633-8956-98D2F5388D05}"/>
    <cellStyle name="Normal 4 4 4 2 4 3 2 2" xfId="40672" xr:uid="{21AEB388-63CA-4BC4-8E4B-E1BB370FA87C}"/>
    <cellStyle name="Normal 4 4 4 2 4 3 3" xfId="15331" xr:uid="{7A68EE35-268E-4DB9-BAD1-236C79D45747}"/>
    <cellStyle name="Normal 4 4 4 2 4 3 4" xfId="32225" xr:uid="{0D0547C6-EE4B-4C1E-8C0C-A775F276E27F}"/>
    <cellStyle name="Normal 4 4 4 2 4 4" xfId="19561" xr:uid="{20D13AF3-3E96-4CFE-96C2-6C4169226A07}"/>
    <cellStyle name="Normal 4 4 4 2 4 4 2" xfId="36455" xr:uid="{0FBB685F-1DAC-4D83-B966-1B29451F7641}"/>
    <cellStyle name="Normal 4 4 4 2 4 5" xfId="11114" xr:uid="{26BF1EAF-8D12-45D5-A2CB-6C47E0574ACD}"/>
    <cellStyle name="Normal 4 4 4 2 4 6" xfId="28008" xr:uid="{6C4762BB-7D5D-4282-ADFF-CA84B648C463}"/>
    <cellStyle name="Normal 4 4 4 2 5" xfId="2112" xr:uid="{00000000-0005-0000-0000-0000C2150000}"/>
    <cellStyle name="Normal 4 4 4 2 5 2" xfId="4341" xr:uid="{00000000-0005-0000-0000-0000C3150000}"/>
    <cellStyle name="Normal 4 4 4 2 5 2 2" xfId="8563" xr:uid="{00000000-0005-0000-0000-0000C4150000}"/>
    <cellStyle name="Normal 4 4 4 2 5 2 2 2" xfId="26336" xr:uid="{DE6C5848-4C8C-40C4-95B2-F563188EFFA6}"/>
    <cellStyle name="Normal 4 4 4 2 5 2 2 2 2" xfId="43230" xr:uid="{48688FB1-D4F1-41F9-AF52-31581A0C790F}"/>
    <cellStyle name="Normal 4 4 4 2 5 2 2 3" xfId="17889" xr:uid="{8EDBF310-4839-4096-87CF-FF5D23035063}"/>
    <cellStyle name="Normal 4 4 4 2 5 2 2 4" xfId="34783" xr:uid="{E20654F7-CF62-49B3-B615-D66EEA8A82C3}"/>
    <cellStyle name="Normal 4 4 4 2 5 2 3" xfId="22119" xr:uid="{33576196-C26E-4621-B26D-FD146E1208CD}"/>
    <cellStyle name="Normal 4 4 4 2 5 2 3 2" xfId="39013" xr:uid="{4AA773CB-874B-441B-81CF-EFCBC198D8CC}"/>
    <cellStyle name="Normal 4 4 4 2 5 2 4" xfId="13672" xr:uid="{5F9C9D66-DFF4-46A9-A261-D3DE2FA2F6F3}"/>
    <cellStyle name="Normal 4 4 4 2 5 2 5" xfId="30566" xr:uid="{B40DAE74-A9D8-4865-8344-1ED5E4E249F4}"/>
    <cellStyle name="Normal 4 4 4 2 5 3" xfId="6418" xr:uid="{00000000-0005-0000-0000-0000C5150000}"/>
    <cellStyle name="Normal 4 4 4 2 5 3 2" xfId="24191" xr:uid="{AE2DCB47-05F5-4F91-BC37-B94FCF1042C0}"/>
    <cellStyle name="Normal 4 4 4 2 5 3 2 2" xfId="41085" xr:uid="{030C7C62-D47F-4081-A2F3-1A87705BFAD7}"/>
    <cellStyle name="Normal 4 4 4 2 5 3 3" xfId="15744" xr:uid="{2B4FF416-67AD-4A4D-A24F-9506A7BB43D7}"/>
    <cellStyle name="Normal 4 4 4 2 5 3 4" xfId="32638" xr:uid="{2F1313B8-0C64-40D7-AA80-AF5A65CB93BB}"/>
    <cellStyle name="Normal 4 4 4 2 5 4" xfId="19974" xr:uid="{C68C439C-AE58-43A8-9F12-5D13892BD23D}"/>
    <cellStyle name="Normal 4 4 4 2 5 4 2" xfId="36868" xr:uid="{D47BAC13-0F33-4C4D-8917-D925E4691681}"/>
    <cellStyle name="Normal 4 4 4 2 5 5" xfId="11527" xr:uid="{AFD8261A-B3BC-488C-8072-1A74C7BBC8D6}"/>
    <cellStyle name="Normal 4 4 4 2 5 6" xfId="28421" xr:uid="{8777AB53-C8CE-4EBB-B271-3BB9DCDD1D3E}"/>
    <cellStyle name="Normal 4 4 4 2 6" xfId="2548" xr:uid="{00000000-0005-0000-0000-0000C6150000}"/>
    <cellStyle name="Normal 4 4 4 2 6 2" xfId="6831" xr:uid="{00000000-0005-0000-0000-0000C7150000}"/>
    <cellStyle name="Normal 4 4 4 2 6 2 2" xfId="24604" xr:uid="{3D086409-FAA4-44DE-86A6-C809863F4BC5}"/>
    <cellStyle name="Normal 4 4 4 2 6 2 2 2" xfId="41498" xr:uid="{F658863C-7B66-4E13-BC9A-C77B9891F65B}"/>
    <cellStyle name="Normal 4 4 4 2 6 2 3" xfId="16157" xr:uid="{B523AE5B-31E4-4BEC-BAF3-696AC46453A2}"/>
    <cellStyle name="Normal 4 4 4 2 6 2 4" xfId="33051" xr:uid="{2B0A307E-2AEE-40D2-9C72-2243ABE5AE82}"/>
    <cellStyle name="Normal 4 4 4 2 6 3" xfId="20387" xr:uid="{43B2E2C7-D81A-4063-AFF0-022EEC434480}"/>
    <cellStyle name="Normal 4 4 4 2 6 3 2" xfId="37281" xr:uid="{7E6ABA1A-3964-49B0-9450-2D92D522D1D0}"/>
    <cellStyle name="Normal 4 4 4 2 6 4" xfId="11940" xr:uid="{20A4FEE3-C20E-475D-B901-F6610565EB95}"/>
    <cellStyle name="Normal 4 4 4 2 6 5" xfId="28834" xr:uid="{6BE982CD-18B7-4B88-AE06-18B0E4751F32}"/>
    <cellStyle name="Normal 4 4 4 2 7" xfId="4766" xr:uid="{00000000-0005-0000-0000-0000C8150000}"/>
    <cellStyle name="Normal 4 4 4 2 7 2" xfId="22539" xr:uid="{DB2E0E2F-E70B-4C7D-AD93-F6F0BE1FBA5B}"/>
    <cellStyle name="Normal 4 4 4 2 7 2 2" xfId="39433" xr:uid="{C194687A-5056-4B24-AB6B-64A3173C6EE6}"/>
    <cellStyle name="Normal 4 4 4 2 7 3" xfId="14092" xr:uid="{A4906308-C198-467B-984E-6D5B41298046}"/>
    <cellStyle name="Normal 4 4 4 2 7 4" xfId="30986" xr:uid="{1D736506-B0A3-478C-93C3-226F6EE1A1BC}"/>
    <cellStyle name="Normal 4 4 4 2 8" xfId="9059" xr:uid="{76617FCA-DBA6-4291-BD32-6340A19903F7}"/>
    <cellStyle name="Normal 4 4 4 2 8 2" xfId="18322" xr:uid="{8F128B90-0954-4174-B79C-E75352EF2A8D}"/>
    <cellStyle name="Normal 4 4 4 2 8 3" xfId="35216" xr:uid="{8ED42A64-145E-4F34-A222-6735EA63E419}"/>
    <cellStyle name="Normal 4 4 4 2 9" xfId="9875" xr:uid="{1609C8FE-28A4-438D-8C0A-BABFFFEA8607}"/>
    <cellStyle name="Normal 4 4 4 3" xfId="866" xr:uid="{00000000-0005-0000-0000-0000C9150000}"/>
    <cellStyle name="Normal 4 4 4 3 2" xfId="3101" xr:uid="{00000000-0005-0000-0000-0000CA150000}"/>
    <cellStyle name="Normal 4 4 4 3 2 2" xfId="7323" xr:uid="{00000000-0005-0000-0000-0000CB150000}"/>
    <cellStyle name="Normal 4 4 4 3 2 2 2" xfId="25096" xr:uid="{71F18814-B6FB-4245-86F0-34A65E60C25F}"/>
    <cellStyle name="Normal 4 4 4 3 2 2 2 2" xfId="41990" xr:uid="{B8C44675-1FC1-4BD6-B275-8059902A416C}"/>
    <cellStyle name="Normal 4 4 4 3 2 2 3" xfId="16649" xr:uid="{0250A160-0785-4ABA-B097-0530B13EA215}"/>
    <cellStyle name="Normal 4 4 4 3 2 2 4" xfId="33543" xr:uid="{A9890C58-58C3-4138-B3BA-B83B0855FEAC}"/>
    <cellStyle name="Normal 4 4 4 3 2 3" xfId="20879" xr:uid="{73B585DC-4E68-4368-B71C-C2E219D2138F}"/>
    <cellStyle name="Normal 4 4 4 3 2 3 2" xfId="37773" xr:uid="{EFFF3B7C-EC12-41C2-92D9-90CAD06B36BF}"/>
    <cellStyle name="Normal 4 4 4 3 2 4" xfId="12432" xr:uid="{EE015E99-DF3D-45CE-90D2-4DF4C3B9E006}"/>
    <cellStyle name="Normal 4 4 4 3 2 5" xfId="29326" xr:uid="{C0B78ED2-92D5-45D7-9ECF-A5DA1F769B95}"/>
    <cellStyle name="Normal 4 4 4 3 3" xfId="5178" xr:uid="{00000000-0005-0000-0000-0000CC150000}"/>
    <cellStyle name="Normal 4 4 4 3 3 2" xfId="22951" xr:uid="{3C4EBAAC-3663-4623-B6A5-7F095A95FA66}"/>
    <cellStyle name="Normal 4 4 4 3 3 2 2" xfId="39845" xr:uid="{4D175FE6-6199-44EE-B51B-39A4EB5EC2BF}"/>
    <cellStyle name="Normal 4 4 4 3 3 3" xfId="14504" xr:uid="{0A4F34DA-5204-4D66-9A07-1902F9FF9509}"/>
    <cellStyle name="Normal 4 4 4 3 3 4" xfId="31398" xr:uid="{438A256E-62B5-4E0C-8ECD-D77DB4806EE4}"/>
    <cellStyle name="Normal 4 4 4 3 4" xfId="9277" xr:uid="{DD01CD29-2559-4BCC-919C-99D1D75C445F}"/>
    <cellStyle name="Normal 4 4 4 3 4 2" xfId="18734" xr:uid="{18496054-9B16-4F49-B0B4-EBA96F04D01E}"/>
    <cellStyle name="Normal 4 4 4 3 4 3" xfId="35628" xr:uid="{2DA2046F-1B94-44A9-8ACE-B74ACA6C1575}"/>
    <cellStyle name="Normal 4 4 4 3 5" xfId="10287" xr:uid="{D85B6005-EE9C-4C76-BC49-E9F0F080BD36}"/>
    <cellStyle name="Normal 4 4 4 3 6" xfId="27181" xr:uid="{D14B6226-AE5D-47C7-A284-473804206628}"/>
    <cellStyle name="Normal 4 4 4 4" xfId="1284" xr:uid="{00000000-0005-0000-0000-0000CD150000}"/>
    <cellStyle name="Normal 4 4 4 4 2" xfId="3514" xr:uid="{00000000-0005-0000-0000-0000CE150000}"/>
    <cellStyle name="Normal 4 4 4 4 2 2" xfId="7736" xr:uid="{00000000-0005-0000-0000-0000CF150000}"/>
    <cellStyle name="Normal 4 4 4 4 2 2 2" xfId="25509" xr:uid="{94482687-70A3-4F7A-93D7-EA3288E98930}"/>
    <cellStyle name="Normal 4 4 4 4 2 2 2 2" xfId="42403" xr:uid="{AAF84523-154C-4115-B431-653A9EB133FC}"/>
    <cellStyle name="Normal 4 4 4 4 2 2 3" xfId="17062" xr:uid="{761F8872-9D6C-4E08-AFB5-C60AF14CB3D5}"/>
    <cellStyle name="Normal 4 4 4 4 2 2 4" xfId="33956" xr:uid="{D09C93BC-FD64-4F61-87E5-D72D44F9D573}"/>
    <cellStyle name="Normal 4 4 4 4 2 3" xfId="21292" xr:uid="{01BFAE36-0008-4251-93DB-DA562369C91E}"/>
    <cellStyle name="Normal 4 4 4 4 2 3 2" xfId="38186" xr:uid="{FEC5432E-B496-44AD-941E-DD75F62B3212}"/>
    <cellStyle name="Normal 4 4 4 4 2 4" xfId="12845" xr:uid="{CA8970AF-94CD-4683-A767-DC9BA0474843}"/>
    <cellStyle name="Normal 4 4 4 4 2 5" xfId="29739" xr:uid="{A31E8CCB-6DE9-481C-8EA5-EE528D05EDED}"/>
    <cellStyle name="Normal 4 4 4 4 3" xfId="5591" xr:uid="{00000000-0005-0000-0000-0000D0150000}"/>
    <cellStyle name="Normal 4 4 4 4 3 2" xfId="23364" xr:uid="{CD88AC12-6049-4C06-8CE1-0210E521D4D9}"/>
    <cellStyle name="Normal 4 4 4 4 3 2 2" xfId="40258" xr:uid="{A164580B-4811-40E1-BC07-F08DD61222B7}"/>
    <cellStyle name="Normal 4 4 4 4 3 3" xfId="14917" xr:uid="{C13E3FD1-51CD-4994-961C-16443935EA18}"/>
    <cellStyle name="Normal 4 4 4 4 3 4" xfId="31811" xr:uid="{09C3FB72-AE7B-4E9C-897A-C165EAA294DE}"/>
    <cellStyle name="Normal 4 4 4 4 4" xfId="19147" xr:uid="{3ABED092-B73C-4368-8C2A-E3E35E50F12A}"/>
    <cellStyle name="Normal 4 4 4 4 4 2" xfId="36041" xr:uid="{648A0BCE-F88E-41A1-8530-7A0256678630}"/>
    <cellStyle name="Normal 4 4 4 4 5" xfId="10700" xr:uid="{943B58D3-CD05-4397-8732-4B4D93A40C18}"/>
    <cellStyle name="Normal 4 4 4 4 6" xfId="27594" xr:uid="{EB2D0638-2CBD-4331-BF93-1C5101DD2A1B}"/>
    <cellStyle name="Normal 4 4 4 5" xfId="1697" xr:uid="{00000000-0005-0000-0000-0000D1150000}"/>
    <cellStyle name="Normal 4 4 4 5 2" xfId="3927" xr:uid="{00000000-0005-0000-0000-0000D2150000}"/>
    <cellStyle name="Normal 4 4 4 5 2 2" xfId="8149" xr:uid="{00000000-0005-0000-0000-0000D3150000}"/>
    <cellStyle name="Normal 4 4 4 5 2 2 2" xfId="25922" xr:uid="{3BB04CFB-F154-4679-858E-8CFCA05324A3}"/>
    <cellStyle name="Normal 4 4 4 5 2 2 2 2" xfId="42816" xr:uid="{F6BC675A-3658-4858-9C05-47C19757AECF}"/>
    <cellStyle name="Normal 4 4 4 5 2 2 3" xfId="17475" xr:uid="{3647B620-33CF-4A30-8485-BD958A00E637}"/>
    <cellStyle name="Normal 4 4 4 5 2 2 4" xfId="34369" xr:uid="{A1CF9EE5-D836-47D9-BB5B-FC375CAFFEFD}"/>
    <cellStyle name="Normal 4 4 4 5 2 3" xfId="21705" xr:uid="{98401D23-89F8-4712-94C9-6F5D36C99570}"/>
    <cellStyle name="Normal 4 4 4 5 2 3 2" xfId="38599" xr:uid="{06D2BC8D-6D0F-403E-A900-94CB7406B7FE}"/>
    <cellStyle name="Normal 4 4 4 5 2 4" xfId="13258" xr:uid="{4214998D-71E9-4E00-A5F3-0552AED83A7A}"/>
    <cellStyle name="Normal 4 4 4 5 2 5" xfId="30152" xr:uid="{27206A35-44F0-4F44-8646-E89D4FA27177}"/>
    <cellStyle name="Normal 4 4 4 5 3" xfId="6004" xr:uid="{00000000-0005-0000-0000-0000D4150000}"/>
    <cellStyle name="Normal 4 4 4 5 3 2" xfId="23777" xr:uid="{39E134D3-7B57-4CFD-A961-29BDFF5FF838}"/>
    <cellStyle name="Normal 4 4 4 5 3 2 2" xfId="40671" xr:uid="{F8AA19CC-3E0B-4063-AD7F-04B47F42FC4F}"/>
    <cellStyle name="Normal 4 4 4 5 3 3" xfId="15330" xr:uid="{AA052F46-EE60-40EF-B6CC-07DCC5AA06DE}"/>
    <cellStyle name="Normal 4 4 4 5 3 4" xfId="32224" xr:uid="{61A69C1E-C145-4654-901C-B9EA1A52532C}"/>
    <cellStyle name="Normal 4 4 4 5 4" xfId="19560" xr:uid="{7E1DEBEB-2931-4D32-AD3C-A7FCE46FC8F5}"/>
    <cellStyle name="Normal 4 4 4 5 4 2" xfId="36454" xr:uid="{AA821DE0-AE8A-4F2F-83D2-9BBC6CB4EBC5}"/>
    <cellStyle name="Normal 4 4 4 5 5" xfId="11113" xr:uid="{F44AFCFF-EBC9-4280-A477-E18119D05911}"/>
    <cellStyle name="Normal 4 4 4 5 6" xfId="28007" xr:uid="{7FF274B5-0433-45B7-A3DC-C7097F12B3CA}"/>
    <cellStyle name="Normal 4 4 4 6" xfId="2111" xr:uid="{00000000-0005-0000-0000-0000D5150000}"/>
    <cellStyle name="Normal 4 4 4 6 2" xfId="4340" xr:uid="{00000000-0005-0000-0000-0000D6150000}"/>
    <cellStyle name="Normal 4 4 4 6 2 2" xfId="8562" xr:uid="{00000000-0005-0000-0000-0000D7150000}"/>
    <cellStyle name="Normal 4 4 4 6 2 2 2" xfId="26335" xr:uid="{A468E1AF-6CE6-468A-9B90-BC078BCE4E6A}"/>
    <cellStyle name="Normal 4 4 4 6 2 2 2 2" xfId="43229" xr:uid="{ED2A13C4-FE0A-42E9-A721-ABA124FAFF1E}"/>
    <cellStyle name="Normal 4 4 4 6 2 2 3" xfId="17888" xr:uid="{38B1EC0A-CD43-45F1-8D25-E670735329A3}"/>
    <cellStyle name="Normal 4 4 4 6 2 2 4" xfId="34782" xr:uid="{A35486E1-E869-4AA5-A535-7586D61059FB}"/>
    <cellStyle name="Normal 4 4 4 6 2 3" xfId="22118" xr:uid="{E6459805-9102-41EE-9EF9-BA7BD08CFD83}"/>
    <cellStyle name="Normal 4 4 4 6 2 3 2" xfId="39012" xr:uid="{DFD1BD9B-E2F0-4060-9283-23F1E00D8E23}"/>
    <cellStyle name="Normal 4 4 4 6 2 4" xfId="13671" xr:uid="{DAE5DAFF-5E8F-4B01-8090-E653B449E5AB}"/>
    <cellStyle name="Normal 4 4 4 6 2 5" xfId="30565" xr:uid="{84AFE2EA-ED3C-4E79-A62E-0D83EF2EC191}"/>
    <cellStyle name="Normal 4 4 4 6 3" xfId="6417" xr:uid="{00000000-0005-0000-0000-0000D8150000}"/>
    <cellStyle name="Normal 4 4 4 6 3 2" xfId="24190" xr:uid="{1F35C56B-18E4-40EE-BFC7-0611B4339B6B}"/>
    <cellStyle name="Normal 4 4 4 6 3 2 2" xfId="41084" xr:uid="{8FEE79E8-6E52-45B0-B192-3F8FBE0E98FF}"/>
    <cellStyle name="Normal 4 4 4 6 3 3" xfId="15743" xr:uid="{AA0F7083-1836-496E-8636-0287B9164AD4}"/>
    <cellStyle name="Normal 4 4 4 6 3 4" xfId="32637" xr:uid="{B54093D5-A13E-4293-A604-7D69FC191EB3}"/>
    <cellStyle name="Normal 4 4 4 6 4" xfId="19973" xr:uid="{17E453AD-A9EB-4F1C-BB79-082B15186BAB}"/>
    <cellStyle name="Normal 4 4 4 6 4 2" xfId="36867" xr:uid="{3ED4BD5A-E595-4906-B64E-5B16DDABD6D3}"/>
    <cellStyle name="Normal 4 4 4 6 5" xfId="11526" xr:uid="{9D8E376A-63BE-442F-8262-5B500E95AB76}"/>
    <cellStyle name="Normal 4 4 4 6 6" xfId="28420" xr:uid="{D9C94C17-CA25-41C4-A4E3-6E340705DD0F}"/>
    <cellStyle name="Normal 4 4 4 7" xfId="2547" xr:uid="{00000000-0005-0000-0000-0000D9150000}"/>
    <cellStyle name="Normal 4 4 4 7 2" xfId="6830" xr:uid="{00000000-0005-0000-0000-0000DA150000}"/>
    <cellStyle name="Normal 4 4 4 7 2 2" xfId="24603" xr:uid="{BD76CF9C-2DE9-4544-AF78-E5125513C43C}"/>
    <cellStyle name="Normal 4 4 4 7 2 2 2" xfId="41497" xr:uid="{2EF1730B-306B-4CBF-B8F6-164BAA7AB2AC}"/>
    <cellStyle name="Normal 4 4 4 7 2 3" xfId="16156" xr:uid="{9F069F50-D385-492C-8F6C-BFF3EDDBAA8C}"/>
    <cellStyle name="Normal 4 4 4 7 2 4" xfId="33050" xr:uid="{1E285BD0-4E49-440F-893E-93EDBD8E20FE}"/>
    <cellStyle name="Normal 4 4 4 7 3" xfId="20386" xr:uid="{8118EB99-73F2-45E4-8079-DAD9B1916C62}"/>
    <cellStyle name="Normal 4 4 4 7 3 2" xfId="37280" xr:uid="{F472A0A6-0B7A-49FD-AC86-661BF3BC2B79}"/>
    <cellStyle name="Normal 4 4 4 7 4" xfId="11939" xr:uid="{5B2A28B8-2526-43B1-8704-F83601EE8F94}"/>
    <cellStyle name="Normal 4 4 4 7 5" xfId="28833" xr:uid="{7CFF4CDA-B7AA-48AE-90A1-3B66A0FEA1F7}"/>
    <cellStyle name="Normal 4 4 4 8" xfId="4765" xr:uid="{00000000-0005-0000-0000-0000DB150000}"/>
    <cellStyle name="Normal 4 4 4 8 2" xfId="22538" xr:uid="{5481753C-0132-416E-9405-07312516D359}"/>
    <cellStyle name="Normal 4 4 4 8 2 2" xfId="39432" xr:uid="{4FADD869-3A8E-41F2-B8A6-F121C1B3A94F}"/>
    <cellStyle name="Normal 4 4 4 8 3" xfId="14091" xr:uid="{1581BBAE-3DF2-4636-8123-41FABFC11F17}"/>
    <cellStyle name="Normal 4 4 4 8 4" xfId="30985" xr:uid="{461CE38D-441F-4C86-9A49-C0F79C5C4BE3}"/>
    <cellStyle name="Normal 4 4 4 9" xfId="8852" xr:uid="{DF4BB962-85B1-44B5-A0FE-735796672772}"/>
    <cellStyle name="Normal 4 4 4 9 2" xfId="18321" xr:uid="{84DDABC5-3B67-479A-9764-B246387C4F97}"/>
    <cellStyle name="Normal 4 4 4 9 3" xfId="35215" xr:uid="{00ECEA40-F658-44AF-BF45-3FFF86B92B55}"/>
    <cellStyle name="Normal 4 4 5" xfId="393" xr:uid="{00000000-0005-0000-0000-0000DC150000}"/>
    <cellStyle name="Normal 4 4 5 10" xfId="26770" xr:uid="{9C06731E-9F64-4D8F-81C9-108454732EAA}"/>
    <cellStyle name="Normal 4 4 5 2" xfId="868" xr:uid="{00000000-0005-0000-0000-0000DD150000}"/>
    <cellStyle name="Normal 4 4 5 2 2" xfId="3103" xr:uid="{00000000-0005-0000-0000-0000DE150000}"/>
    <cellStyle name="Normal 4 4 5 2 2 2" xfId="7325" xr:uid="{00000000-0005-0000-0000-0000DF150000}"/>
    <cellStyle name="Normal 4 4 5 2 2 2 2" xfId="25098" xr:uid="{87A0FA6E-6A69-4C9B-981E-A3BBE81A208E}"/>
    <cellStyle name="Normal 4 4 5 2 2 2 2 2" xfId="41992" xr:uid="{EA25393E-C6E9-493C-A1C8-14C688DD2E0C}"/>
    <cellStyle name="Normal 4 4 5 2 2 2 3" xfId="16651" xr:uid="{1131E09E-0BAC-4B03-AE49-D5CFF3AF3287}"/>
    <cellStyle name="Normal 4 4 5 2 2 2 4" xfId="33545" xr:uid="{251F8714-03AC-45FE-9DE9-90049E97D6E2}"/>
    <cellStyle name="Normal 4 4 5 2 2 3" xfId="20881" xr:uid="{769D07E2-1C34-4686-AEC2-5FCEE2B84E70}"/>
    <cellStyle name="Normal 4 4 5 2 2 3 2" xfId="37775" xr:uid="{53D25B6A-8FD9-4709-8DAA-ED5EE5598712}"/>
    <cellStyle name="Normal 4 4 5 2 2 4" xfId="12434" xr:uid="{5C5ABC46-47B2-4A83-A56D-6ADFDA3B951E}"/>
    <cellStyle name="Normal 4 4 5 2 2 5" xfId="29328" xr:uid="{84804674-94AE-4347-A12C-C6C7412236D6}"/>
    <cellStyle name="Normal 4 4 5 2 3" xfId="5180" xr:uid="{00000000-0005-0000-0000-0000E0150000}"/>
    <cellStyle name="Normal 4 4 5 2 3 2" xfId="22953" xr:uid="{C14AAEA4-617A-4084-8CD1-4B769781B183}"/>
    <cellStyle name="Normal 4 4 5 2 3 2 2" xfId="39847" xr:uid="{842D7BB1-0B64-40C5-9B29-7327CF830A47}"/>
    <cellStyle name="Normal 4 4 5 2 3 3" xfId="14506" xr:uid="{8159B182-169F-4E7D-8D7B-1C147E9A1A4B}"/>
    <cellStyle name="Normal 4 4 5 2 3 4" xfId="31400" xr:uid="{B599F2C7-C53F-4703-BBF6-562EAA6DA187}"/>
    <cellStyle name="Normal 4 4 5 2 4" xfId="9393" xr:uid="{C2991CC4-4E0B-46C4-B338-C6A1C9BA2DE9}"/>
    <cellStyle name="Normal 4 4 5 2 4 2" xfId="18736" xr:uid="{503DC427-D611-4117-B7BE-E0709AACD80A}"/>
    <cellStyle name="Normal 4 4 5 2 4 3" xfId="35630" xr:uid="{19583865-FAF4-429B-A8A7-A0B0B5829C2F}"/>
    <cellStyle name="Normal 4 4 5 2 5" xfId="10289" xr:uid="{C10DEA97-95E7-47F3-8699-527CFDE8CF4B}"/>
    <cellStyle name="Normal 4 4 5 2 6" xfId="27183" xr:uid="{A4017710-082E-492B-80E4-09F65D0CC8CE}"/>
    <cellStyle name="Normal 4 4 5 3" xfId="1286" xr:uid="{00000000-0005-0000-0000-0000E1150000}"/>
    <cellStyle name="Normal 4 4 5 3 2" xfId="3516" xr:uid="{00000000-0005-0000-0000-0000E2150000}"/>
    <cellStyle name="Normal 4 4 5 3 2 2" xfId="7738" xr:uid="{00000000-0005-0000-0000-0000E3150000}"/>
    <cellStyle name="Normal 4 4 5 3 2 2 2" xfId="25511" xr:uid="{01A7B707-4608-4800-8FF7-49A610BE800E}"/>
    <cellStyle name="Normal 4 4 5 3 2 2 2 2" xfId="42405" xr:uid="{78E35396-121E-4FDC-8339-F71C8DBC0B27}"/>
    <cellStyle name="Normal 4 4 5 3 2 2 3" xfId="17064" xr:uid="{3566A33D-B28D-4A5E-8D73-4831174B36FB}"/>
    <cellStyle name="Normal 4 4 5 3 2 2 4" xfId="33958" xr:uid="{2787BA37-5571-4B1C-A9FC-C3BE3597D3F7}"/>
    <cellStyle name="Normal 4 4 5 3 2 3" xfId="21294" xr:uid="{2D592B9E-6771-4367-BA7F-B81902E3DB5F}"/>
    <cellStyle name="Normal 4 4 5 3 2 3 2" xfId="38188" xr:uid="{9FF14340-8B6F-4839-A3C6-00F4EF60214B}"/>
    <cellStyle name="Normal 4 4 5 3 2 4" xfId="12847" xr:uid="{4B51CF60-01E2-4E69-A1EE-924B1DD05BFE}"/>
    <cellStyle name="Normal 4 4 5 3 2 5" xfId="29741" xr:uid="{6FF278C2-187D-4EC9-B44C-83FE703D43DC}"/>
    <cellStyle name="Normal 4 4 5 3 3" xfId="5593" xr:uid="{00000000-0005-0000-0000-0000E4150000}"/>
    <cellStyle name="Normal 4 4 5 3 3 2" xfId="23366" xr:uid="{37F5E730-B043-491C-955D-D2989EBBD756}"/>
    <cellStyle name="Normal 4 4 5 3 3 2 2" xfId="40260" xr:uid="{B4A451C8-2A1A-4271-AC3B-4948358DB986}"/>
    <cellStyle name="Normal 4 4 5 3 3 3" xfId="14919" xr:uid="{C9E13D8E-093D-4138-913A-4965A8347AC8}"/>
    <cellStyle name="Normal 4 4 5 3 3 4" xfId="31813" xr:uid="{C95DB311-781A-42E5-9573-595440DED35B}"/>
    <cellStyle name="Normal 4 4 5 3 4" xfId="19149" xr:uid="{93C3D240-E6BE-4EC7-A175-5A337E684A90}"/>
    <cellStyle name="Normal 4 4 5 3 4 2" xfId="36043" xr:uid="{92ABC025-6D20-44A1-99CD-45D4C8831558}"/>
    <cellStyle name="Normal 4 4 5 3 5" xfId="10702" xr:uid="{C5739BB2-1FA4-4DD4-A140-C7A24D0A03E3}"/>
    <cellStyle name="Normal 4 4 5 3 6" xfId="27596" xr:uid="{A93F11B0-B21E-4CD4-BA50-8B6F39293FD7}"/>
    <cellStyle name="Normal 4 4 5 4" xfId="1699" xr:uid="{00000000-0005-0000-0000-0000E5150000}"/>
    <cellStyle name="Normal 4 4 5 4 2" xfId="3929" xr:uid="{00000000-0005-0000-0000-0000E6150000}"/>
    <cellStyle name="Normal 4 4 5 4 2 2" xfId="8151" xr:uid="{00000000-0005-0000-0000-0000E7150000}"/>
    <cellStyle name="Normal 4 4 5 4 2 2 2" xfId="25924" xr:uid="{CE64EDAC-F444-40E0-BF96-45AA879F7B80}"/>
    <cellStyle name="Normal 4 4 5 4 2 2 2 2" xfId="42818" xr:uid="{3C6EF20C-E982-49D8-8AF8-B3A403AA5B47}"/>
    <cellStyle name="Normal 4 4 5 4 2 2 3" xfId="17477" xr:uid="{CA2B25C8-F1F5-4D2F-9832-2415B982275E}"/>
    <cellStyle name="Normal 4 4 5 4 2 2 4" xfId="34371" xr:uid="{58479CC3-395A-41D0-8FE5-6D4A3E9FA403}"/>
    <cellStyle name="Normal 4 4 5 4 2 3" xfId="21707" xr:uid="{20B06F75-1AF6-49FE-A811-94C0EBDAD48E}"/>
    <cellStyle name="Normal 4 4 5 4 2 3 2" xfId="38601" xr:uid="{352B5567-11C9-4908-B29D-8908B183D07F}"/>
    <cellStyle name="Normal 4 4 5 4 2 4" xfId="13260" xr:uid="{6EF3E8D4-29C6-4B25-85F5-819710B5D4D2}"/>
    <cellStyle name="Normal 4 4 5 4 2 5" xfId="30154" xr:uid="{9E47DBC2-748D-4906-B920-4678A918B709}"/>
    <cellStyle name="Normal 4 4 5 4 3" xfId="6006" xr:uid="{00000000-0005-0000-0000-0000E8150000}"/>
    <cellStyle name="Normal 4 4 5 4 3 2" xfId="23779" xr:uid="{6658DA64-FBFE-48D7-BEA8-492F31C6B90A}"/>
    <cellStyle name="Normal 4 4 5 4 3 2 2" xfId="40673" xr:uid="{893E097E-B1B7-4C9A-ADAB-BE2096B86C64}"/>
    <cellStyle name="Normal 4 4 5 4 3 3" xfId="15332" xr:uid="{511F80EF-7B5C-4313-893D-897128E5028B}"/>
    <cellStyle name="Normal 4 4 5 4 3 4" xfId="32226" xr:uid="{F4E43999-4113-4204-9FA6-B793BA8D0351}"/>
    <cellStyle name="Normal 4 4 5 4 4" xfId="19562" xr:uid="{0F0B5B70-688E-4F99-A42F-630EC61F475D}"/>
    <cellStyle name="Normal 4 4 5 4 4 2" xfId="36456" xr:uid="{EDF22C10-0454-48D9-9C0B-B20ADF7F1CD9}"/>
    <cellStyle name="Normal 4 4 5 4 5" xfId="11115" xr:uid="{4AB7427D-FA9A-4A80-B13E-9DCA6E35E3C0}"/>
    <cellStyle name="Normal 4 4 5 4 6" xfId="28009" xr:uid="{F4873A79-BFAD-4998-9863-4095FBF896A9}"/>
    <cellStyle name="Normal 4 4 5 5" xfId="2113" xr:uid="{00000000-0005-0000-0000-0000E9150000}"/>
    <cellStyle name="Normal 4 4 5 5 2" xfId="4342" xr:uid="{00000000-0005-0000-0000-0000EA150000}"/>
    <cellStyle name="Normal 4 4 5 5 2 2" xfId="8564" xr:uid="{00000000-0005-0000-0000-0000EB150000}"/>
    <cellStyle name="Normal 4 4 5 5 2 2 2" xfId="26337" xr:uid="{F20EEC52-9C01-482D-A028-CF0D4D3E2F3F}"/>
    <cellStyle name="Normal 4 4 5 5 2 2 2 2" xfId="43231" xr:uid="{12CB314E-2E19-4BB0-97AA-FD7289968B03}"/>
    <cellStyle name="Normal 4 4 5 5 2 2 3" xfId="17890" xr:uid="{92D9FABC-21B1-4854-8A3B-11CAD614BE04}"/>
    <cellStyle name="Normal 4 4 5 5 2 2 4" xfId="34784" xr:uid="{31CC9E16-22C4-4FD8-B304-0DE27B709A00}"/>
    <cellStyle name="Normal 4 4 5 5 2 3" xfId="22120" xr:uid="{13015394-8D20-4780-BBB2-D09E74E80A38}"/>
    <cellStyle name="Normal 4 4 5 5 2 3 2" xfId="39014" xr:uid="{E65636F7-CEB7-4E29-90ED-31C4A7EE5B98}"/>
    <cellStyle name="Normal 4 4 5 5 2 4" xfId="13673" xr:uid="{E3DF9916-0B40-4BDC-924B-25B057E23A85}"/>
    <cellStyle name="Normal 4 4 5 5 2 5" xfId="30567" xr:uid="{4001E156-BBA3-4C1E-A7CB-4128ACB98AE5}"/>
    <cellStyle name="Normal 4 4 5 5 3" xfId="6419" xr:uid="{00000000-0005-0000-0000-0000EC150000}"/>
    <cellStyle name="Normal 4 4 5 5 3 2" xfId="24192" xr:uid="{1869DA75-F852-4530-BB27-E0A96391C05C}"/>
    <cellStyle name="Normal 4 4 5 5 3 2 2" xfId="41086" xr:uid="{6A8B53F6-61FA-489E-9FC0-72D096B770AA}"/>
    <cellStyle name="Normal 4 4 5 5 3 3" xfId="15745" xr:uid="{41C0C233-2E80-4A1D-97C6-C2BFCB7BBB93}"/>
    <cellStyle name="Normal 4 4 5 5 3 4" xfId="32639" xr:uid="{BE90904C-E326-41B1-B367-3BF6116CBA69}"/>
    <cellStyle name="Normal 4 4 5 5 4" xfId="19975" xr:uid="{EE075491-8960-45FA-AC15-B10F62AAF8A9}"/>
    <cellStyle name="Normal 4 4 5 5 4 2" xfId="36869" xr:uid="{B36C628C-3DCC-498A-961A-1A1250248410}"/>
    <cellStyle name="Normal 4 4 5 5 5" xfId="11528" xr:uid="{D6656291-C51B-48BE-BB49-B82096396003}"/>
    <cellStyle name="Normal 4 4 5 5 6" xfId="28422" xr:uid="{D411C957-85B5-4623-AA4A-4906DA22555B}"/>
    <cellStyle name="Normal 4 4 5 6" xfId="2549" xr:uid="{00000000-0005-0000-0000-0000ED150000}"/>
    <cellStyle name="Normal 4 4 5 6 2" xfId="6832" xr:uid="{00000000-0005-0000-0000-0000EE150000}"/>
    <cellStyle name="Normal 4 4 5 6 2 2" xfId="24605" xr:uid="{79F5014B-82B1-4F1A-A395-00E5C784B26E}"/>
    <cellStyle name="Normal 4 4 5 6 2 2 2" xfId="41499" xr:uid="{B9739F8F-BB25-468C-AABD-B6C348435FCD}"/>
    <cellStyle name="Normal 4 4 5 6 2 3" xfId="16158" xr:uid="{0DAD2F7E-74CE-4D53-8006-68C130316A32}"/>
    <cellStyle name="Normal 4 4 5 6 2 4" xfId="33052" xr:uid="{40B37BED-0BE0-47C8-B84A-A4163E7C0088}"/>
    <cellStyle name="Normal 4 4 5 6 3" xfId="20388" xr:uid="{C36F2003-FA83-4C0A-9EAA-4B9F4E2B1A12}"/>
    <cellStyle name="Normal 4 4 5 6 3 2" xfId="37282" xr:uid="{7C587D24-163E-492F-A8F6-678EB00A60D6}"/>
    <cellStyle name="Normal 4 4 5 6 4" xfId="11941" xr:uid="{19BD4454-0743-4F48-B49A-25FD0DCDF1D0}"/>
    <cellStyle name="Normal 4 4 5 6 5" xfId="28835" xr:uid="{4EA2905A-D89E-4FE7-8CD0-DD7EC165A082}"/>
    <cellStyle name="Normal 4 4 5 7" xfId="4767" xr:uid="{00000000-0005-0000-0000-0000EF150000}"/>
    <cellStyle name="Normal 4 4 5 7 2" xfId="22540" xr:uid="{353700F3-0F38-435A-A1FA-C1828038E003}"/>
    <cellStyle name="Normal 4 4 5 7 2 2" xfId="39434" xr:uid="{705D43AD-B333-4B0A-9584-DC7B296D2641}"/>
    <cellStyle name="Normal 4 4 5 7 3" xfId="14093" xr:uid="{3505ABE2-658E-47D6-B522-9C2006C9778F}"/>
    <cellStyle name="Normal 4 4 5 7 4" xfId="30987" xr:uid="{99A4C625-EEE9-4133-9494-EE109D4D7822}"/>
    <cellStyle name="Normal 4 4 5 8" xfId="8968" xr:uid="{BE877DDE-435D-4CBA-84F2-0372D1DDE771}"/>
    <cellStyle name="Normal 4 4 5 8 2" xfId="18323" xr:uid="{B6E7E35D-9E3F-497D-B652-43214A8208CA}"/>
    <cellStyle name="Normal 4 4 5 8 3" xfId="35217" xr:uid="{DE4EDCAF-9F63-45C0-B151-851AC6BE4D70}"/>
    <cellStyle name="Normal 4 4 5 9" xfId="9876" xr:uid="{21AFC0E1-1FF5-47C6-919B-9C63A725ABAE}"/>
    <cellStyle name="Normal 4 4 6" xfId="853" xr:uid="{00000000-0005-0000-0000-0000F0150000}"/>
    <cellStyle name="Normal 4 4 6 2" xfId="3088" xr:uid="{00000000-0005-0000-0000-0000F1150000}"/>
    <cellStyle name="Normal 4 4 6 2 2" xfId="7310" xr:uid="{00000000-0005-0000-0000-0000F2150000}"/>
    <cellStyle name="Normal 4 4 6 2 2 2" xfId="25083" xr:uid="{E5F1C8D8-1235-40C8-B007-F1B86D9B2D27}"/>
    <cellStyle name="Normal 4 4 6 2 2 2 2" xfId="41977" xr:uid="{1E83EC5E-E519-43A4-B88A-5FE20B9CDF95}"/>
    <cellStyle name="Normal 4 4 6 2 2 3" xfId="16636" xr:uid="{2D2F0C58-93C2-42C5-9867-74780951A4A1}"/>
    <cellStyle name="Normal 4 4 6 2 2 4" xfId="33530" xr:uid="{2D365B1A-CF6D-4DB6-A271-301B06198A97}"/>
    <cellStyle name="Normal 4 4 6 2 3" xfId="20866" xr:uid="{5F739B83-F2C9-4BC1-8D7C-73EADC211C74}"/>
    <cellStyle name="Normal 4 4 6 2 3 2" xfId="37760" xr:uid="{1D8F663D-5FC4-4C70-A116-DE91767AF933}"/>
    <cellStyle name="Normal 4 4 6 2 4" xfId="12419" xr:uid="{C0521BEE-713A-444B-918A-180C917D3D71}"/>
    <cellStyle name="Normal 4 4 6 2 5" xfId="29313" xr:uid="{07201E10-B56D-497F-AA01-3E6EF1B01979}"/>
    <cellStyle name="Normal 4 4 6 3" xfId="5165" xr:uid="{00000000-0005-0000-0000-0000F3150000}"/>
    <cellStyle name="Normal 4 4 6 3 2" xfId="22938" xr:uid="{E102EBEA-1A1E-4316-A224-3B221121E253}"/>
    <cellStyle name="Normal 4 4 6 3 2 2" xfId="39832" xr:uid="{A1AF5892-A45B-414C-8D43-9AD36F3578EC}"/>
    <cellStyle name="Normal 4 4 6 3 3" xfId="14491" xr:uid="{984A7DDD-30B2-4F8F-989E-45033AE2E286}"/>
    <cellStyle name="Normal 4 4 6 3 4" xfId="31385" xr:uid="{2CA4DCBF-D5A5-47E1-8B54-C92EDC9A9DAC}"/>
    <cellStyle name="Normal 4 4 6 4" xfId="9171" xr:uid="{C474601B-95F0-4C9E-AB77-B3E61D2A21D7}"/>
    <cellStyle name="Normal 4 4 6 4 2" xfId="18721" xr:uid="{1E263100-9986-42DB-B1F9-2B9186C273C7}"/>
    <cellStyle name="Normal 4 4 6 4 3" xfId="35615" xr:uid="{5D10CA56-3016-4EBA-A569-03F247333024}"/>
    <cellStyle name="Normal 4 4 6 5" xfId="10274" xr:uid="{77AA78C0-0273-440C-BEE5-0AC83C21F529}"/>
    <cellStyle name="Normal 4 4 6 6" xfId="27168" xr:uid="{DCBA1424-9D7E-450B-B5FC-DB92E909C982}"/>
    <cellStyle name="Normal 4 4 7" xfId="1271" xr:uid="{00000000-0005-0000-0000-0000F4150000}"/>
    <cellStyle name="Normal 4 4 7 2" xfId="3501" xr:uid="{00000000-0005-0000-0000-0000F5150000}"/>
    <cellStyle name="Normal 4 4 7 2 2" xfId="7723" xr:uid="{00000000-0005-0000-0000-0000F6150000}"/>
    <cellStyle name="Normal 4 4 7 2 2 2" xfId="25496" xr:uid="{A9C37FEF-D0D1-447B-B9DD-4D2E86A6E1DE}"/>
    <cellStyle name="Normal 4 4 7 2 2 2 2" xfId="42390" xr:uid="{9F75FBC8-A397-438D-B7EE-6B5CBCC7D28A}"/>
    <cellStyle name="Normal 4 4 7 2 2 3" xfId="17049" xr:uid="{6F62B247-D147-4323-8145-4C62808D2567}"/>
    <cellStyle name="Normal 4 4 7 2 2 4" xfId="33943" xr:uid="{BEE41BC5-91F9-41EF-8D5D-7BB10B17584A}"/>
    <cellStyle name="Normal 4 4 7 2 3" xfId="21279" xr:uid="{52C660BA-D949-4C73-9BEB-43474852DE17}"/>
    <cellStyle name="Normal 4 4 7 2 3 2" xfId="38173" xr:uid="{E1D31E77-D24E-47FD-BFAA-6E74AAC79A40}"/>
    <cellStyle name="Normal 4 4 7 2 4" xfId="12832" xr:uid="{2B52A674-FF4E-44AB-ABDD-DB242A0F1942}"/>
    <cellStyle name="Normal 4 4 7 2 5" xfId="29726" xr:uid="{456D640F-3080-4891-BB69-860B0E500BF2}"/>
    <cellStyle name="Normal 4 4 7 3" xfId="5578" xr:uid="{00000000-0005-0000-0000-0000F7150000}"/>
    <cellStyle name="Normal 4 4 7 3 2" xfId="23351" xr:uid="{8F7DEF91-2168-4955-B05B-F4B104C791DD}"/>
    <cellStyle name="Normal 4 4 7 3 2 2" xfId="40245" xr:uid="{C8AA7EDA-5E1B-497B-B366-499AA82560FF}"/>
    <cellStyle name="Normal 4 4 7 3 3" xfId="14904" xr:uid="{708EC00D-F885-439B-8339-5DCDE92106B2}"/>
    <cellStyle name="Normal 4 4 7 3 4" xfId="31798" xr:uid="{4D163298-AD42-4379-8130-E90FFABD5587}"/>
    <cellStyle name="Normal 4 4 7 4" xfId="19134" xr:uid="{4B988230-00A8-48ED-8753-145A70AE8270}"/>
    <cellStyle name="Normal 4 4 7 4 2" xfId="36028" xr:uid="{FE9A8614-37EE-467B-A195-62B278F0FCB2}"/>
    <cellStyle name="Normal 4 4 7 5" xfId="10687" xr:uid="{CF2FB758-6100-4F4F-9641-876DA72D9FDD}"/>
    <cellStyle name="Normal 4 4 7 6" xfId="27581" xr:uid="{3A529123-8AA6-4A12-A3D3-E10820D528BB}"/>
    <cellStyle name="Normal 4 4 8" xfId="1684" xr:uid="{00000000-0005-0000-0000-0000F8150000}"/>
    <cellStyle name="Normal 4 4 8 2" xfId="3914" xr:uid="{00000000-0005-0000-0000-0000F9150000}"/>
    <cellStyle name="Normal 4 4 8 2 2" xfId="8136" xr:uid="{00000000-0005-0000-0000-0000FA150000}"/>
    <cellStyle name="Normal 4 4 8 2 2 2" xfId="25909" xr:uid="{52047353-B4C3-4879-8486-CA31BB93978A}"/>
    <cellStyle name="Normal 4 4 8 2 2 2 2" xfId="42803" xr:uid="{BB935480-CD8B-4177-B8D8-78D13D099E84}"/>
    <cellStyle name="Normal 4 4 8 2 2 3" xfId="17462" xr:uid="{3DF2785A-5896-4FD7-A8A5-0142DE54B023}"/>
    <cellStyle name="Normal 4 4 8 2 2 4" xfId="34356" xr:uid="{B4808A3D-7D4B-447A-8E5F-954CD877977B}"/>
    <cellStyle name="Normal 4 4 8 2 3" xfId="21692" xr:uid="{665ECAD0-AB48-4B6B-B868-A00AD1BC6789}"/>
    <cellStyle name="Normal 4 4 8 2 3 2" xfId="38586" xr:uid="{4E713627-FE2E-411D-8532-706C6249209A}"/>
    <cellStyle name="Normal 4 4 8 2 4" xfId="13245" xr:uid="{89B60CDA-5B59-4279-BD4E-940EB46C8F50}"/>
    <cellStyle name="Normal 4 4 8 2 5" xfId="30139" xr:uid="{80CC9BA6-5EFA-4AA0-9B32-014D0FE2E022}"/>
    <cellStyle name="Normal 4 4 8 3" xfId="5991" xr:uid="{00000000-0005-0000-0000-0000FB150000}"/>
    <cellStyle name="Normal 4 4 8 3 2" xfId="23764" xr:uid="{DE60492C-625B-49AA-A710-E467AF67A73B}"/>
    <cellStyle name="Normal 4 4 8 3 2 2" xfId="40658" xr:uid="{D4A73F0D-4083-486E-BF9D-731ADB128DB4}"/>
    <cellStyle name="Normal 4 4 8 3 3" xfId="15317" xr:uid="{057E8323-FEA2-4E0C-9429-BB96E9C5FC8A}"/>
    <cellStyle name="Normal 4 4 8 3 4" xfId="32211" xr:uid="{F92E9223-D4F5-4ACE-9A13-8238B59693FA}"/>
    <cellStyle name="Normal 4 4 8 4" xfId="19547" xr:uid="{9394E114-208A-467D-A7C5-D9F13530E72D}"/>
    <cellStyle name="Normal 4 4 8 4 2" xfId="36441" xr:uid="{1A30B29C-C154-4EAA-A5D7-55B0A7E88311}"/>
    <cellStyle name="Normal 4 4 8 5" xfId="11100" xr:uid="{EFF2B7E8-6035-4332-9BFA-FDAC8760F980}"/>
    <cellStyle name="Normal 4 4 8 6" xfId="27994" xr:uid="{B7040706-854C-40CF-9E2C-BCAA29501378}"/>
    <cellStyle name="Normal 4 4 9" xfId="2098" xr:uid="{00000000-0005-0000-0000-0000FC150000}"/>
    <cellStyle name="Normal 4 4 9 2" xfId="4327" xr:uid="{00000000-0005-0000-0000-0000FD150000}"/>
    <cellStyle name="Normal 4 4 9 2 2" xfId="8549" xr:uid="{00000000-0005-0000-0000-0000FE150000}"/>
    <cellStyle name="Normal 4 4 9 2 2 2" xfId="26322" xr:uid="{A4CDE0B1-4773-4D1E-BF13-99EDF8C3C594}"/>
    <cellStyle name="Normal 4 4 9 2 2 2 2" xfId="43216" xr:uid="{A669C8F1-4A0E-4C9C-BEBB-C9116336386C}"/>
    <cellStyle name="Normal 4 4 9 2 2 3" xfId="17875" xr:uid="{F8AA97F5-F429-4286-9E9A-1BC2108942CC}"/>
    <cellStyle name="Normal 4 4 9 2 2 4" xfId="34769" xr:uid="{6C479638-2DDA-4BBF-AF54-101A6B954DE7}"/>
    <cellStyle name="Normal 4 4 9 2 3" xfId="22105" xr:uid="{9E3C184D-E8ED-4788-A9ED-BD2B6C8AB734}"/>
    <cellStyle name="Normal 4 4 9 2 3 2" xfId="38999" xr:uid="{89A2875E-AF16-4AD8-AE04-B9351CA6504C}"/>
    <cellStyle name="Normal 4 4 9 2 4" xfId="13658" xr:uid="{50171AFE-E429-4DF3-931F-208595A5266F}"/>
    <cellStyle name="Normal 4 4 9 2 5" xfId="30552" xr:uid="{DCD60200-7A23-4C4D-8F81-582B2A1F5358}"/>
    <cellStyle name="Normal 4 4 9 3" xfId="6404" xr:uid="{00000000-0005-0000-0000-0000FF150000}"/>
    <cellStyle name="Normal 4 4 9 3 2" xfId="24177" xr:uid="{C2D576E6-21D7-4DB7-B589-D374DF123AB1}"/>
    <cellStyle name="Normal 4 4 9 3 2 2" xfId="41071" xr:uid="{070F1F94-1A97-4973-8FE5-E8FA0ECFF63E}"/>
    <cellStyle name="Normal 4 4 9 3 3" xfId="15730" xr:uid="{7FB6094B-CD22-4AD3-A5C3-DD0A9F6D0704}"/>
    <cellStyle name="Normal 4 4 9 3 4" xfId="32624" xr:uid="{090EE3F9-C1F2-4052-A4E3-E70E68CD160E}"/>
    <cellStyle name="Normal 4 4 9 4" xfId="19960" xr:uid="{1A468680-02AD-4F2A-8293-C01942627D0D}"/>
    <cellStyle name="Normal 4 4 9 4 2" xfId="36854" xr:uid="{E6188CEC-42B0-4703-811C-DE5EB19F45F6}"/>
    <cellStyle name="Normal 4 4 9 5" xfId="11513" xr:uid="{2DFCA6F2-5A7C-4EA2-AFEC-205D63ED6B41}"/>
    <cellStyle name="Normal 4 4 9 6" xfId="28407" xr:uid="{B8B7604E-01E0-4720-9D04-FA41656E9ED7}"/>
    <cellStyle name="Normal 4 5" xfId="394" xr:uid="{00000000-0005-0000-0000-000000160000}"/>
    <cellStyle name="Normal 4 6" xfId="395" xr:uid="{00000000-0005-0000-0000-000001160000}"/>
    <cellStyle name="Normal 4 6 10" xfId="4768" xr:uid="{00000000-0005-0000-0000-000002160000}"/>
    <cellStyle name="Normal 4 6 10 2" xfId="22541" xr:uid="{84AA10EE-9388-40DC-ADB5-2975DC1FCD56}"/>
    <cellStyle name="Normal 4 6 10 2 2" xfId="39435" xr:uid="{AE4DE281-A8D4-4557-80D7-025A0C71DC5B}"/>
    <cellStyle name="Normal 4 6 10 3" xfId="14094" xr:uid="{FF055746-18FD-4A03-9CBE-19858E8FC735}"/>
    <cellStyle name="Normal 4 6 10 4" xfId="30988" xr:uid="{FDFABEC5-1156-4B16-A275-719C7B55C043}"/>
    <cellStyle name="Normal 4 6 11" xfId="8772" xr:uid="{23628FEE-4113-4B2C-B2A0-0106FC7F55C2}"/>
    <cellStyle name="Normal 4 6 11 2" xfId="18324" xr:uid="{21017B6A-5911-43CA-A788-DDBA03654D8E}"/>
    <cellStyle name="Normal 4 6 11 3" xfId="35218" xr:uid="{24524AE3-D8E5-4B04-B274-14D9FD5DD503}"/>
    <cellStyle name="Normal 4 6 12" xfId="9877" xr:uid="{5D9AF7EC-0587-4EBC-BC43-B026013B2607}"/>
    <cellStyle name="Normal 4 6 13" xfId="26771" xr:uid="{3A2A15B1-F90B-49ED-AA6B-D86B09BB5A82}"/>
    <cellStyle name="Normal 4 6 2" xfId="396" xr:uid="{00000000-0005-0000-0000-000003160000}"/>
    <cellStyle name="Normal 4 6 2 10" xfId="8825" xr:uid="{C3062495-9D56-441B-95F6-B73E7DAC524C}"/>
    <cellStyle name="Normal 4 6 2 10 2" xfId="18325" xr:uid="{4F4B14B3-ADAA-42C4-AE46-D85565FC699E}"/>
    <cellStyle name="Normal 4 6 2 10 3" xfId="35219" xr:uid="{DCB77FE2-F0D0-4B22-8239-645DB69816C2}"/>
    <cellStyle name="Normal 4 6 2 11" xfId="9878" xr:uid="{3EA348F8-46C4-4BAF-A670-5BE9A7E1CF1E}"/>
    <cellStyle name="Normal 4 6 2 12" xfId="26772" xr:uid="{FF3ADAA7-1367-4F99-AA51-5CA1A07B8FD8}"/>
    <cellStyle name="Normal 4 6 2 2" xfId="397" xr:uid="{00000000-0005-0000-0000-000004160000}"/>
    <cellStyle name="Normal 4 6 2 2 10" xfId="9879" xr:uid="{CFC25749-FD9A-4F4F-9628-4D91B3AB8064}"/>
    <cellStyle name="Normal 4 6 2 2 11" xfId="26773" xr:uid="{309555AE-36E0-4C51-A76F-F9A69457B243}"/>
    <cellStyle name="Normal 4 6 2 2 2" xfId="398" xr:uid="{00000000-0005-0000-0000-000005160000}"/>
    <cellStyle name="Normal 4 6 2 2 2 10" xfId="26774" xr:uid="{9973B81A-40E3-49FF-8E8E-FD9561C769B6}"/>
    <cellStyle name="Normal 4 6 2 2 2 2" xfId="872" xr:uid="{00000000-0005-0000-0000-000006160000}"/>
    <cellStyle name="Normal 4 6 2 2 2 2 2" xfId="3107" xr:uid="{00000000-0005-0000-0000-000007160000}"/>
    <cellStyle name="Normal 4 6 2 2 2 2 2 2" xfId="7329" xr:uid="{00000000-0005-0000-0000-000008160000}"/>
    <cellStyle name="Normal 4 6 2 2 2 2 2 2 2" xfId="25102" xr:uid="{B8B2485A-4FD9-448E-BFAF-7A48828C5897}"/>
    <cellStyle name="Normal 4 6 2 2 2 2 2 2 2 2" xfId="41996" xr:uid="{CF6A317A-F53B-45CD-B9A6-69540CCE8943}"/>
    <cellStyle name="Normal 4 6 2 2 2 2 2 2 3" xfId="16655" xr:uid="{CD9F305F-7BC6-4469-88EF-45F370B0F2EA}"/>
    <cellStyle name="Normal 4 6 2 2 2 2 2 2 4" xfId="33549" xr:uid="{8DC35E64-3EED-4AC3-99AC-05E3E7306BD8}"/>
    <cellStyle name="Normal 4 6 2 2 2 2 2 3" xfId="20885" xr:uid="{BCCB333C-505A-49D1-AA52-272E858A17DF}"/>
    <cellStyle name="Normal 4 6 2 2 2 2 2 3 2" xfId="37779" xr:uid="{F6A1CE20-D913-4310-BD4A-7072DC32C898}"/>
    <cellStyle name="Normal 4 6 2 2 2 2 2 4" xfId="12438" xr:uid="{1C1B7B6D-EE8B-4148-8ED1-EDF4DACF844B}"/>
    <cellStyle name="Normal 4 6 2 2 2 2 2 5" xfId="29332" xr:uid="{4092E964-A978-480D-8F2C-0A2233D2B2F2}"/>
    <cellStyle name="Normal 4 6 2 2 2 2 3" xfId="5184" xr:uid="{00000000-0005-0000-0000-000009160000}"/>
    <cellStyle name="Normal 4 6 2 2 2 2 3 2" xfId="22957" xr:uid="{20228EF9-6CFD-4434-8983-8A5FCE43128A}"/>
    <cellStyle name="Normal 4 6 2 2 2 2 3 2 2" xfId="39851" xr:uid="{B9B56DF6-1E29-40DA-816F-C916B3680E5B}"/>
    <cellStyle name="Normal 4 6 2 2 2 2 3 3" xfId="14510" xr:uid="{7795ED3F-B43A-417A-BC95-E7EE2635C9DA}"/>
    <cellStyle name="Normal 4 6 2 2 2 2 3 4" xfId="31404" xr:uid="{D9A6270D-202B-4774-B4CE-590626AAB301}"/>
    <cellStyle name="Normal 4 6 2 2 2 2 4" xfId="9560" xr:uid="{04DAEE11-A96E-4522-8546-8A0C107E12B9}"/>
    <cellStyle name="Normal 4 6 2 2 2 2 4 2" xfId="18740" xr:uid="{6396FBC4-847E-4074-AE62-E03C313B3A2E}"/>
    <cellStyle name="Normal 4 6 2 2 2 2 4 3" xfId="35634" xr:uid="{049F50A4-7AE3-4409-887A-FB8A11266435}"/>
    <cellStyle name="Normal 4 6 2 2 2 2 5" xfId="10293" xr:uid="{0234CAF9-9C1C-44B9-A359-B3CE09CD790E}"/>
    <cellStyle name="Normal 4 6 2 2 2 2 6" xfId="27187" xr:uid="{CC673654-3269-4360-A51D-C3353267B4C2}"/>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2 2 2" xfId="25515" xr:uid="{981E3D85-DAE5-4BD4-8257-B0CE54880B08}"/>
    <cellStyle name="Normal 4 6 2 2 2 3 2 2 2 2" xfId="42409" xr:uid="{DEC031F1-8848-44D0-AB6B-B2C7969E2659}"/>
    <cellStyle name="Normal 4 6 2 2 2 3 2 2 3" xfId="17068" xr:uid="{53FC3CC3-4FE6-485B-9140-8941FE809D73}"/>
    <cellStyle name="Normal 4 6 2 2 2 3 2 2 4" xfId="33962" xr:uid="{AC8D9C09-372E-46F0-9CAC-3B4513084EDC}"/>
    <cellStyle name="Normal 4 6 2 2 2 3 2 3" xfId="21298" xr:uid="{16E1A0AB-2D0E-44D3-BD54-12D5A16E2A88}"/>
    <cellStyle name="Normal 4 6 2 2 2 3 2 3 2" xfId="38192" xr:uid="{4F29E08D-12DB-4715-B4CA-CED5EE5F013E}"/>
    <cellStyle name="Normal 4 6 2 2 2 3 2 4" xfId="12851" xr:uid="{9475552D-69FB-45E8-8B34-0BA15B7DDA3E}"/>
    <cellStyle name="Normal 4 6 2 2 2 3 2 5" xfId="29745" xr:uid="{C9E2BA31-0EDA-4921-8E47-89749699BA0F}"/>
    <cellStyle name="Normal 4 6 2 2 2 3 3" xfId="5597" xr:uid="{00000000-0005-0000-0000-00000D160000}"/>
    <cellStyle name="Normal 4 6 2 2 2 3 3 2" xfId="23370" xr:uid="{B7900A86-FF7A-4A56-BEA2-3F8500C5C2BC}"/>
    <cellStyle name="Normal 4 6 2 2 2 3 3 2 2" xfId="40264" xr:uid="{5CAFC96C-8652-4894-8BB7-82D6071CD19E}"/>
    <cellStyle name="Normal 4 6 2 2 2 3 3 3" xfId="14923" xr:uid="{42CBE947-8C8C-4867-90C9-4BB3F48AC310}"/>
    <cellStyle name="Normal 4 6 2 2 2 3 3 4" xfId="31817" xr:uid="{34B26A91-E333-4B31-8BF9-0C70B57DDA04}"/>
    <cellStyle name="Normal 4 6 2 2 2 3 4" xfId="19153" xr:uid="{12E31A26-BD23-40D4-A1E8-1820782E7515}"/>
    <cellStyle name="Normal 4 6 2 2 2 3 4 2" xfId="36047" xr:uid="{CF1C8019-41E3-4CF4-BFA2-82460D543117}"/>
    <cellStyle name="Normal 4 6 2 2 2 3 5" xfId="10706" xr:uid="{C7883BDB-6C95-4226-A7A5-0A5A28DB32CF}"/>
    <cellStyle name="Normal 4 6 2 2 2 3 6" xfId="27600" xr:uid="{CB326B94-84AC-4A81-9A63-A70C81438F07}"/>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2 2 2" xfId="25928" xr:uid="{DB8320A6-1713-466F-9A51-AEC1AC67ED8A}"/>
    <cellStyle name="Normal 4 6 2 2 2 4 2 2 2 2" xfId="42822" xr:uid="{1BABD235-EBDA-438B-8DAF-1BD3876C5800}"/>
    <cellStyle name="Normal 4 6 2 2 2 4 2 2 3" xfId="17481" xr:uid="{B7E52698-D2FC-468F-BDE6-13073B865358}"/>
    <cellStyle name="Normal 4 6 2 2 2 4 2 2 4" xfId="34375" xr:uid="{4DDC3022-028C-471A-B5BE-8CA395DF44B7}"/>
    <cellStyle name="Normal 4 6 2 2 2 4 2 3" xfId="21711" xr:uid="{6F1176A4-1F15-4504-8F9C-63FDA3D10817}"/>
    <cellStyle name="Normal 4 6 2 2 2 4 2 3 2" xfId="38605" xr:uid="{F7E7F1E2-3729-40E1-8485-0978A5B8C539}"/>
    <cellStyle name="Normal 4 6 2 2 2 4 2 4" xfId="13264" xr:uid="{B15233F7-26D3-42ED-B10B-25680BB556D0}"/>
    <cellStyle name="Normal 4 6 2 2 2 4 2 5" xfId="30158" xr:uid="{DE3A7186-1541-43BD-8023-03013325E01D}"/>
    <cellStyle name="Normal 4 6 2 2 2 4 3" xfId="6010" xr:uid="{00000000-0005-0000-0000-000011160000}"/>
    <cellStyle name="Normal 4 6 2 2 2 4 3 2" xfId="23783" xr:uid="{DC7B357C-AD3A-4725-961C-58C458A4A81B}"/>
    <cellStyle name="Normal 4 6 2 2 2 4 3 2 2" xfId="40677" xr:uid="{AEF1F0D9-6EA8-4107-98DD-C558FBCA5247}"/>
    <cellStyle name="Normal 4 6 2 2 2 4 3 3" xfId="15336" xr:uid="{9E5F18F3-8CAD-4F4F-AB8B-9BF2059A0A31}"/>
    <cellStyle name="Normal 4 6 2 2 2 4 3 4" xfId="32230" xr:uid="{EA77D4B6-085C-4B02-94FD-CDB0D905BA83}"/>
    <cellStyle name="Normal 4 6 2 2 2 4 4" xfId="19566" xr:uid="{07E85908-416F-4BA8-BD80-EBC3115E3F5A}"/>
    <cellStyle name="Normal 4 6 2 2 2 4 4 2" xfId="36460" xr:uid="{BD53ED37-90A6-4A36-A316-FEB0FBA61FE5}"/>
    <cellStyle name="Normal 4 6 2 2 2 4 5" xfId="11119" xr:uid="{D7E9A7DA-7B98-4514-AF83-8C2D5817D9A9}"/>
    <cellStyle name="Normal 4 6 2 2 2 4 6" xfId="28013" xr:uid="{DF03FB09-EDB1-44DF-B2D6-1A5EF5F0456C}"/>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2 2 2" xfId="26341" xr:uid="{FB72B43C-59F5-419B-A566-A7BF41AFCD8E}"/>
    <cellStyle name="Normal 4 6 2 2 2 5 2 2 2 2" xfId="43235" xr:uid="{E8894730-E402-47A2-AEEA-C01F1606E12B}"/>
    <cellStyle name="Normal 4 6 2 2 2 5 2 2 3" xfId="17894" xr:uid="{27604979-B29C-4CDD-996B-A217A919B670}"/>
    <cellStyle name="Normal 4 6 2 2 2 5 2 2 4" xfId="34788" xr:uid="{FD0A46B9-84E0-4C4D-BF91-A0954283E96B}"/>
    <cellStyle name="Normal 4 6 2 2 2 5 2 3" xfId="22124" xr:uid="{EB6CC511-2E8F-458F-B4C7-A17E3ADC13FD}"/>
    <cellStyle name="Normal 4 6 2 2 2 5 2 3 2" xfId="39018" xr:uid="{E6B50157-4618-4DCC-892F-ACA1122A08FC}"/>
    <cellStyle name="Normal 4 6 2 2 2 5 2 4" xfId="13677" xr:uid="{239A81D6-F967-4726-8EC2-DD2DFCDB5C7B}"/>
    <cellStyle name="Normal 4 6 2 2 2 5 2 5" xfId="30571" xr:uid="{CF827BF1-6DD3-493B-80BA-75915FC46E43}"/>
    <cellStyle name="Normal 4 6 2 2 2 5 3" xfId="6423" xr:uid="{00000000-0005-0000-0000-000015160000}"/>
    <cellStyle name="Normal 4 6 2 2 2 5 3 2" xfId="24196" xr:uid="{2D686D0D-95FC-4750-9451-9B4166B96581}"/>
    <cellStyle name="Normal 4 6 2 2 2 5 3 2 2" xfId="41090" xr:uid="{AE02E047-76A7-4FAD-8C3B-5A1F374C6DC9}"/>
    <cellStyle name="Normal 4 6 2 2 2 5 3 3" xfId="15749" xr:uid="{49709F78-8632-448A-A67D-F71A164544ED}"/>
    <cellStyle name="Normal 4 6 2 2 2 5 3 4" xfId="32643" xr:uid="{95056BFB-C8FC-4206-ABEB-1078A8BFAD41}"/>
    <cellStyle name="Normal 4 6 2 2 2 5 4" xfId="19979" xr:uid="{9C00607A-E3D7-45EC-841E-F7AC386E63E0}"/>
    <cellStyle name="Normal 4 6 2 2 2 5 4 2" xfId="36873" xr:uid="{D003B504-CEB1-451B-BF0D-5EF1906B3FF7}"/>
    <cellStyle name="Normal 4 6 2 2 2 5 5" xfId="11532" xr:uid="{54F4ACB0-ED74-4C4F-A4DA-56F97ACCDB42}"/>
    <cellStyle name="Normal 4 6 2 2 2 5 6" xfId="28426" xr:uid="{84945CAC-4C0F-4EF4-9944-516DE2C26F09}"/>
    <cellStyle name="Normal 4 6 2 2 2 6" xfId="2553" xr:uid="{00000000-0005-0000-0000-000016160000}"/>
    <cellStyle name="Normal 4 6 2 2 2 6 2" xfId="6836" xr:uid="{00000000-0005-0000-0000-000017160000}"/>
    <cellStyle name="Normal 4 6 2 2 2 6 2 2" xfId="24609" xr:uid="{9AD174A7-A046-4028-9CFC-A051A4D0ACB4}"/>
    <cellStyle name="Normal 4 6 2 2 2 6 2 2 2" xfId="41503" xr:uid="{B3280C35-ED37-479A-A1E5-3599C3643F6F}"/>
    <cellStyle name="Normal 4 6 2 2 2 6 2 3" xfId="16162" xr:uid="{06CE5288-65F9-43B1-AF7F-63C2521252E1}"/>
    <cellStyle name="Normal 4 6 2 2 2 6 2 4" xfId="33056" xr:uid="{341EF405-4212-4193-AA57-ABB921B7EA46}"/>
    <cellStyle name="Normal 4 6 2 2 2 6 3" xfId="20392" xr:uid="{4B143BC7-2535-40C9-BE5B-3A11FC4F6E79}"/>
    <cellStyle name="Normal 4 6 2 2 2 6 3 2" xfId="37286" xr:uid="{782CF62C-755B-40BA-9292-1CBF81F87CC5}"/>
    <cellStyle name="Normal 4 6 2 2 2 6 4" xfId="11945" xr:uid="{9D314628-B839-41DF-B148-277BE040F68A}"/>
    <cellStyle name="Normal 4 6 2 2 2 6 5" xfId="28839" xr:uid="{1C77FC22-8EF6-476C-A94D-74E3F597DF3A}"/>
    <cellStyle name="Normal 4 6 2 2 2 7" xfId="4771" xr:uid="{00000000-0005-0000-0000-000018160000}"/>
    <cellStyle name="Normal 4 6 2 2 2 7 2" xfId="22544" xr:uid="{CA8A9930-6BEC-457E-9D35-58857F45DEFA}"/>
    <cellStyle name="Normal 4 6 2 2 2 7 2 2" xfId="39438" xr:uid="{115B3E6C-7A40-4531-BE54-B91A22559C4C}"/>
    <cellStyle name="Normal 4 6 2 2 2 7 3" xfId="14097" xr:uid="{90244277-2A84-4FEF-AC5C-7EBF58407ACB}"/>
    <cellStyle name="Normal 4 6 2 2 2 7 4" xfId="30991" xr:uid="{CC996DCD-89A2-4957-BBEE-2B3FF4291E48}"/>
    <cellStyle name="Normal 4 6 2 2 2 8" xfId="9135" xr:uid="{2F4C420F-13DD-45DD-99DD-C7AFF7CD7823}"/>
    <cellStyle name="Normal 4 6 2 2 2 8 2" xfId="18327" xr:uid="{524C44D9-0742-48EB-A25E-E00402663BC2}"/>
    <cellStyle name="Normal 4 6 2 2 2 8 3" xfId="35221" xr:uid="{5330E85F-4277-4788-A5F9-BC7DC93849DF}"/>
    <cellStyle name="Normal 4 6 2 2 2 9" xfId="9880" xr:uid="{9A06E1F8-FB00-438A-B10D-2B119236DFDF}"/>
    <cellStyle name="Normal 4 6 2 2 3" xfId="871" xr:uid="{00000000-0005-0000-0000-000019160000}"/>
    <cellStyle name="Normal 4 6 2 2 3 2" xfId="3106" xr:uid="{00000000-0005-0000-0000-00001A160000}"/>
    <cellStyle name="Normal 4 6 2 2 3 2 2" xfId="7328" xr:uid="{00000000-0005-0000-0000-00001B160000}"/>
    <cellStyle name="Normal 4 6 2 2 3 2 2 2" xfId="25101" xr:uid="{E0714802-2A97-4A47-AA04-3DDF6A6D6A46}"/>
    <cellStyle name="Normal 4 6 2 2 3 2 2 2 2" xfId="41995" xr:uid="{3994BC17-F2CF-4773-A83B-A8C51AD571B5}"/>
    <cellStyle name="Normal 4 6 2 2 3 2 2 3" xfId="16654" xr:uid="{0046D104-4142-4B90-B20E-1EB00A978FD5}"/>
    <cellStyle name="Normal 4 6 2 2 3 2 2 4" xfId="33548" xr:uid="{53C54A33-7332-44BE-80D7-BD6020AE76E3}"/>
    <cellStyle name="Normal 4 6 2 2 3 2 3" xfId="20884" xr:uid="{B028F33B-53D9-4785-9421-131443EC11EF}"/>
    <cellStyle name="Normal 4 6 2 2 3 2 3 2" xfId="37778" xr:uid="{87583B42-5B0E-4565-8846-D80B5CDBCCB9}"/>
    <cellStyle name="Normal 4 6 2 2 3 2 4" xfId="12437" xr:uid="{AED4B5A2-FBAD-49A4-99DA-47256B07C3BD}"/>
    <cellStyle name="Normal 4 6 2 2 3 2 5" xfId="29331" xr:uid="{043667D9-A61B-4BF5-A97A-9A82F2BBD3AA}"/>
    <cellStyle name="Normal 4 6 2 2 3 3" xfId="5183" xr:uid="{00000000-0005-0000-0000-00001C160000}"/>
    <cellStyle name="Normal 4 6 2 2 3 3 2" xfId="22956" xr:uid="{D309AAF7-C6E3-41FB-B032-5C7BBFEE3DB6}"/>
    <cellStyle name="Normal 4 6 2 2 3 3 2 2" xfId="39850" xr:uid="{FF01AE81-9F7B-48F1-90C7-1C5DB21E473E}"/>
    <cellStyle name="Normal 4 6 2 2 3 3 3" xfId="14509" xr:uid="{D58C477A-7B1B-462F-A09C-FF661C715720}"/>
    <cellStyle name="Normal 4 6 2 2 3 3 4" xfId="31403" xr:uid="{89F2EA0A-7DBE-428F-A37A-86B06320D984}"/>
    <cellStyle name="Normal 4 6 2 2 3 4" xfId="9353" xr:uid="{60C7EC16-17DE-43AF-A246-41C667B376B7}"/>
    <cellStyle name="Normal 4 6 2 2 3 4 2" xfId="18739" xr:uid="{5220A52A-DEE8-45D1-92FD-7FD1F0379B26}"/>
    <cellStyle name="Normal 4 6 2 2 3 4 3" xfId="35633" xr:uid="{97567706-E533-406A-8EF1-96251C08BA9B}"/>
    <cellStyle name="Normal 4 6 2 2 3 5" xfId="10292" xr:uid="{F8AC65B5-2B14-47C8-96BF-A6AF827AFFF2}"/>
    <cellStyle name="Normal 4 6 2 2 3 6" xfId="27186" xr:uid="{3AC198B2-4D29-498A-9CF5-F650A77DDAAC}"/>
    <cellStyle name="Normal 4 6 2 2 4" xfId="1289" xr:uid="{00000000-0005-0000-0000-00001D160000}"/>
    <cellStyle name="Normal 4 6 2 2 4 2" xfId="3519" xr:uid="{00000000-0005-0000-0000-00001E160000}"/>
    <cellStyle name="Normal 4 6 2 2 4 2 2" xfId="7741" xr:uid="{00000000-0005-0000-0000-00001F160000}"/>
    <cellStyle name="Normal 4 6 2 2 4 2 2 2" xfId="25514" xr:uid="{3B25AA00-5407-4769-9D57-263C0224893F}"/>
    <cellStyle name="Normal 4 6 2 2 4 2 2 2 2" xfId="42408" xr:uid="{FAC86441-0949-4DAB-8748-DEA99C96EEFD}"/>
    <cellStyle name="Normal 4 6 2 2 4 2 2 3" xfId="17067" xr:uid="{85F55B35-1ABB-4B34-A94A-02A7D221206A}"/>
    <cellStyle name="Normal 4 6 2 2 4 2 2 4" xfId="33961" xr:uid="{9F2FE0C3-8283-4FEE-B279-29AC645F4869}"/>
    <cellStyle name="Normal 4 6 2 2 4 2 3" xfId="21297" xr:uid="{3D1E3261-B54A-4AAE-8DC3-EAE79D428F63}"/>
    <cellStyle name="Normal 4 6 2 2 4 2 3 2" xfId="38191" xr:uid="{D2294996-7DAF-4C0B-9742-252B188812CD}"/>
    <cellStyle name="Normal 4 6 2 2 4 2 4" xfId="12850" xr:uid="{D38CAE0C-CFAA-472D-B335-703E42575517}"/>
    <cellStyle name="Normal 4 6 2 2 4 2 5" xfId="29744" xr:uid="{FB75108A-DFF7-4AE4-A50B-B4156CFA6459}"/>
    <cellStyle name="Normal 4 6 2 2 4 3" xfId="5596" xr:uid="{00000000-0005-0000-0000-000020160000}"/>
    <cellStyle name="Normal 4 6 2 2 4 3 2" xfId="23369" xr:uid="{0EF81567-7E67-4F3B-9E11-30121F85D8B3}"/>
    <cellStyle name="Normal 4 6 2 2 4 3 2 2" xfId="40263" xr:uid="{BF6C84F0-22B9-48D5-A29A-4C1DBF4D63D9}"/>
    <cellStyle name="Normal 4 6 2 2 4 3 3" xfId="14922" xr:uid="{8887F6B6-ACD3-4E6C-A461-1582ACC7145A}"/>
    <cellStyle name="Normal 4 6 2 2 4 3 4" xfId="31816" xr:uid="{E952450B-8DFA-48F7-9F2C-6E60AE968E0B}"/>
    <cellStyle name="Normal 4 6 2 2 4 4" xfId="19152" xr:uid="{F2F4A4AF-72C3-4052-B987-33900DD456C7}"/>
    <cellStyle name="Normal 4 6 2 2 4 4 2" xfId="36046" xr:uid="{CE8181CF-29AF-4251-879D-3A10BD31BA15}"/>
    <cellStyle name="Normal 4 6 2 2 4 5" xfId="10705" xr:uid="{E8B3247B-38EF-4044-9667-70FEDFA21B99}"/>
    <cellStyle name="Normal 4 6 2 2 4 6" xfId="27599" xr:uid="{24B3B2CA-DAA0-42F6-9603-BAA2AF57C217}"/>
    <cellStyle name="Normal 4 6 2 2 5" xfId="1702" xr:uid="{00000000-0005-0000-0000-000021160000}"/>
    <cellStyle name="Normal 4 6 2 2 5 2" xfId="3932" xr:uid="{00000000-0005-0000-0000-000022160000}"/>
    <cellStyle name="Normal 4 6 2 2 5 2 2" xfId="8154" xr:uid="{00000000-0005-0000-0000-000023160000}"/>
    <cellStyle name="Normal 4 6 2 2 5 2 2 2" xfId="25927" xr:uid="{45C8EEB5-A5A9-4FB7-ABEC-99E1D0BE1DF6}"/>
    <cellStyle name="Normal 4 6 2 2 5 2 2 2 2" xfId="42821" xr:uid="{C013F04B-9DBF-4D6F-9AD9-061580B71234}"/>
    <cellStyle name="Normal 4 6 2 2 5 2 2 3" xfId="17480" xr:uid="{ABC38B57-892C-454F-896E-E57F5681E9A1}"/>
    <cellStyle name="Normal 4 6 2 2 5 2 2 4" xfId="34374" xr:uid="{F0C78103-FFBB-4873-B801-705125EF154C}"/>
    <cellStyle name="Normal 4 6 2 2 5 2 3" xfId="21710" xr:uid="{2C059A47-3E06-4FC8-9AF5-B697AED1132C}"/>
    <cellStyle name="Normal 4 6 2 2 5 2 3 2" xfId="38604" xr:uid="{5262D03C-938F-4D7A-AF62-76B4AC375519}"/>
    <cellStyle name="Normal 4 6 2 2 5 2 4" xfId="13263" xr:uid="{0DD3B48B-BB61-4D76-917E-66937F78183A}"/>
    <cellStyle name="Normal 4 6 2 2 5 2 5" xfId="30157" xr:uid="{527DBCA4-78F9-410A-AA4E-A086212079B3}"/>
    <cellStyle name="Normal 4 6 2 2 5 3" xfId="6009" xr:uid="{00000000-0005-0000-0000-000024160000}"/>
    <cellStyle name="Normal 4 6 2 2 5 3 2" xfId="23782" xr:uid="{247D7772-9CE6-4B7E-860B-B34E05C090D1}"/>
    <cellStyle name="Normal 4 6 2 2 5 3 2 2" xfId="40676" xr:uid="{43368EAB-36EE-4D71-ADC8-E8FBEC0B65FF}"/>
    <cellStyle name="Normal 4 6 2 2 5 3 3" xfId="15335" xr:uid="{83400A91-19D7-4381-9C75-2832DF1A7399}"/>
    <cellStyle name="Normal 4 6 2 2 5 3 4" xfId="32229" xr:uid="{886448DB-3F75-469E-88B7-CFDE543C725E}"/>
    <cellStyle name="Normal 4 6 2 2 5 4" xfId="19565" xr:uid="{52E5729A-512A-45FC-9604-3812E31C0ECA}"/>
    <cellStyle name="Normal 4 6 2 2 5 4 2" xfId="36459" xr:uid="{33C41A87-2F3A-4599-B463-E5DD76A97049}"/>
    <cellStyle name="Normal 4 6 2 2 5 5" xfId="11118" xr:uid="{1EF9C433-50DB-4C0D-AB97-80D7B5C5DA37}"/>
    <cellStyle name="Normal 4 6 2 2 5 6" xfId="28012" xr:uid="{23DDC699-71F9-4A96-B6C3-2629B15E1202}"/>
    <cellStyle name="Normal 4 6 2 2 6" xfId="2116" xr:uid="{00000000-0005-0000-0000-000025160000}"/>
    <cellStyle name="Normal 4 6 2 2 6 2" xfId="4345" xr:uid="{00000000-0005-0000-0000-000026160000}"/>
    <cellStyle name="Normal 4 6 2 2 6 2 2" xfId="8567" xr:uid="{00000000-0005-0000-0000-000027160000}"/>
    <cellStyle name="Normal 4 6 2 2 6 2 2 2" xfId="26340" xr:uid="{9EB9294C-F306-48B3-88E1-C9166C0D8649}"/>
    <cellStyle name="Normal 4 6 2 2 6 2 2 2 2" xfId="43234" xr:uid="{0A041A8D-D34F-4B8B-A9CB-08D797E12E6C}"/>
    <cellStyle name="Normal 4 6 2 2 6 2 2 3" xfId="17893" xr:uid="{E6F6004E-87EB-485B-9E6B-565535096553}"/>
    <cellStyle name="Normal 4 6 2 2 6 2 2 4" xfId="34787" xr:uid="{6E1549A7-9059-4A55-9309-E930934F041E}"/>
    <cellStyle name="Normal 4 6 2 2 6 2 3" xfId="22123" xr:uid="{F225F9BD-690A-49BF-B766-A8CE32DA2FF9}"/>
    <cellStyle name="Normal 4 6 2 2 6 2 3 2" xfId="39017" xr:uid="{136C95E6-EC00-4705-B084-74A26226CFF9}"/>
    <cellStyle name="Normal 4 6 2 2 6 2 4" xfId="13676" xr:uid="{6000B3CF-6FA0-4624-AB17-FCC76E4526C6}"/>
    <cellStyle name="Normal 4 6 2 2 6 2 5" xfId="30570" xr:uid="{459135CF-A558-49AE-93F4-0993A227773E}"/>
    <cellStyle name="Normal 4 6 2 2 6 3" xfId="6422" xr:uid="{00000000-0005-0000-0000-000028160000}"/>
    <cellStyle name="Normal 4 6 2 2 6 3 2" xfId="24195" xr:uid="{E6792078-BEFF-4E48-8B3A-4CC1E1DDBBA4}"/>
    <cellStyle name="Normal 4 6 2 2 6 3 2 2" xfId="41089" xr:uid="{19D55AD2-A4BB-452A-9C6A-9D966E94B9E0}"/>
    <cellStyle name="Normal 4 6 2 2 6 3 3" xfId="15748" xr:uid="{9D6FA7DF-FC3B-48E8-85BF-3B0C4EB68D47}"/>
    <cellStyle name="Normal 4 6 2 2 6 3 4" xfId="32642" xr:uid="{C18067B6-5D56-427A-BAC2-CB0B09EBA035}"/>
    <cellStyle name="Normal 4 6 2 2 6 4" xfId="19978" xr:uid="{01BF781E-8B9F-43D8-A8D4-1714CB3C7B3C}"/>
    <cellStyle name="Normal 4 6 2 2 6 4 2" xfId="36872" xr:uid="{C3FAA7D4-6BC4-4963-8ADD-51BB02219067}"/>
    <cellStyle name="Normal 4 6 2 2 6 5" xfId="11531" xr:uid="{F070B1CA-4102-4118-AD0E-466C8CDBF32E}"/>
    <cellStyle name="Normal 4 6 2 2 6 6" xfId="28425" xr:uid="{4B45A146-05E2-4135-8E3F-B94614EF54C9}"/>
    <cellStyle name="Normal 4 6 2 2 7" xfId="2552" xr:uid="{00000000-0005-0000-0000-000029160000}"/>
    <cellStyle name="Normal 4 6 2 2 7 2" xfId="6835" xr:uid="{00000000-0005-0000-0000-00002A160000}"/>
    <cellStyle name="Normal 4 6 2 2 7 2 2" xfId="24608" xr:uid="{CC8EDAEC-C1D4-4168-AA06-F95FD1C120C3}"/>
    <cellStyle name="Normal 4 6 2 2 7 2 2 2" xfId="41502" xr:uid="{46C9B585-BCE5-4D67-AE4C-AA2114F1D70F}"/>
    <cellStyle name="Normal 4 6 2 2 7 2 3" xfId="16161" xr:uid="{75E7AF97-56F8-47FB-992C-003AAB048AA5}"/>
    <cellStyle name="Normal 4 6 2 2 7 2 4" xfId="33055" xr:uid="{F1E4C46A-EABC-4542-B415-09CF6A2EE09A}"/>
    <cellStyle name="Normal 4 6 2 2 7 3" xfId="20391" xr:uid="{40BAACBC-3EF7-4489-9A4C-E896A81DF119}"/>
    <cellStyle name="Normal 4 6 2 2 7 3 2" xfId="37285" xr:uid="{0CE532EF-BDFC-496B-BEF4-890D154C64EB}"/>
    <cellStyle name="Normal 4 6 2 2 7 4" xfId="11944" xr:uid="{C113272D-C904-4F1F-A878-7CC514F234A9}"/>
    <cellStyle name="Normal 4 6 2 2 7 5" xfId="28838" xr:uid="{74580777-9581-4377-B30A-1EBA2E292D7E}"/>
    <cellStyle name="Normal 4 6 2 2 8" xfId="4770" xr:uid="{00000000-0005-0000-0000-00002B160000}"/>
    <cellStyle name="Normal 4 6 2 2 8 2" xfId="22543" xr:uid="{342C41FA-1E1F-41DE-99DF-9ACC466041EC}"/>
    <cellStyle name="Normal 4 6 2 2 8 2 2" xfId="39437" xr:uid="{2646DD44-979B-4A81-9044-C4DADD08FF62}"/>
    <cellStyle name="Normal 4 6 2 2 8 3" xfId="14096" xr:uid="{2FF9A532-B5EE-49D7-9B3B-0437604A830B}"/>
    <cellStyle name="Normal 4 6 2 2 8 4" xfId="30990" xr:uid="{7D4A9A43-958B-4C43-8F6B-DC3890E37CEC}"/>
    <cellStyle name="Normal 4 6 2 2 9" xfId="8928" xr:uid="{EC58FE5E-68BA-4864-AD86-0F9D1DB17AD0}"/>
    <cellStyle name="Normal 4 6 2 2 9 2" xfId="18326" xr:uid="{0C72000F-321C-48DD-BE5D-6398DC35A4F1}"/>
    <cellStyle name="Normal 4 6 2 2 9 3" xfId="35220" xr:uid="{CA5A2623-CC25-4FF1-B637-E1ABA31503DE}"/>
    <cellStyle name="Normal 4 6 2 3" xfId="399" xr:uid="{00000000-0005-0000-0000-00002C160000}"/>
    <cellStyle name="Normal 4 6 2 3 10" xfId="26775" xr:uid="{FFFD5451-B53D-44C7-9699-5FBD2ECA7239}"/>
    <cellStyle name="Normal 4 6 2 3 2" xfId="873" xr:uid="{00000000-0005-0000-0000-00002D160000}"/>
    <cellStyle name="Normal 4 6 2 3 2 2" xfId="3108" xr:uid="{00000000-0005-0000-0000-00002E160000}"/>
    <cellStyle name="Normal 4 6 2 3 2 2 2" xfId="7330" xr:uid="{00000000-0005-0000-0000-00002F160000}"/>
    <cellStyle name="Normal 4 6 2 3 2 2 2 2" xfId="25103" xr:uid="{E94444B8-AF45-408E-9F07-24D03B478D76}"/>
    <cellStyle name="Normal 4 6 2 3 2 2 2 2 2" xfId="41997" xr:uid="{F528AACA-6DE2-4D1A-A7ED-AE4254B5722F}"/>
    <cellStyle name="Normal 4 6 2 3 2 2 2 3" xfId="16656" xr:uid="{08540226-73B0-4AF8-A02A-DF10CFD12D9C}"/>
    <cellStyle name="Normal 4 6 2 3 2 2 2 4" xfId="33550" xr:uid="{0EBF9FA7-C427-488A-A159-4B2F915711D6}"/>
    <cellStyle name="Normal 4 6 2 3 2 2 3" xfId="20886" xr:uid="{9208B7B2-0ADB-461F-840C-18EF8987A813}"/>
    <cellStyle name="Normal 4 6 2 3 2 2 3 2" xfId="37780" xr:uid="{5D666DED-1081-423B-873F-06D1FDCC926F}"/>
    <cellStyle name="Normal 4 6 2 3 2 2 4" xfId="12439" xr:uid="{7C9C7178-321B-4C02-B760-D942318D17C3}"/>
    <cellStyle name="Normal 4 6 2 3 2 2 5" xfId="29333" xr:uid="{ED375933-8D16-4C4C-B96A-9F75FC5EA88F}"/>
    <cellStyle name="Normal 4 6 2 3 2 3" xfId="5185" xr:uid="{00000000-0005-0000-0000-000030160000}"/>
    <cellStyle name="Normal 4 6 2 3 2 3 2" xfId="22958" xr:uid="{26C45535-9EE8-4B85-BEB9-9612769DE7F6}"/>
    <cellStyle name="Normal 4 6 2 3 2 3 2 2" xfId="39852" xr:uid="{A109EBA5-F7C5-4373-8247-D6187399E782}"/>
    <cellStyle name="Normal 4 6 2 3 2 3 3" xfId="14511" xr:uid="{4E0E8682-D7A0-4296-BF08-30F21ACA69C2}"/>
    <cellStyle name="Normal 4 6 2 3 2 3 4" xfId="31405" xr:uid="{78585C53-3AB7-4512-9112-1C96DBD30BFC}"/>
    <cellStyle name="Normal 4 6 2 3 2 4" xfId="9457" xr:uid="{E86AED2D-42AD-49DE-9461-1FA72B82C89E}"/>
    <cellStyle name="Normal 4 6 2 3 2 4 2" xfId="18741" xr:uid="{3FE26878-95CC-407A-9B54-26D834E5C98D}"/>
    <cellStyle name="Normal 4 6 2 3 2 4 3" xfId="35635" xr:uid="{A13D388F-77FE-48D6-98D6-C73EF37D6E2C}"/>
    <cellStyle name="Normal 4 6 2 3 2 5" xfId="10294" xr:uid="{3E8FBF2E-BE4C-41CD-B79B-76049B8779E9}"/>
    <cellStyle name="Normal 4 6 2 3 2 6" xfId="27188" xr:uid="{6715A2A3-6AAB-4A8E-B0F9-FEAEBB8E2939}"/>
    <cellStyle name="Normal 4 6 2 3 3" xfId="1291" xr:uid="{00000000-0005-0000-0000-000031160000}"/>
    <cellStyle name="Normal 4 6 2 3 3 2" xfId="3521" xr:uid="{00000000-0005-0000-0000-000032160000}"/>
    <cellStyle name="Normal 4 6 2 3 3 2 2" xfId="7743" xr:uid="{00000000-0005-0000-0000-000033160000}"/>
    <cellStyle name="Normal 4 6 2 3 3 2 2 2" xfId="25516" xr:uid="{172D6880-C0D6-4064-8352-5498F954AE5E}"/>
    <cellStyle name="Normal 4 6 2 3 3 2 2 2 2" xfId="42410" xr:uid="{E9F67C19-A773-4546-A911-19233E379E4D}"/>
    <cellStyle name="Normal 4 6 2 3 3 2 2 3" xfId="17069" xr:uid="{1795C4F6-4567-4B61-A159-97BE9EFA060C}"/>
    <cellStyle name="Normal 4 6 2 3 3 2 2 4" xfId="33963" xr:uid="{C0CD0D0D-D51C-4108-8098-E7AF0884AE12}"/>
    <cellStyle name="Normal 4 6 2 3 3 2 3" xfId="21299" xr:uid="{3A191E24-8F96-4B90-A064-23291666151E}"/>
    <cellStyle name="Normal 4 6 2 3 3 2 3 2" xfId="38193" xr:uid="{0C269EAC-29C6-40B5-8464-8817F9D12219}"/>
    <cellStyle name="Normal 4 6 2 3 3 2 4" xfId="12852" xr:uid="{B2B6596F-4F59-4320-86A6-989588FACAAD}"/>
    <cellStyle name="Normal 4 6 2 3 3 2 5" xfId="29746" xr:uid="{9900B09B-DA13-43F2-B186-2151B4050DBD}"/>
    <cellStyle name="Normal 4 6 2 3 3 3" xfId="5598" xr:uid="{00000000-0005-0000-0000-000034160000}"/>
    <cellStyle name="Normal 4 6 2 3 3 3 2" xfId="23371" xr:uid="{D8A20537-B41F-4DDB-878A-3B5B13D130AC}"/>
    <cellStyle name="Normal 4 6 2 3 3 3 2 2" xfId="40265" xr:uid="{BFF46BAA-9058-4B85-9AA1-7F89767A9C4D}"/>
    <cellStyle name="Normal 4 6 2 3 3 3 3" xfId="14924" xr:uid="{C036C09B-936D-478A-B6CD-4C9A2A537308}"/>
    <cellStyle name="Normal 4 6 2 3 3 3 4" xfId="31818" xr:uid="{73D9EBAD-A180-4466-885E-05F03B212D39}"/>
    <cellStyle name="Normal 4 6 2 3 3 4" xfId="19154" xr:uid="{69EA5749-7F25-467D-965C-FFB351D32FB9}"/>
    <cellStyle name="Normal 4 6 2 3 3 4 2" xfId="36048" xr:uid="{4F41D2D1-3C94-46E7-916C-81A6D7F8E928}"/>
    <cellStyle name="Normal 4 6 2 3 3 5" xfId="10707" xr:uid="{695CE07C-94DE-4A8C-9118-72E0B9BDF8B4}"/>
    <cellStyle name="Normal 4 6 2 3 3 6" xfId="27601" xr:uid="{EA3D9511-0312-4D0F-AF35-375395C8E13C}"/>
    <cellStyle name="Normal 4 6 2 3 4" xfId="1704" xr:uid="{00000000-0005-0000-0000-000035160000}"/>
    <cellStyle name="Normal 4 6 2 3 4 2" xfId="3934" xr:uid="{00000000-0005-0000-0000-000036160000}"/>
    <cellStyle name="Normal 4 6 2 3 4 2 2" xfId="8156" xr:uid="{00000000-0005-0000-0000-000037160000}"/>
    <cellStyle name="Normal 4 6 2 3 4 2 2 2" xfId="25929" xr:uid="{1A1FB1BD-D45E-4E3D-B21D-E47E99ABFECA}"/>
    <cellStyle name="Normal 4 6 2 3 4 2 2 2 2" xfId="42823" xr:uid="{F2FFA936-D62C-43C3-96F9-FF8E60127E83}"/>
    <cellStyle name="Normal 4 6 2 3 4 2 2 3" xfId="17482" xr:uid="{DAC05137-724D-4C14-9264-7001852556FC}"/>
    <cellStyle name="Normal 4 6 2 3 4 2 2 4" xfId="34376" xr:uid="{185B0721-7937-4659-B345-F9CCBBADB733}"/>
    <cellStyle name="Normal 4 6 2 3 4 2 3" xfId="21712" xr:uid="{5D2FFF6E-5FE1-4944-A20B-08B510C8328A}"/>
    <cellStyle name="Normal 4 6 2 3 4 2 3 2" xfId="38606" xr:uid="{0DEF83C3-1FAA-4357-A172-9E166DDA7668}"/>
    <cellStyle name="Normal 4 6 2 3 4 2 4" xfId="13265" xr:uid="{FD3B4B28-B699-4AAC-94FF-EB3CC0C1126F}"/>
    <cellStyle name="Normal 4 6 2 3 4 2 5" xfId="30159" xr:uid="{EEC8AEDA-F438-49D9-B351-185B7426C31E}"/>
    <cellStyle name="Normal 4 6 2 3 4 3" xfId="6011" xr:uid="{00000000-0005-0000-0000-000038160000}"/>
    <cellStyle name="Normal 4 6 2 3 4 3 2" xfId="23784" xr:uid="{16B0217C-72D8-4AE1-9966-8E73C5D56D68}"/>
    <cellStyle name="Normal 4 6 2 3 4 3 2 2" xfId="40678" xr:uid="{BA576DFE-144D-4B7C-8B68-78DF946A68C0}"/>
    <cellStyle name="Normal 4 6 2 3 4 3 3" xfId="15337" xr:uid="{9FEBB505-EDB5-4961-AF90-1A6496BABA3B}"/>
    <cellStyle name="Normal 4 6 2 3 4 3 4" xfId="32231" xr:uid="{62A9DCAE-CB1A-41A8-9E47-DEB2F0F698FB}"/>
    <cellStyle name="Normal 4 6 2 3 4 4" xfId="19567" xr:uid="{0998315B-851C-4D2D-8656-1D6254C04CB0}"/>
    <cellStyle name="Normal 4 6 2 3 4 4 2" xfId="36461" xr:uid="{753962F9-FA43-44C4-996C-7706A1BC8F63}"/>
    <cellStyle name="Normal 4 6 2 3 4 5" xfId="11120" xr:uid="{1497C919-77C3-41EF-AA2D-41AB483211E3}"/>
    <cellStyle name="Normal 4 6 2 3 4 6" xfId="28014" xr:uid="{22D833A2-5E4F-4F69-BDB7-ADE12910193C}"/>
    <cellStyle name="Normal 4 6 2 3 5" xfId="2118" xr:uid="{00000000-0005-0000-0000-000039160000}"/>
    <cellStyle name="Normal 4 6 2 3 5 2" xfId="4347" xr:uid="{00000000-0005-0000-0000-00003A160000}"/>
    <cellStyle name="Normal 4 6 2 3 5 2 2" xfId="8569" xr:uid="{00000000-0005-0000-0000-00003B160000}"/>
    <cellStyle name="Normal 4 6 2 3 5 2 2 2" xfId="26342" xr:uid="{5CEE19B2-F0FE-46FC-852C-B5DE9A8265CC}"/>
    <cellStyle name="Normal 4 6 2 3 5 2 2 2 2" xfId="43236" xr:uid="{5F088ABD-0C80-4206-AB0C-A1E285062801}"/>
    <cellStyle name="Normal 4 6 2 3 5 2 2 3" xfId="17895" xr:uid="{354BE2D0-98C6-42EA-AF7E-0D8F5046310E}"/>
    <cellStyle name="Normal 4 6 2 3 5 2 2 4" xfId="34789" xr:uid="{361F9F1E-53D5-40D7-972A-FB40CCF6415A}"/>
    <cellStyle name="Normal 4 6 2 3 5 2 3" xfId="22125" xr:uid="{2E383840-408B-4450-BCE3-B3F46CD1B8B9}"/>
    <cellStyle name="Normal 4 6 2 3 5 2 3 2" xfId="39019" xr:uid="{0FAC27EB-FD2E-497E-A775-0082BAE918CA}"/>
    <cellStyle name="Normal 4 6 2 3 5 2 4" xfId="13678" xr:uid="{89AE69B5-3174-4B4C-8133-60813870D227}"/>
    <cellStyle name="Normal 4 6 2 3 5 2 5" xfId="30572" xr:uid="{5405974F-CE53-4860-9D7A-7E25D5B3FD75}"/>
    <cellStyle name="Normal 4 6 2 3 5 3" xfId="6424" xr:uid="{00000000-0005-0000-0000-00003C160000}"/>
    <cellStyle name="Normal 4 6 2 3 5 3 2" xfId="24197" xr:uid="{D7B21CA9-01A8-4520-9751-26AA15606AE2}"/>
    <cellStyle name="Normal 4 6 2 3 5 3 2 2" xfId="41091" xr:uid="{4CB34B9F-7FC8-460C-A1A4-BC624B27709B}"/>
    <cellStyle name="Normal 4 6 2 3 5 3 3" xfId="15750" xr:uid="{D4E43495-822E-4C3C-9BCE-1B3D739E71E2}"/>
    <cellStyle name="Normal 4 6 2 3 5 3 4" xfId="32644" xr:uid="{4D7FF49C-996C-4E99-9496-D8D6DBA85FE4}"/>
    <cellStyle name="Normal 4 6 2 3 5 4" xfId="19980" xr:uid="{388CEA23-772C-49DD-B6C6-C9D79E8EF0C4}"/>
    <cellStyle name="Normal 4 6 2 3 5 4 2" xfId="36874" xr:uid="{1CD04901-70AC-42E3-BAA3-808B4E13EB4F}"/>
    <cellStyle name="Normal 4 6 2 3 5 5" xfId="11533" xr:uid="{DDE129CC-537A-42AE-8873-CDA44274D9D9}"/>
    <cellStyle name="Normal 4 6 2 3 5 6" xfId="28427" xr:uid="{18F15B72-811E-4205-A519-D2C42205A046}"/>
    <cellStyle name="Normal 4 6 2 3 6" xfId="2554" xr:uid="{00000000-0005-0000-0000-00003D160000}"/>
    <cellStyle name="Normal 4 6 2 3 6 2" xfId="6837" xr:uid="{00000000-0005-0000-0000-00003E160000}"/>
    <cellStyle name="Normal 4 6 2 3 6 2 2" xfId="24610" xr:uid="{93BBE3E6-0448-4A3A-8B44-51F3556E0FEC}"/>
    <cellStyle name="Normal 4 6 2 3 6 2 2 2" xfId="41504" xr:uid="{42B80CC9-5782-4C75-BFEC-1002684871BA}"/>
    <cellStyle name="Normal 4 6 2 3 6 2 3" xfId="16163" xr:uid="{03F3D796-23B8-4CAA-B445-2D03886766E3}"/>
    <cellStyle name="Normal 4 6 2 3 6 2 4" xfId="33057" xr:uid="{5AE066D2-C6B7-4B62-A6E7-9EB0FB573FD3}"/>
    <cellStyle name="Normal 4 6 2 3 6 3" xfId="20393" xr:uid="{E9543BAF-0990-4BD2-9396-CA01CE2A2267}"/>
    <cellStyle name="Normal 4 6 2 3 6 3 2" xfId="37287" xr:uid="{CA09285A-EA81-40B1-BA95-F36F6F85A11B}"/>
    <cellStyle name="Normal 4 6 2 3 6 4" xfId="11946" xr:uid="{1423F7A8-0EC1-4518-B0C0-1458891C8763}"/>
    <cellStyle name="Normal 4 6 2 3 6 5" xfId="28840" xr:uid="{D18D0CF9-6649-4129-9CC4-ED4AAD59D443}"/>
    <cellStyle name="Normal 4 6 2 3 7" xfId="4772" xr:uid="{00000000-0005-0000-0000-00003F160000}"/>
    <cellStyle name="Normal 4 6 2 3 7 2" xfId="22545" xr:uid="{4272A754-77DF-4A3E-A0D6-4E72FB113855}"/>
    <cellStyle name="Normal 4 6 2 3 7 2 2" xfId="39439" xr:uid="{867151ED-A314-4BB8-B803-C22102FC94B4}"/>
    <cellStyle name="Normal 4 6 2 3 7 3" xfId="14098" xr:uid="{10740DA2-51B5-4338-8429-559DDEFE2265}"/>
    <cellStyle name="Normal 4 6 2 3 7 4" xfId="30992" xr:uid="{796C26DE-7A81-469A-B3D2-B05471415628}"/>
    <cellStyle name="Normal 4 6 2 3 8" xfId="9032" xr:uid="{576A1DC5-5971-4772-803F-0A60F80D4C41}"/>
    <cellStyle name="Normal 4 6 2 3 8 2" xfId="18328" xr:uid="{D3742FB5-21BA-438B-81DC-98DE31CA3E87}"/>
    <cellStyle name="Normal 4 6 2 3 8 3" xfId="35222" xr:uid="{B79EC1A6-9437-4E9D-BD3C-2FB9C13ADB91}"/>
    <cellStyle name="Normal 4 6 2 3 9" xfId="9881" xr:uid="{52A84AC2-2600-4723-A054-2EDCF2D3E0C3}"/>
    <cellStyle name="Normal 4 6 2 4" xfId="870" xr:uid="{00000000-0005-0000-0000-000040160000}"/>
    <cellStyle name="Normal 4 6 2 4 2" xfId="3105" xr:uid="{00000000-0005-0000-0000-000041160000}"/>
    <cellStyle name="Normal 4 6 2 4 2 2" xfId="7327" xr:uid="{00000000-0005-0000-0000-000042160000}"/>
    <cellStyle name="Normal 4 6 2 4 2 2 2" xfId="25100" xr:uid="{C57744CC-8BF5-4E04-9548-02493E3593A5}"/>
    <cellStyle name="Normal 4 6 2 4 2 2 2 2" xfId="41994" xr:uid="{9EBFD6C8-614F-4A34-92A2-8A0E110E8250}"/>
    <cellStyle name="Normal 4 6 2 4 2 2 3" xfId="16653" xr:uid="{1F1F5F93-9C42-46FB-803C-A3EE597B6E5D}"/>
    <cellStyle name="Normal 4 6 2 4 2 2 4" xfId="33547" xr:uid="{698C6AF7-7982-4AEE-8DA5-20DA239C4211}"/>
    <cellStyle name="Normal 4 6 2 4 2 3" xfId="20883" xr:uid="{28938F48-7ABF-4934-A12A-40B4B1A00597}"/>
    <cellStyle name="Normal 4 6 2 4 2 3 2" xfId="37777" xr:uid="{B7CF30DE-E682-4C9F-B44A-0AEFCB95270C}"/>
    <cellStyle name="Normal 4 6 2 4 2 4" xfId="12436" xr:uid="{2516E799-68B1-4DFF-B504-ED2C71EC0EE1}"/>
    <cellStyle name="Normal 4 6 2 4 2 5" xfId="29330" xr:uid="{B7D4217D-2909-48C9-8604-9EBA368E3B51}"/>
    <cellStyle name="Normal 4 6 2 4 3" xfId="5182" xr:uid="{00000000-0005-0000-0000-000043160000}"/>
    <cellStyle name="Normal 4 6 2 4 3 2" xfId="22955" xr:uid="{D9E01BFD-3B11-44F9-A480-0240ECFFC8CB}"/>
    <cellStyle name="Normal 4 6 2 4 3 2 2" xfId="39849" xr:uid="{771AB849-FA7A-44BC-A4DD-559A42A24AF8}"/>
    <cellStyle name="Normal 4 6 2 4 3 3" xfId="14508" xr:uid="{073F50C1-4F4C-4882-B5C9-C39878E5FBF6}"/>
    <cellStyle name="Normal 4 6 2 4 3 4" xfId="31402" xr:uid="{E036C59C-8FCF-4F6F-AEC5-4523C1CFED17}"/>
    <cellStyle name="Normal 4 6 2 4 4" xfId="9250" xr:uid="{CBBC9A51-5203-4C00-93C7-FE7C973DCDD1}"/>
    <cellStyle name="Normal 4 6 2 4 4 2" xfId="18738" xr:uid="{C5C48575-15CB-4D75-A09D-95E708AD8423}"/>
    <cellStyle name="Normal 4 6 2 4 4 3" xfId="35632" xr:uid="{92CBFD39-4926-4FCB-97D1-658E8644E2C8}"/>
    <cellStyle name="Normal 4 6 2 4 5" xfId="10291" xr:uid="{4407D7F7-F74B-4426-B287-A435286BE9ED}"/>
    <cellStyle name="Normal 4 6 2 4 6" xfId="27185" xr:uid="{D6855F08-2FCC-43A2-9F29-808B40B5786D}"/>
    <cellStyle name="Normal 4 6 2 5" xfId="1288" xr:uid="{00000000-0005-0000-0000-000044160000}"/>
    <cellStyle name="Normal 4 6 2 5 2" xfId="3518" xr:uid="{00000000-0005-0000-0000-000045160000}"/>
    <cellStyle name="Normal 4 6 2 5 2 2" xfId="7740" xr:uid="{00000000-0005-0000-0000-000046160000}"/>
    <cellStyle name="Normal 4 6 2 5 2 2 2" xfId="25513" xr:uid="{8095714A-B63F-4EFE-9430-64F2EEF88459}"/>
    <cellStyle name="Normal 4 6 2 5 2 2 2 2" xfId="42407" xr:uid="{006800C2-AFFE-406D-BF60-78BE52675FB4}"/>
    <cellStyle name="Normal 4 6 2 5 2 2 3" xfId="17066" xr:uid="{48E8110A-1882-41CF-9792-C96E044C708E}"/>
    <cellStyle name="Normal 4 6 2 5 2 2 4" xfId="33960" xr:uid="{9BD66AB8-644A-4FCA-B8B5-14CD79FC395E}"/>
    <cellStyle name="Normal 4 6 2 5 2 3" xfId="21296" xr:uid="{729084F8-3301-4C05-8ABB-9147B99F45B1}"/>
    <cellStyle name="Normal 4 6 2 5 2 3 2" xfId="38190" xr:uid="{E35E9CD8-A815-4F57-A9EE-D072A2BEBCE1}"/>
    <cellStyle name="Normal 4 6 2 5 2 4" xfId="12849" xr:uid="{7AFD59D6-11B0-4FDE-B6FE-E8759EF5BF16}"/>
    <cellStyle name="Normal 4 6 2 5 2 5" xfId="29743" xr:uid="{BACD83E9-D7D1-487E-A1F9-D6E0148999A4}"/>
    <cellStyle name="Normal 4 6 2 5 3" xfId="5595" xr:uid="{00000000-0005-0000-0000-000047160000}"/>
    <cellStyle name="Normal 4 6 2 5 3 2" xfId="23368" xr:uid="{E68AEBD1-0E0E-4564-A711-30E37F58D282}"/>
    <cellStyle name="Normal 4 6 2 5 3 2 2" xfId="40262" xr:uid="{FE6AEE35-46DE-4E66-9DCC-6F39C0AA7736}"/>
    <cellStyle name="Normal 4 6 2 5 3 3" xfId="14921" xr:uid="{938C7C9F-D2A7-4683-8C6F-ACDE4649CB25}"/>
    <cellStyle name="Normal 4 6 2 5 3 4" xfId="31815" xr:uid="{851464BB-A128-4732-9166-189F4D00D6E5}"/>
    <cellStyle name="Normal 4 6 2 5 4" xfId="19151" xr:uid="{C5F5BA40-C791-4C64-806E-13FD391D9A94}"/>
    <cellStyle name="Normal 4 6 2 5 4 2" xfId="36045" xr:uid="{794C658C-4B8C-46AA-91A3-C8BABF4A185D}"/>
    <cellStyle name="Normal 4 6 2 5 5" xfId="10704" xr:uid="{C0D139F1-720D-47E8-BCAC-4C2DE6EF9C06}"/>
    <cellStyle name="Normal 4 6 2 5 6" xfId="27598" xr:uid="{BC0BE87D-6022-4189-A9B6-8E50C1CC5825}"/>
    <cellStyle name="Normal 4 6 2 6" xfId="1701" xr:uid="{00000000-0005-0000-0000-000048160000}"/>
    <cellStyle name="Normal 4 6 2 6 2" xfId="3931" xr:uid="{00000000-0005-0000-0000-000049160000}"/>
    <cellStyle name="Normal 4 6 2 6 2 2" xfId="8153" xr:uid="{00000000-0005-0000-0000-00004A160000}"/>
    <cellStyle name="Normal 4 6 2 6 2 2 2" xfId="25926" xr:uid="{5DB8C9B5-8774-4133-A106-D2653B501C8F}"/>
    <cellStyle name="Normal 4 6 2 6 2 2 2 2" xfId="42820" xr:uid="{3031005E-7830-438D-8F6B-9E430330E78E}"/>
    <cellStyle name="Normal 4 6 2 6 2 2 3" xfId="17479" xr:uid="{271E4DDD-81E5-44CF-A7EA-6B1C24F4F446}"/>
    <cellStyle name="Normal 4 6 2 6 2 2 4" xfId="34373" xr:uid="{C47CF562-FF6B-480E-8430-7EB5ED2D8F9E}"/>
    <cellStyle name="Normal 4 6 2 6 2 3" xfId="21709" xr:uid="{345EDC7A-0E7B-49C3-9870-6AEAAFF5FED8}"/>
    <cellStyle name="Normal 4 6 2 6 2 3 2" xfId="38603" xr:uid="{9C72E8CD-F039-46F7-B928-5625FAFD82FA}"/>
    <cellStyle name="Normal 4 6 2 6 2 4" xfId="13262" xr:uid="{B9371DAC-7683-4CFB-BBA9-7D86C6633E15}"/>
    <cellStyle name="Normal 4 6 2 6 2 5" xfId="30156" xr:uid="{9D4CF0F7-3A56-4A72-BC7A-C0712A90EEF4}"/>
    <cellStyle name="Normal 4 6 2 6 3" xfId="6008" xr:uid="{00000000-0005-0000-0000-00004B160000}"/>
    <cellStyle name="Normal 4 6 2 6 3 2" xfId="23781" xr:uid="{50B56A9A-664A-4BAB-8F9B-DE7A138138E8}"/>
    <cellStyle name="Normal 4 6 2 6 3 2 2" xfId="40675" xr:uid="{D5E5DED1-FA57-4B76-80D9-F8D5CF74DD9E}"/>
    <cellStyle name="Normal 4 6 2 6 3 3" xfId="15334" xr:uid="{E000ECAA-C709-4289-BD98-750C9752D06B}"/>
    <cellStyle name="Normal 4 6 2 6 3 4" xfId="32228" xr:uid="{A0922458-15D4-45FE-924A-80950ADF3CAE}"/>
    <cellStyle name="Normal 4 6 2 6 4" xfId="19564" xr:uid="{B4AFCE49-F79F-4B8B-BB60-7835DBADE2D3}"/>
    <cellStyle name="Normal 4 6 2 6 4 2" xfId="36458" xr:uid="{9F1FACDB-68BD-434D-8A80-FFA8A2B87A8C}"/>
    <cellStyle name="Normal 4 6 2 6 5" xfId="11117" xr:uid="{C5C7C4D4-3C47-4F8C-B7FF-5EDDE702B15A}"/>
    <cellStyle name="Normal 4 6 2 6 6" xfId="28011" xr:uid="{57AB1F73-FD70-45B7-8851-5013060AE673}"/>
    <cellStyle name="Normal 4 6 2 7" xfId="2115" xr:uid="{00000000-0005-0000-0000-00004C160000}"/>
    <cellStyle name="Normal 4 6 2 7 2" xfId="4344" xr:uid="{00000000-0005-0000-0000-00004D160000}"/>
    <cellStyle name="Normal 4 6 2 7 2 2" xfId="8566" xr:uid="{00000000-0005-0000-0000-00004E160000}"/>
    <cellStyle name="Normal 4 6 2 7 2 2 2" xfId="26339" xr:uid="{7C5DC565-8B8E-4164-8874-34BA67F03E39}"/>
    <cellStyle name="Normal 4 6 2 7 2 2 2 2" xfId="43233" xr:uid="{4AD9A348-4FD7-42F7-96E2-A2CD4782458A}"/>
    <cellStyle name="Normal 4 6 2 7 2 2 3" xfId="17892" xr:uid="{A695234B-F758-407F-B0EA-F254B521E303}"/>
    <cellStyle name="Normal 4 6 2 7 2 2 4" xfId="34786" xr:uid="{6972B32B-3B4A-482C-9AF3-5903E856939A}"/>
    <cellStyle name="Normal 4 6 2 7 2 3" xfId="22122" xr:uid="{C7E3F8D6-D5AE-44D8-8707-B4A921213A33}"/>
    <cellStyle name="Normal 4 6 2 7 2 3 2" xfId="39016" xr:uid="{B59CF31C-FBD1-4F0E-8CA6-96CD5EFEDA74}"/>
    <cellStyle name="Normal 4 6 2 7 2 4" xfId="13675" xr:uid="{37F075E0-1E69-4E92-B6F5-90FF9C079DB6}"/>
    <cellStyle name="Normal 4 6 2 7 2 5" xfId="30569" xr:uid="{DA546B9A-9306-4DA6-B98B-D3AD27174FB7}"/>
    <cellStyle name="Normal 4 6 2 7 3" xfId="6421" xr:uid="{00000000-0005-0000-0000-00004F160000}"/>
    <cellStyle name="Normal 4 6 2 7 3 2" xfId="24194" xr:uid="{B2112437-4D70-45CB-8398-CEFEE3816606}"/>
    <cellStyle name="Normal 4 6 2 7 3 2 2" xfId="41088" xr:uid="{8AA941BB-9CC3-418B-AC67-E22D2E2E5118}"/>
    <cellStyle name="Normal 4 6 2 7 3 3" xfId="15747" xr:uid="{FDA09DBD-2338-4737-82F9-34C36D01386F}"/>
    <cellStyle name="Normal 4 6 2 7 3 4" xfId="32641" xr:uid="{F1AF92EC-7021-4188-8C20-2605C8B6982F}"/>
    <cellStyle name="Normal 4 6 2 7 4" xfId="19977" xr:uid="{4696196E-1585-44C7-BAA9-207EE5C5226B}"/>
    <cellStyle name="Normal 4 6 2 7 4 2" xfId="36871" xr:uid="{C3CE166D-B0A2-4549-A13F-93C9786BC906}"/>
    <cellStyle name="Normal 4 6 2 7 5" xfId="11530" xr:uid="{E6655A27-032F-4351-A38D-181C3F196659}"/>
    <cellStyle name="Normal 4 6 2 7 6" xfId="28424" xr:uid="{E1B8CEB6-D654-40EF-9BBB-D58711A357A7}"/>
    <cellStyle name="Normal 4 6 2 8" xfId="2551" xr:uid="{00000000-0005-0000-0000-000050160000}"/>
    <cellStyle name="Normal 4 6 2 8 2" xfId="6834" xr:uid="{00000000-0005-0000-0000-000051160000}"/>
    <cellStyle name="Normal 4 6 2 8 2 2" xfId="24607" xr:uid="{1DFD0303-EF46-47E6-96C6-9125B6607A16}"/>
    <cellStyle name="Normal 4 6 2 8 2 2 2" xfId="41501" xr:uid="{2F9481B4-5EA9-4D50-A6FE-FD1BD9C89960}"/>
    <cellStyle name="Normal 4 6 2 8 2 3" xfId="16160" xr:uid="{5EEE91DE-B4A1-490B-AD99-901A7EF6A83D}"/>
    <cellStyle name="Normal 4 6 2 8 2 4" xfId="33054" xr:uid="{B4342478-FC86-4E72-B4AE-D3A887A09EE8}"/>
    <cellStyle name="Normal 4 6 2 8 3" xfId="20390" xr:uid="{C29E0567-9895-430A-AD85-7A03DE3C24D0}"/>
    <cellStyle name="Normal 4 6 2 8 3 2" xfId="37284" xr:uid="{ECF22979-165C-47D8-B369-9BC6A7027C22}"/>
    <cellStyle name="Normal 4 6 2 8 4" xfId="11943" xr:uid="{716FAB82-35EE-4A61-89C7-97DC71AF9092}"/>
    <cellStyle name="Normal 4 6 2 8 5" xfId="28837" xr:uid="{9E4276E0-E8E8-416E-9536-10B013F61404}"/>
    <cellStyle name="Normal 4 6 2 9" xfId="4769" xr:uid="{00000000-0005-0000-0000-000052160000}"/>
    <cellStyle name="Normal 4 6 2 9 2" xfId="22542" xr:uid="{10E15E65-F7CB-45CE-A858-85C08DE4D36D}"/>
    <cellStyle name="Normal 4 6 2 9 2 2" xfId="39436" xr:uid="{3EB23B6F-3FF9-4888-AE38-FE29D2BA72C3}"/>
    <cellStyle name="Normal 4 6 2 9 3" xfId="14095" xr:uid="{6F0D3489-440F-496F-8C8C-66F02D7D5413}"/>
    <cellStyle name="Normal 4 6 2 9 4" xfId="30989" xr:uid="{34B03BF8-70B4-4129-BF36-531200AD85F4}"/>
    <cellStyle name="Normal 4 6 3" xfId="400" xr:uid="{00000000-0005-0000-0000-000053160000}"/>
    <cellStyle name="Normal 4 6 3 10" xfId="9882" xr:uid="{B4064493-2FA9-4EAC-8F9C-1AD98C23ED93}"/>
    <cellStyle name="Normal 4 6 3 11" xfId="26776" xr:uid="{2137B364-F7E7-447C-B692-4F0F93EAC2E9}"/>
    <cellStyle name="Normal 4 6 3 2" xfId="401" xr:uid="{00000000-0005-0000-0000-000054160000}"/>
    <cellStyle name="Normal 4 6 3 2 10" xfId="26777" xr:uid="{8CD8FD36-2ECB-4DE7-A0BD-D73472DF9820}"/>
    <cellStyle name="Normal 4 6 3 2 2" xfId="875" xr:uid="{00000000-0005-0000-0000-000055160000}"/>
    <cellStyle name="Normal 4 6 3 2 2 2" xfId="3110" xr:uid="{00000000-0005-0000-0000-000056160000}"/>
    <cellStyle name="Normal 4 6 3 2 2 2 2" xfId="7332" xr:uid="{00000000-0005-0000-0000-000057160000}"/>
    <cellStyle name="Normal 4 6 3 2 2 2 2 2" xfId="25105" xr:uid="{597703B4-FDEF-4651-8C5B-66D317C2053C}"/>
    <cellStyle name="Normal 4 6 3 2 2 2 2 2 2" xfId="41999" xr:uid="{85ADD10B-8AD4-4947-A11D-D0F1E6CB1C40}"/>
    <cellStyle name="Normal 4 6 3 2 2 2 2 3" xfId="16658" xr:uid="{303A5A9E-DA4E-457B-87C2-F87A15E575ED}"/>
    <cellStyle name="Normal 4 6 3 2 2 2 2 4" xfId="33552" xr:uid="{5786C324-0276-4ADF-9E7D-417D5BADF986}"/>
    <cellStyle name="Normal 4 6 3 2 2 2 3" xfId="20888" xr:uid="{BC35409F-55E1-48D4-935D-28D50C1CEEBA}"/>
    <cellStyle name="Normal 4 6 3 2 2 2 3 2" xfId="37782" xr:uid="{AB0C52BC-EB3A-47BC-BFBE-8CE2A76B9982}"/>
    <cellStyle name="Normal 4 6 3 2 2 2 4" xfId="12441" xr:uid="{FB7AD6E7-77E4-4637-BD16-65901D920EEF}"/>
    <cellStyle name="Normal 4 6 3 2 2 2 5" xfId="29335" xr:uid="{1515E91D-4F0C-424F-8C16-6B50E724886D}"/>
    <cellStyle name="Normal 4 6 3 2 2 3" xfId="5187" xr:uid="{00000000-0005-0000-0000-000058160000}"/>
    <cellStyle name="Normal 4 6 3 2 2 3 2" xfId="22960" xr:uid="{24DA454E-A328-41B6-AB61-B09292C6B1BD}"/>
    <cellStyle name="Normal 4 6 3 2 2 3 2 2" xfId="39854" xr:uid="{1D6DD3BC-452B-4BEB-8762-37C70E7B261D}"/>
    <cellStyle name="Normal 4 6 3 2 2 3 3" xfId="14513" xr:uid="{29F0B36A-B3CD-4362-B3BD-892050EFA15A}"/>
    <cellStyle name="Normal 4 6 3 2 2 3 4" xfId="31407" xr:uid="{B76621CF-9CF5-425D-86F6-E6537069E203}"/>
    <cellStyle name="Normal 4 6 3 2 2 4" xfId="9507" xr:uid="{63E4C3EA-8BE6-4CDE-9E44-1D64049D4CF5}"/>
    <cellStyle name="Normal 4 6 3 2 2 4 2" xfId="18743" xr:uid="{143543E5-769B-4D70-B8D7-48ED2348167D}"/>
    <cellStyle name="Normal 4 6 3 2 2 4 3" xfId="35637" xr:uid="{E8507DC4-9B3B-4655-B019-EBA3D94E5B34}"/>
    <cellStyle name="Normal 4 6 3 2 2 5" xfId="10296" xr:uid="{1E38AFCD-293E-470A-B2D1-E59511F45D52}"/>
    <cellStyle name="Normal 4 6 3 2 2 6" xfId="27190" xr:uid="{8DC363B6-40D3-4A05-86AF-772F2DF328C7}"/>
    <cellStyle name="Normal 4 6 3 2 3" xfId="1293" xr:uid="{00000000-0005-0000-0000-000059160000}"/>
    <cellStyle name="Normal 4 6 3 2 3 2" xfId="3523" xr:uid="{00000000-0005-0000-0000-00005A160000}"/>
    <cellStyle name="Normal 4 6 3 2 3 2 2" xfId="7745" xr:uid="{00000000-0005-0000-0000-00005B160000}"/>
    <cellStyle name="Normal 4 6 3 2 3 2 2 2" xfId="25518" xr:uid="{34C7CA30-6BCB-4469-AA30-D95A223E4D66}"/>
    <cellStyle name="Normal 4 6 3 2 3 2 2 2 2" xfId="42412" xr:uid="{8CE18C02-786A-4B4A-84E2-5A3520C4B0C1}"/>
    <cellStyle name="Normal 4 6 3 2 3 2 2 3" xfId="17071" xr:uid="{5C96BB84-3AD2-4BC5-9456-95B60DBAE84C}"/>
    <cellStyle name="Normal 4 6 3 2 3 2 2 4" xfId="33965" xr:uid="{4D102C04-8EF6-4CB9-BFC7-B9A03A7A5432}"/>
    <cellStyle name="Normal 4 6 3 2 3 2 3" xfId="21301" xr:uid="{083FBDF9-E573-4405-B6A1-2AB6BF3C7393}"/>
    <cellStyle name="Normal 4 6 3 2 3 2 3 2" xfId="38195" xr:uid="{E57FC012-6456-4106-AE7E-B93511EB172A}"/>
    <cellStyle name="Normal 4 6 3 2 3 2 4" xfId="12854" xr:uid="{F893451D-EF19-4DAF-AE36-3C7DB81BFD79}"/>
    <cellStyle name="Normal 4 6 3 2 3 2 5" xfId="29748" xr:uid="{8AAF2CBE-D216-4E60-94CD-D8505E38098A}"/>
    <cellStyle name="Normal 4 6 3 2 3 3" xfId="5600" xr:uid="{00000000-0005-0000-0000-00005C160000}"/>
    <cellStyle name="Normal 4 6 3 2 3 3 2" xfId="23373" xr:uid="{128879B7-EB7D-46BF-AE30-F725898CC70D}"/>
    <cellStyle name="Normal 4 6 3 2 3 3 2 2" xfId="40267" xr:uid="{DB1620C7-69A8-466B-88FD-5D93FB27D3DD}"/>
    <cellStyle name="Normal 4 6 3 2 3 3 3" xfId="14926" xr:uid="{9844CA01-06C7-4EFB-9DE9-2274085184D3}"/>
    <cellStyle name="Normal 4 6 3 2 3 3 4" xfId="31820" xr:uid="{197E6509-5749-4107-8E0C-0263F5458A05}"/>
    <cellStyle name="Normal 4 6 3 2 3 4" xfId="19156" xr:uid="{D9903C2F-F0DF-4A72-8E8A-A9C6EEE7BFF6}"/>
    <cellStyle name="Normal 4 6 3 2 3 4 2" xfId="36050" xr:uid="{C8D01D0E-F24E-468A-B0A2-68C8FAD1D459}"/>
    <cellStyle name="Normal 4 6 3 2 3 5" xfId="10709" xr:uid="{15391350-98D5-4C9A-A87B-7A2A48A57A4A}"/>
    <cellStyle name="Normal 4 6 3 2 3 6" xfId="27603" xr:uid="{C653A752-75B6-4767-8845-E65064B1A54F}"/>
    <cellStyle name="Normal 4 6 3 2 4" xfId="1706" xr:uid="{00000000-0005-0000-0000-00005D160000}"/>
    <cellStyle name="Normal 4 6 3 2 4 2" xfId="3936" xr:uid="{00000000-0005-0000-0000-00005E160000}"/>
    <cellStyle name="Normal 4 6 3 2 4 2 2" xfId="8158" xr:uid="{00000000-0005-0000-0000-00005F160000}"/>
    <cellStyle name="Normal 4 6 3 2 4 2 2 2" xfId="25931" xr:uid="{3DBA14F9-3293-4CF6-8582-E18356A51E78}"/>
    <cellStyle name="Normal 4 6 3 2 4 2 2 2 2" xfId="42825" xr:uid="{BC0B043D-B509-4C6B-B46F-C394ED623095}"/>
    <cellStyle name="Normal 4 6 3 2 4 2 2 3" xfId="17484" xr:uid="{2C1DEC70-41F1-4A69-9A7D-4DE4A668C12E}"/>
    <cellStyle name="Normal 4 6 3 2 4 2 2 4" xfId="34378" xr:uid="{3316E0CC-5377-4741-896C-8B0CE0D4174F}"/>
    <cellStyle name="Normal 4 6 3 2 4 2 3" xfId="21714" xr:uid="{0BCC6511-66C6-495A-AC75-9F665910238F}"/>
    <cellStyle name="Normal 4 6 3 2 4 2 3 2" xfId="38608" xr:uid="{28AD1578-C61A-431A-842F-344B4303AAC1}"/>
    <cellStyle name="Normal 4 6 3 2 4 2 4" xfId="13267" xr:uid="{FB07C80A-F5A7-487E-8CA2-86876F9C877F}"/>
    <cellStyle name="Normal 4 6 3 2 4 2 5" xfId="30161" xr:uid="{5719F4E1-7BDB-43E9-B6BC-2E1CC39C70EB}"/>
    <cellStyle name="Normal 4 6 3 2 4 3" xfId="6013" xr:uid="{00000000-0005-0000-0000-000060160000}"/>
    <cellStyle name="Normal 4 6 3 2 4 3 2" xfId="23786" xr:uid="{A00630EF-F127-4067-93DD-FA38DDB7B2DB}"/>
    <cellStyle name="Normal 4 6 3 2 4 3 2 2" xfId="40680" xr:uid="{22D09723-8572-4F43-BA70-AF9ECC4E203C}"/>
    <cellStyle name="Normal 4 6 3 2 4 3 3" xfId="15339" xr:uid="{81C25FD1-27E0-4835-834C-321A7BCD7733}"/>
    <cellStyle name="Normal 4 6 3 2 4 3 4" xfId="32233" xr:uid="{9A53B16F-DFF7-4157-B28D-49E78D17445A}"/>
    <cellStyle name="Normal 4 6 3 2 4 4" xfId="19569" xr:uid="{24C322E4-28D6-4F08-9D97-08C63617847D}"/>
    <cellStyle name="Normal 4 6 3 2 4 4 2" xfId="36463" xr:uid="{AF035E51-402E-42BB-9EBC-1D45E736BDAF}"/>
    <cellStyle name="Normal 4 6 3 2 4 5" xfId="11122" xr:uid="{190C971A-F7CD-4921-906E-1447852EC754}"/>
    <cellStyle name="Normal 4 6 3 2 4 6" xfId="28016" xr:uid="{F9E09088-5186-419A-A867-78B7E6EDE34B}"/>
    <cellStyle name="Normal 4 6 3 2 5" xfId="2120" xr:uid="{00000000-0005-0000-0000-000061160000}"/>
    <cellStyle name="Normal 4 6 3 2 5 2" xfId="4349" xr:uid="{00000000-0005-0000-0000-000062160000}"/>
    <cellStyle name="Normal 4 6 3 2 5 2 2" xfId="8571" xr:uid="{00000000-0005-0000-0000-000063160000}"/>
    <cellStyle name="Normal 4 6 3 2 5 2 2 2" xfId="26344" xr:uid="{08A228A5-1A60-424D-BB0B-5B02918737E4}"/>
    <cellStyle name="Normal 4 6 3 2 5 2 2 2 2" xfId="43238" xr:uid="{7285F858-4F96-436F-88AE-2903530AE315}"/>
    <cellStyle name="Normal 4 6 3 2 5 2 2 3" xfId="17897" xr:uid="{0695D1E8-9A57-4CDF-846C-B1A34FDE6A62}"/>
    <cellStyle name="Normal 4 6 3 2 5 2 2 4" xfId="34791" xr:uid="{D6F02E03-2BAC-4D33-9443-E65A472DBCE8}"/>
    <cellStyle name="Normal 4 6 3 2 5 2 3" xfId="22127" xr:uid="{7C6B8F3C-B28B-4C8D-AEC0-76EE93C35341}"/>
    <cellStyle name="Normal 4 6 3 2 5 2 3 2" xfId="39021" xr:uid="{F273AD2D-459F-45BC-9D86-37E870E9E901}"/>
    <cellStyle name="Normal 4 6 3 2 5 2 4" xfId="13680" xr:uid="{4E3F28B4-2A40-40C2-8209-29A8B2A05B24}"/>
    <cellStyle name="Normal 4 6 3 2 5 2 5" xfId="30574" xr:uid="{602A768A-C4DE-4E2E-ADD3-7A571CBE32D9}"/>
    <cellStyle name="Normal 4 6 3 2 5 3" xfId="6426" xr:uid="{00000000-0005-0000-0000-000064160000}"/>
    <cellStyle name="Normal 4 6 3 2 5 3 2" xfId="24199" xr:uid="{308C6E1C-58CE-42E2-8035-3FCD61123E47}"/>
    <cellStyle name="Normal 4 6 3 2 5 3 2 2" xfId="41093" xr:uid="{8A4490B2-6193-4FBE-B030-F6F6B179F985}"/>
    <cellStyle name="Normal 4 6 3 2 5 3 3" xfId="15752" xr:uid="{B7BC19B5-816B-480E-8093-A67FC4C08E03}"/>
    <cellStyle name="Normal 4 6 3 2 5 3 4" xfId="32646" xr:uid="{53A764C7-14FD-4CDE-BE2B-9877C81F6D19}"/>
    <cellStyle name="Normal 4 6 3 2 5 4" xfId="19982" xr:uid="{3CC35255-D6CB-45F1-8D4E-566B622D9425}"/>
    <cellStyle name="Normal 4 6 3 2 5 4 2" xfId="36876" xr:uid="{C5EF3167-2090-4EEB-B76D-149313FB2A79}"/>
    <cellStyle name="Normal 4 6 3 2 5 5" xfId="11535" xr:uid="{CED28757-7A97-4662-BF31-59C62FC883CE}"/>
    <cellStyle name="Normal 4 6 3 2 5 6" xfId="28429" xr:uid="{B0145118-24DF-4DFB-BD86-31AAE7949E06}"/>
    <cellStyle name="Normal 4 6 3 2 6" xfId="2556" xr:uid="{00000000-0005-0000-0000-000065160000}"/>
    <cellStyle name="Normal 4 6 3 2 6 2" xfId="6839" xr:uid="{00000000-0005-0000-0000-000066160000}"/>
    <cellStyle name="Normal 4 6 3 2 6 2 2" xfId="24612" xr:uid="{033C7B51-9115-4D3B-B04A-9EE9988F7154}"/>
    <cellStyle name="Normal 4 6 3 2 6 2 2 2" xfId="41506" xr:uid="{3858133A-595C-42DE-A0CE-C50D9DB22E27}"/>
    <cellStyle name="Normal 4 6 3 2 6 2 3" xfId="16165" xr:uid="{7F07E4D3-C631-41A2-98FB-A43A481F4AF5}"/>
    <cellStyle name="Normal 4 6 3 2 6 2 4" xfId="33059" xr:uid="{17C0F8C4-926E-456B-9191-F1941B101A71}"/>
    <cellStyle name="Normal 4 6 3 2 6 3" xfId="20395" xr:uid="{498693D4-01F5-43E8-8155-8436039DFBB4}"/>
    <cellStyle name="Normal 4 6 3 2 6 3 2" xfId="37289" xr:uid="{D2CE368B-6219-4BDF-8637-F6A0960EB3AA}"/>
    <cellStyle name="Normal 4 6 3 2 6 4" xfId="11948" xr:uid="{8790E26C-74E2-4A90-8753-6E7BB8E9348A}"/>
    <cellStyle name="Normal 4 6 3 2 6 5" xfId="28842" xr:uid="{8A8554BB-3799-4E95-9A6A-6C2E07B15CEB}"/>
    <cellStyle name="Normal 4 6 3 2 7" xfId="4774" xr:uid="{00000000-0005-0000-0000-000067160000}"/>
    <cellStyle name="Normal 4 6 3 2 7 2" xfId="22547" xr:uid="{70A9AF3B-4013-4B91-8E92-45A75764511C}"/>
    <cellStyle name="Normal 4 6 3 2 7 2 2" xfId="39441" xr:uid="{92AFB337-A9EC-4A09-9993-5B6C75E3D219}"/>
    <cellStyle name="Normal 4 6 3 2 7 3" xfId="14100" xr:uid="{11B9EC9D-67D4-4D8B-A99E-A3BD65993B64}"/>
    <cellStyle name="Normal 4 6 3 2 7 4" xfId="30994" xr:uid="{6AA0AC46-9990-4C10-95E6-A410E18D4F82}"/>
    <cellStyle name="Normal 4 6 3 2 8" xfId="9082" xr:uid="{B272D1AE-3713-4AD0-AE3F-D1A7344AD432}"/>
    <cellStyle name="Normal 4 6 3 2 8 2" xfId="18330" xr:uid="{B6E81C54-1AC4-4FFA-98CB-4D97E8CE4EF0}"/>
    <cellStyle name="Normal 4 6 3 2 8 3" xfId="35224" xr:uid="{248F8E29-2151-4C03-B947-D6170CB3510E}"/>
    <cellStyle name="Normal 4 6 3 2 9" xfId="9883" xr:uid="{7FC6AEBA-E910-4352-89B4-2B3260E47B80}"/>
    <cellStyle name="Normal 4 6 3 3" xfId="874" xr:uid="{00000000-0005-0000-0000-000068160000}"/>
    <cellStyle name="Normal 4 6 3 3 2" xfId="3109" xr:uid="{00000000-0005-0000-0000-000069160000}"/>
    <cellStyle name="Normal 4 6 3 3 2 2" xfId="7331" xr:uid="{00000000-0005-0000-0000-00006A160000}"/>
    <cellStyle name="Normal 4 6 3 3 2 2 2" xfId="25104" xr:uid="{7165EFCF-BFEB-4BE7-B7EE-86AEE6436CD9}"/>
    <cellStyle name="Normal 4 6 3 3 2 2 2 2" xfId="41998" xr:uid="{CB82457F-4836-4288-9756-835D667D4C90}"/>
    <cellStyle name="Normal 4 6 3 3 2 2 3" xfId="16657" xr:uid="{90107A35-84FE-4399-A260-C0C9CF0CB3B2}"/>
    <cellStyle name="Normal 4 6 3 3 2 2 4" xfId="33551" xr:uid="{E58D873C-5418-451D-B68B-B93C9795A73D}"/>
    <cellStyle name="Normal 4 6 3 3 2 3" xfId="20887" xr:uid="{A90395BC-6B18-49E0-A4F2-316CD74EA750}"/>
    <cellStyle name="Normal 4 6 3 3 2 3 2" xfId="37781" xr:uid="{7F712700-F564-4D32-B74F-9F8FD78E6167}"/>
    <cellStyle name="Normal 4 6 3 3 2 4" xfId="12440" xr:uid="{960A95DD-FB53-4AF0-A422-948287A490FB}"/>
    <cellStyle name="Normal 4 6 3 3 2 5" xfId="29334" xr:uid="{5FDCF148-2BD6-4CBB-BFD5-AB28AABABD20}"/>
    <cellStyle name="Normal 4 6 3 3 3" xfId="5186" xr:uid="{00000000-0005-0000-0000-00006B160000}"/>
    <cellStyle name="Normal 4 6 3 3 3 2" xfId="22959" xr:uid="{86208F9E-3BD2-49E8-AAF8-6DA9AF785A72}"/>
    <cellStyle name="Normal 4 6 3 3 3 2 2" xfId="39853" xr:uid="{5D02B0D0-C293-40C3-A0FD-04CFD8B5BD91}"/>
    <cellStyle name="Normal 4 6 3 3 3 3" xfId="14512" xr:uid="{6C93BC15-6A2B-401E-A04F-CC9CD64F9520}"/>
    <cellStyle name="Normal 4 6 3 3 3 4" xfId="31406" xr:uid="{C0BE1F83-EE4A-47AA-867F-E6C8A9ECC9A1}"/>
    <cellStyle name="Normal 4 6 3 3 4" xfId="9300" xr:uid="{955A2E97-C871-4115-A4F5-A642AE2D2C4B}"/>
    <cellStyle name="Normal 4 6 3 3 4 2" xfId="18742" xr:uid="{F3A551D3-7EE0-4369-8F93-8E23B7B1E54A}"/>
    <cellStyle name="Normal 4 6 3 3 4 3" xfId="35636" xr:uid="{F48BF3D5-FE67-429E-A8EF-4B76CB4A316B}"/>
    <cellStyle name="Normal 4 6 3 3 5" xfId="10295" xr:uid="{374DA1C3-EE9C-44DA-82AE-1FFBF99BC479}"/>
    <cellStyle name="Normal 4 6 3 3 6" xfId="27189" xr:uid="{0F77A60C-AB06-47BC-8847-FCCDCC7AC8CD}"/>
    <cellStyle name="Normal 4 6 3 4" xfId="1292" xr:uid="{00000000-0005-0000-0000-00006C160000}"/>
    <cellStyle name="Normal 4 6 3 4 2" xfId="3522" xr:uid="{00000000-0005-0000-0000-00006D160000}"/>
    <cellStyle name="Normal 4 6 3 4 2 2" xfId="7744" xr:uid="{00000000-0005-0000-0000-00006E160000}"/>
    <cellStyle name="Normal 4 6 3 4 2 2 2" xfId="25517" xr:uid="{9A92E1C3-96B6-4B1B-8668-C95F362827E0}"/>
    <cellStyle name="Normal 4 6 3 4 2 2 2 2" xfId="42411" xr:uid="{CDB81701-5A2A-4FA3-B047-F3BCA10F67C9}"/>
    <cellStyle name="Normal 4 6 3 4 2 2 3" xfId="17070" xr:uid="{8BF39965-F6F4-43DE-B49B-5C21029C56A9}"/>
    <cellStyle name="Normal 4 6 3 4 2 2 4" xfId="33964" xr:uid="{B458CC26-6EFE-4070-A8B2-8822E588DC93}"/>
    <cellStyle name="Normal 4 6 3 4 2 3" xfId="21300" xr:uid="{DD017504-3BB7-41CC-8BFD-51921426DC6B}"/>
    <cellStyle name="Normal 4 6 3 4 2 3 2" xfId="38194" xr:uid="{CF5FC847-87A7-42E6-8446-7B017BD539B7}"/>
    <cellStyle name="Normal 4 6 3 4 2 4" xfId="12853" xr:uid="{16507DE1-1CF3-4352-B74B-5DD233E3F02E}"/>
    <cellStyle name="Normal 4 6 3 4 2 5" xfId="29747" xr:uid="{EE0D85F9-0BCC-4F8B-A725-62CE6513BB1E}"/>
    <cellStyle name="Normal 4 6 3 4 3" xfId="5599" xr:uid="{00000000-0005-0000-0000-00006F160000}"/>
    <cellStyle name="Normal 4 6 3 4 3 2" xfId="23372" xr:uid="{8CE7ADAB-CC1B-4911-AC52-E819381A6890}"/>
    <cellStyle name="Normal 4 6 3 4 3 2 2" xfId="40266" xr:uid="{9C0013A9-11C7-4A7C-9B98-8A9AA3552F61}"/>
    <cellStyle name="Normal 4 6 3 4 3 3" xfId="14925" xr:uid="{967C34FD-34DA-4ECE-B4CD-44D807EE800F}"/>
    <cellStyle name="Normal 4 6 3 4 3 4" xfId="31819" xr:uid="{E500E5F9-3EA8-43BA-8C55-42144D113B82}"/>
    <cellStyle name="Normal 4 6 3 4 4" xfId="19155" xr:uid="{1EAC2C42-4236-495F-94BE-A99B742FF7CB}"/>
    <cellStyle name="Normal 4 6 3 4 4 2" xfId="36049" xr:uid="{7D6159F9-CED0-4BCD-B741-3E28C834EF55}"/>
    <cellStyle name="Normal 4 6 3 4 5" xfId="10708" xr:uid="{0B76205C-1C6E-4DF7-BF61-DEE2280B7C68}"/>
    <cellStyle name="Normal 4 6 3 4 6" xfId="27602" xr:uid="{8F2DFB6C-D088-4079-8800-AC3E8EA6E8C7}"/>
    <cellStyle name="Normal 4 6 3 5" xfId="1705" xr:uid="{00000000-0005-0000-0000-000070160000}"/>
    <cellStyle name="Normal 4 6 3 5 2" xfId="3935" xr:uid="{00000000-0005-0000-0000-000071160000}"/>
    <cellStyle name="Normal 4 6 3 5 2 2" xfId="8157" xr:uid="{00000000-0005-0000-0000-000072160000}"/>
    <cellStyle name="Normal 4 6 3 5 2 2 2" xfId="25930" xr:uid="{2529D2F4-0FDB-4652-88F3-9335DA996A82}"/>
    <cellStyle name="Normal 4 6 3 5 2 2 2 2" xfId="42824" xr:uid="{09ED7D2A-8328-4002-93AF-5F7E1D1EDB16}"/>
    <cellStyle name="Normal 4 6 3 5 2 2 3" xfId="17483" xr:uid="{541A302A-069F-4396-8E79-8B471CBFEAC5}"/>
    <cellStyle name="Normal 4 6 3 5 2 2 4" xfId="34377" xr:uid="{8C212301-6145-4A78-81FA-31C0E9EA6A30}"/>
    <cellStyle name="Normal 4 6 3 5 2 3" xfId="21713" xr:uid="{E7DBF7EE-01FF-4A07-A554-2149E2A3E832}"/>
    <cellStyle name="Normal 4 6 3 5 2 3 2" xfId="38607" xr:uid="{3437335A-8F02-4133-B412-C299F82AA5F9}"/>
    <cellStyle name="Normal 4 6 3 5 2 4" xfId="13266" xr:uid="{47428B31-B0D8-408E-BFF4-8AAE50640E85}"/>
    <cellStyle name="Normal 4 6 3 5 2 5" xfId="30160" xr:uid="{9EDF84A1-A7B7-49D8-A9DC-22B0640738F0}"/>
    <cellStyle name="Normal 4 6 3 5 3" xfId="6012" xr:uid="{00000000-0005-0000-0000-000073160000}"/>
    <cellStyle name="Normal 4 6 3 5 3 2" xfId="23785" xr:uid="{3C3FF038-301F-47D5-8D11-22744BB1B0F6}"/>
    <cellStyle name="Normal 4 6 3 5 3 2 2" xfId="40679" xr:uid="{EBA62326-56A3-497C-99BB-17383DCAFF7E}"/>
    <cellStyle name="Normal 4 6 3 5 3 3" xfId="15338" xr:uid="{5C54D5E1-70A1-49D3-9F78-F330B704F59B}"/>
    <cellStyle name="Normal 4 6 3 5 3 4" xfId="32232" xr:uid="{422F36E6-08B3-4A9B-A751-15AD18FDD6DC}"/>
    <cellStyle name="Normal 4 6 3 5 4" xfId="19568" xr:uid="{B2D7B518-700A-4027-A94E-1279B0DC1DD0}"/>
    <cellStyle name="Normal 4 6 3 5 4 2" xfId="36462" xr:uid="{B5D88E56-94BA-412D-B448-E03797218216}"/>
    <cellStyle name="Normal 4 6 3 5 5" xfId="11121" xr:uid="{442A3709-2CA4-4985-9EAD-BB5ED00332E6}"/>
    <cellStyle name="Normal 4 6 3 5 6" xfId="28015" xr:uid="{766B268B-7625-47E7-B15B-D7AEBB01AAA7}"/>
    <cellStyle name="Normal 4 6 3 6" xfId="2119" xr:uid="{00000000-0005-0000-0000-000074160000}"/>
    <cellStyle name="Normal 4 6 3 6 2" xfId="4348" xr:uid="{00000000-0005-0000-0000-000075160000}"/>
    <cellStyle name="Normal 4 6 3 6 2 2" xfId="8570" xr:uid="{00000000-0005-0000-0000-000076160000}"/>
    <cellStyle name="Normal 4 6 3 6 2 2 2" xfId="26343" xr:uid="{BE068DE5-CE5A-4F12-A5C7-797FF0B50449}"/>
    <cellStyle name="Normal 4 6 3 6 2 2 2 2" xfId="43237" xr:uid="{DF67897D-952F-44E8-B9D9-54C31DA8F695}"/>
    <cellStyle name="Normal 4 6 3 6 2 2 3" xfId="17896" xr:uid="{931AA3BF-B29E-48D5-8171-9AF8BA34D0E9}"/>
    <cellStyle name="Normal 4 6 3 6 2 2 4" xfId="34790" xr:uid="{89107DA7-C5C9-466D-AF46-79D225C04AD9}"/>
    <cellStyle name="Normal 4 6 3 6 2 3" xfId="22126" xr:uid="{634F20F7-1403-4DFC-B900-2F42B5E2C2C9}"/>
    <cellStyle name="Normal 4 6 3 6 2 3 2" xfId="39020" xr:uid="{9F385143-F9BD-4F83-9EEA-BFE3D78EFA73}"/>
    <cellStyle name="Normal 4 6 3 6 2 4" xfId="13679" xr:uid="{F32167A4-D47E-4AF1-926C-4618AC5C5EC3}"/>
    <cellStyle name="Normal 4 6 3 6 2 5" xfId="30573" xr:uid="{F7DD4DA9-8E9F-40BF-9599-191C5EB58636}"/>
    <cellStyle name="Normal 4 6 3 6 3" xfId="6425" xr:uid="{00000000-0005-0000-0000-000077160000}"/>
    <cellStyle name="Normal 4 6 3 6 3 2" xfId="24198" xr:uid="{D0476B08-F256-4691-9FDA-18822C45C10D}"/>
    <cellStyle name="Normal 4 6 3 6 3 2 2" xfId="41092" xr:uid="{C3CAA46A-2A63-4FFB-BEDC-66E0EBEBB726}"/>
    <cellStyle name="Normal 4 6 3 6 3 3" xfId="15751" xr:uid="{13E9D026-079F-4D44-8957-ABBC91A322A6}"/>
    <cellStyle name="Normal 4 6 3 6 3 4" xfId="32645" xr:uid="{23D14BA5-EF83-406C-B48B-0F4B899DBA00}"/>
    <cellStyle name="Normal 4 6 3 6 4" xfId="19981" xr:uid="{58706799-CE4F-4AD6-97E3-39852DF8F767}"/>
    <cellStyle name="Normal 4 6 3 6 4 2" xfId="36875" xr:uid="{0EF3B812-0970-4C2E-8EA5-54D3737819A9}"/>
    <cellStyle name="Normal 4 6 3 6 5" xfId="11534" xr:uid="{301B731D-34A4-4DBC-AC8E-29E0E184FF59}"/>
    <cellStyle name="Normal 4 6 3 6 6" xfId="28428" xr:uid="{B0B8191A-BE61-49C4-8596-C1A4FB7C5A08}"/>
    <cellStyle name="Normal 4 6 3 7" xfId="2555" xr:uid="{00000000-0005-0000-0000-000078160000}"/>
    <cellStyle name="Normal 4 6 3 7 2" xfId="6838" xr:uid="{00000000-0005-0000-0000-000079160000}"/>
    <cellStyle name="Normal 4 6 3 7 2 2" xfId="24611" xr:uid="{FC004E27-C8EC-4FB3-B53B-01B84FA6253F}"/>
    <cellStyle name="Normal 4 6 3 7 2 2 2" xfId="41505" xr:uid="{BFCA6E30-FC80-4E59-963F-239ED50DBBEA}"/>
    <cellStyle name="Normal 4 6 3 7 2 3" xfId="16164" xr:uid="{7121E34B-0141-47CC-82AE-D798752360C2}"/>
    <cellStyle name="Normal 4 6 3 7 2 4" xfId="33058" xr:uid="{818BF0B0-8CC6-440C-AEE0-858276AF7966}"/>
    <cellStyle name="Normal 4 6 3 7 3" xfId="20394" xr:uid="{CD4EE2FA-6639-406C-8FBF-359C97018033}"/>
    <cellStyle name="Normal 4 6 3 7 3 2" xfId="37288" xr:uid="{A0E8AD6E-0A32-4876-A58A-EE07B6D9C9F1}"/>
    <cellStyle name="Normal 4 6 3 7 4" xfId="11947" xr:uid="{AD18526F-33BD-4155-A40E-5155F99F2672}"/>
    <cellStyle name="Normal 4 6 3 7 5" xfId="28841" xr:uid="{3325D935-D329-469A-A2FB-40110B38309D}"/>
    <cellStyle name="Normal 4 6 3 8" xfId="4773" xr:uid="{00000000-0005-0000-0000-00007A160000}"/>
    <cellStyle name="Normal 4 6 3 8 2" xfId="22546" xr:uid="{13647F15-C672-4432-A30A-CA6D7AB0D956}"/>
    <cellStyle name="Normal 4 6 3 8 2 2" xfId="39440" xr:uid="{264C868E-63B6-4923-ADD3-BC787115B257}"/>
    <cellStyle name="Normal 4 6 3 8 3" xfId="14099" xr:uid="{1C2F68B9-456C-47D0-8C38-3C183ADD0B1D}"/>
    <cellStyle name="Normal 4 6 3 8 4" xfId="30993" xr:uid="{5BF63663-187E-42A7-B97F-D8B605734F40}"/>
    <cellStyle name="Normal 4 6 3 9" xfId="8875" xr:uid="{DFD24C28-B729-444D-A0F6-B5522ED354D5}"/>
    <cellStyle name="Normal 4 6 3 9 2" xfId="18329" xr:uid="{DB76146D-4EE4-4CB5-9A99-CC5A3C09B71B}"/>
    <cellStyle name="Normal 4 6 3 9 3" xfId="35223" xr:uid="{2CC434AA-43CC-4F5A-929D-F9E620DCE114}"/>
    <cellStyle name="Normal 4 6 4" xfId="402" xr:uid="{00000000-0005-0000-0000-00007B160000}"/>
    <cellStyle name="Normal 4 6 4 10" xfId="26778" xr:uid="{E984328E-4252-47C3-B902-A9A5D98805D5}"/>
    <cellStyle name="Normal 4 6 4 2" xfId="876" xr:uid="{00000000-0005-0000-0000-00007C160000}"/>
    <cellStyle name="Normal 4 6 4 2 2" xfId="3111" xr:uid="{00000000-0005-0000-0000-00007D160000}"/>
    <cellStyle name="Normal 4 6 4 2 2 2" xfId="7333" xr:uid="{00000000-0005-0000-0000-00007E160000}"/>
    <cellStyle name="Normal 4 6 4 2 2 2 2" xfId="25106" xr:uid="{24B43557-1F25-4CCE-9683-EFA5CCD8C6C9}"/>
    <cellStyle name="Normal 4 6 4 2 2 2 2 2" xfId="42000" xr:uid="{09C62A52-D8F6-45EB-B476-CE6C44D63C73}"/>
    <cellStyle name="Normal 4 6 4 2 2 2 3" xfId="16659" xr:uid="{CA7E0150-66ED-4480-8D1A-FB3C5B3A0D7C}"/>
    <cellStyle name="Normal 4 6 4 2 2 2 4" xfId="33553" xr:uid="{601B3C0A-3B44-4668-972C-053D123DB286}"/>
    <cellStyle name="Normal 4 6 4 2 2 3" xfId="20889" xr:uid="{949CC50B-FCF6-4C04-B94A-4A9E4F498C59}"/>
    <cellStyle name="Normal 4 6 4 2 2 3 2" xfId="37783" xr:uid="{E3697B7F-25D6-4DED-A35C-45D0522A717F}"/>
    <cellStyle name="Normal 4 6 4 2 2 4" xfId="12442" xr:uid="{BC7D34BF-6BC9-49A3-877B-775F7A049E25}"/>
    <cellStyle name="Normal 4 6 4 2 2 5" xfId="29336" xr:uid="{5BC02E51-B63A-488D-A629-C50DA770A386}"/>
    <cellStyle name="Normal 4 6 4 2 3" xfId="5188" xr:uid="{00000000-0005-0000-0000-00007F160000}"/>
    <cellStyle name="Normal 4 6 4 2 3 2" xfId="22961" xr:uid="{B4A45900-DEFC-4C05-8EB3-1E8DAE17D533}"/>
    <cellStyle name="Normal 4 6 4 2 3 2 2" xfId="39855" xr:uid="{93DCB27D-533C-43F5-B6B9-056673C00B7D}"/>
    <cellStyle name="Normal 4 6 4 2 3 3" xfId="14514" xr:uid="{1EF0249C-1EDA-4E4C-B69E-F87168925CD5}"/>
    <cellStyle name="Normal 4 6 4 2 3 4" xfId="31408" xr:uid="{949CFF7B-4FFC-4B79-A5CF-24EF88794E3E}"/>
    <cellStyle name="Normal 4 6 4 2 4" xfId="9404" xr:uid="{D1BAB6D6-35EF-4C34-91EA-2EB17352CDF9}"/>
    <cellStyle name="Normal 4 6 4 2 4 2" xfId="18744" xr:uid="{34A20F42-6C34-4A1A-A1A2-8B15C8B409E0}"/>
    <cellStyle name="Normal 4 6 4 2 4 3" xfId="35638" xr:uid="{A8B8F018-381F-430F-AB0D-F7555C7A7836}"/>
    <cellStyle name="Normal 4 6 4 2 5" xfId="10297" xr:uid="{1F269FAE-555A-43CE-9A41-863353359D2D}"/>
    <cellStyle name="Normal 4 6 4 2 6" xfId="27191" xr:uid="{EBB88ACC-A205-4D18-A020-5AF87CC9D97F}"/>
    <cellStyle name="Normal 4 6 4 3" xfId="1294" xr:uid="{00000000-0005-0000-0000-000080160000}"/>
    <cellStyle name="Normal 4 6 4 3 2" xfId="3524" xr:uid="{00000000-0005-0000-0000-000081160000}"/>
    <cellStyle name="Normal 4 6 4 3 2 2" xfId="7746" xr:uid="{00000000-0005-0000-0000-000082160000}"/>
    <cellStyle name="Normal 4 6 4 3 2 2 2" xfId="25519" xr:uid="{AE09E844-6B84-4983-BC4F-BB6A860DB377}"/>
    <cellStyle name="Normal 4 6 4 3 2 2 2 2" xfId="42413" xr:uid="{BE5B43C8-749C-4DD2-8F16-8F5DFEBF3438}"/>
    <cellStyle name="Normal 4 6 4 3 2 2 3" xfId="17072" xr:uid="{80B1984B-ED90-4C76-A33C-86D2CDFD6B4F}"/>
    <cellStyle name="Normal 4 6 4 3 2 2 4" xfId="33966" xr:uid="{EAC5CD51-163C-44DD-8D4E-4F0A00F8DDA4}"/>
    <cellStyle name="Normal 4 6 4 3 2 3" xfId="21302" xr:uid="{5CE5975C-5376-4EA1-ABA3-4DE0D1C9CEE3}"/>
    <cellStyle name="Normal 4 6 4 3 2 3 2" xfId="38196" xr:uid="{5E09BE2A-1210-4F2A-AC2E-23F2BAC30F20}"/>
    <cellStyle name="Normal 4 6 4 3 2 4" xfId="12855" xr:uid="{41062CBA-8147-40A6-A046-41FE73F376EB}"/>
    <cellStyle name="Normal 4 6 4 3 2 5" xfId="29749" xr:uid="{A3E965E5-2A4B-4C4A-9E02-FD465FF87F34}"/>
    <cellStyle name="Normal 4 6 4 3 3" xfId="5601" xr:uid="{00000000-0005-0000-0000-000083160000}"/>
    <cellStyle name="Normal 4 6 4 3 3 2" xfId="23374" xr:uid="{7BA7A0AB-DCF9-40C4-92A3-6558A387F32D}"/>
    <cellStyle name="Normal 4 6 4 3 3 2 2" xfId="40268" xr:uid="{72473A09-D320-46C8-ADC1-0F80AEF389DA}"/>
    <cellStyle name="Normal 4 6 4 3 3 3" xfId="14927" xr:uid="{86C1C978-0709-4797-BBB5-329F36D7A363}"/>
    <cellStyle name="Normal 4 6 4 3 3 4" xfId="31821" xr:uid="{4282D206-0E89-450E-AB71-75ACE62DD0EF}"/>
    <cellStyle name="Normal 4 6 4 3 4" xfId="19157" xr:uid="{3E270EDB-C324-4683-A0EF-F3E8669B3DAE}"/>
    <cellStyle name="Normal 4 6 4 3 4 2" xfId="36051" xr:uid="{1194B43C-4C3A-401E-A7DC-EA32203BE6A9}"/>
    <cellStyle name="Normal 4 6 4 3 5" xfId="10710" xr:uid="{F8B60311-C6FD-4A26-8458-B1A07FB5104E}"/>
    <cellStyle name="Normal 4 6 4 3 6" xfId="27604" xr:uid="{4940482E-C727-4F94-9B49-C23803CEE4D4}"/>
    <cellStyle name="Normal 4 6 4 4" xfId="1707" xr:uid="{00000000-0005-0000-0000-000084160000}"/>
    <cellStyle name="Normal 4 6 4 4 2" xfId="3937" xr:uid="{00000000-0005-0000-0000-000085160000}"/>
    <cellStyle name="Normal 4 6 4 4 2 2" xfId="8159" xr:uid="{00000000-0005-0000-0000-000086160000}"/>
    <cellStyle name="Normal 4 6 4 4 2 2 2" xfId="25932" xr:uid="{918A2CF5-03C4-42E8-A254-E801AA499748}"/>
    <cellStyle name="Normal 4 6 4 4 2 2 2 2" xfId="42826" xr:uid="{4174520B-0811-4FBA-AB02-CE093E52C206}"/>
    <cellStyle name="Normal 4 6 4 4 2 2 3" xfId="17485" xr:uid="{2139A582-8232-436E-A50E-528E0A4E4D34}"/>
    <cellStyle name="Normal 4 6 4 4 2 2 4" xfId="34379" xr:uid="{072B7363-C26C-490E-95E3-3AB2B15DEF31}"/>
    <cellStyle name="Normal 4 6 4 4 2 3" xfId="21715" xr:uid="{E21C9D28-D18B-4177-B51C-0D71B369B516}"/>
    <cellStyle name="Normal 4 6 4 4 2 3 2" xfId="38609" xr:uid="{C8C47CCE-0903-46C0-ACE5-0078BDC850C1}"/>
    <cellStyle name="Normal 4 6 4 4 2 4" xfId="13268" xr:uid="{C73E41A2-2A44-44CC-9E75-E99CC62F7A98}"/>
    <cellStyle name="Normal 4 6 4 4 2 5" xfId="30162" xr:uid="{9E795B41-9EF0-4DD4-941A-CC2C68B6B50F}"/>
    <cellStyle name="Normal 4 6 4 4 3" xfId="6014" xr:uid="{00000000-0005-0000-0000-000087160000}"/>
    <cellStyle name="Normal 4 6 4 4 3 2" xfId="23787" xr:uid="{AB678D75-9883-4D92-9959-6FAD61DFC9E9}"/>
    <cellStyle name="Normal 4 6 4 4 3 2 2" xfId="40681" xr:uid="{6A7A68CA-79BD-4185-8AE6-A2C3299EE2B2}"/>
    <cellStyle name="Normal 4 6 4 4 3 3" xfId="15340" xr:uid="{D9248A43-0DAD-42EC-8E42-4FDD8CBAD767}"/>
    <cellStyle name="Normal 4 6 4 4 3 4" xfId="32234" xr:uid="{4732C015-C90B-4C65-8E5B-3EC4A155CAA8}"/>
    <cellStyle name="Normal 4 6 4 4 4" xfId="19570" xr:uid="{D4491D3A-B153-4420-8E93-25D398A4E63A}"/>
    <cellStyle name="Normal 4 6 4 4 4 2" xfId="36464" xr:uid="{993F8B06-00E8-4D01-9BC8-A52592CC7AEF}"/>
    <cellStyle name="Normal 4 6 4 4 5" xfId="11123" xr:uid="{C085885C-B735-4DF0-86DC-18A712F334EC}"/>
    <cellStyle name="Normal 4 6 4 4 6" xfId="28017" xr:uid="{AFB013AE-318B-4C24-869D-EA987DCBD172}"/>
    <cellStyle name="Normal 4 6 4 5" xfId="2121" xr:uid="{00000000-0005-0000-0000-000088160000}"/>
    <cellStyle name="Normal 4 6 4 5 2" xfId="4350" xr:uid="{00000000-0005-0000-0000-000089160000}"/>
    <cellStyle name="Normal 4 6 4 5 2 2" xfId="8572" xr:uid="{00000000-0005-0000-0000-00008A160000}"/>
    <cellStyle name="Normal 4 6 4 5 2 2 2" xfId="26345" xr:uid="{293908F9-5FB4-452F-B820-E94BF3A076F8}"/>
    <cellStyle name="Normal 4 6 4 5 2 2 2 2" xfId="43239" xr:uid="{CCCAC04F-2C09-4AC4-BD7B-BC18FCED7E67}"/>
    <cellStyle name="Normal 4 6 4 5 2 2 3" xfId="17898" xr:uid="{F309B4C3-0316-4FA9-97AB-7B655D2E26EF}"/>
    <cellStyle name="Normal 4 6 4 5 2 2 4" xfId="34792" xr:uid="{A4414F74-68EA-440A-9053-8A1D6A867189}"/>
    <cellStyle name="Normal 4 6 4 5 2 3" xfId="22128" xr:uid="{152A641F-F7D5-4B1E-8743-92B307007224}"/>
    <cellStyle name="Normal 4 6 4 5 2 3 2" xfId="39022" xr:uid="{200A19F7-0DC5-4895-99D5-BC952164E68C}"/>
    <cellStyle name="Normal 4 6 4 5 2 4" xfId="13681" xr:uid="{2B50758B-F39A-481B-8055-F259920E9E99}"/>
    <cellStyle name="Normal 4 6 4 5 2 5" xfId="30575" xr:uid="{BE615615-57C0-48A0-AD01-70B99C280C7C}"/>
    <cellStyle name="Normal 4 6 4 5 3" xfId="6427" xr:uid="{00000000-0005-0000-0000-00008B160000}"/>
    <cellStyle name="Normal 4 6 4 5 3 2" xfId="24200" xr:uid="{16966B10-704B-430B-9B21-57CD2DFCC7E4}"/>
    <cellStyle name="Normal 4 6 4 5 3 2 2" xfId="41094" xr:uid="{8DB7AAFB-4D52-49BA-BB44-6B30CA1B4F4E}"/>
    <cellStyle name="Normal 4 6 4 5 3 3" xfId="15753" xr:uid="{646D136D-79E5-4C07-9DFE-9A0C19AF7A7E}"/>
    <cellStyle name="Normal 4 6 4 5 3 4" xfId="32647" xr:uid="{4AA9443D-C74F-453D-9F40-DFE6DA6AB904}"/>
    <cellStyle name="Normal 4 6 4 5 4" xfId="19983" xr:uid="{5476BC19-BA51-4241-9058-F7ABA9B91607}"/>
    <cellStyle name="Normal 4 6 4 5 4 2" xfId="36877" xr:uid="{6917A7FF-F4C3-4AD9-9644-8E81FC5FDF65}"/>
    <cellStyle name="Normal 4 6 4 5 5" xfId="11536" xr:uid="{AC3B8852-8C0E-494F-9466-BF8BBF6B53D5}"/>
    <cellStyle name="Normal 4 6 4 5 6" xfId="28430" xr:uid="{E18B44DA-75E5-4D2E-A08B-36EEA1457ABD}"/>
    <cellStyle name="Normal 4 6 4 6" xfId="2557" xr:uid="{00000000-0005-0000-0000-00008C160000}"/>
    <cellStyle name="Normal 4 6 4 6 2" xfId="6840" xr:uid="{00000000-0005-0000-0000-00008D160000}"/>
    <cellStyle name="Normal 4 6 4 6 2 2" xfId="24613" xr:uid="{A94E8C96-0ACF-4683-99A1-ADD8672F3F27}"/>
    <cellStyle name="Normal 4 6 4 6 2 2 2" xfId="41507" xr:uid="{573BD443-A4CF-4BF7-A6AC-FDE702322A9F}"/>
    <cellStyle name="Normal 4 6 4 6 2 3" xfId="16166" xr:uid="{74AA5948-9F3A-46E5-875B-5154BDC81E53}"/>
    <cellStyle name="Normal 4 6 4 6 2 4" xfId="33060" xr:uid="{33AE24A8-1298-4C48-8B10-BFA6E138C35D}"/>
    <cellStyle name="Normal 4 6 4 6 3" xfId="20396" xr:uid="{2A89D420-836A-45D1-A1B5-53C5AD52C11F}"/>
    <cellStyle name="Normal 4 6 4 6 3 2" xfId="37290" xr:uid="{5FDEE4D3-CDF5-4380-A99A-6F287531183D}"/>
    <cellStyle name="Normal 4 6 4 6 4" xfId="11949" xr:uid="{A8961D6F-B3B9-4EF9-AD53-97400070946E}"/>
    <cellStyle name="Normal 4 6 4 6 5" xfId="28843" xr:uid="{AED0A246-60B3-42D9-86B1-3BB0959F1C85}"/>
    <cellStyle name="Normal 4 6 4 7" xfId="4775" xr:uid="{00000000-0005-0000-0000-00008E160000}"/>
    <cellStyle name="Normal 4 6 4 7 2" xfId="22548" xr:uid="{4BA85895-8F83-4179-8FFF-80429B033518}"/>
    <cellStyle name="Normal 4 6 4 7 2 2" xfId="39442" xr:uid="{09C9D21A-DCB5-445C-9E7C-B1AFA6B89404}"/>
    <cellStyle name="Normal 4 6 4 7 3" xfId="14101" xr:uid="{AA56B53B-F45C-4816-BC61-308127A7301A}"/>
    <cellStyle name="Normal 4 6 4 7 4" xfId="30995" xr:uid="{D0172B53-D695-4581-B999-FD9395A578AF}"/>
    <cellStyle name="Normal 4 6 4 8" xfId="8979" xr:uid="{358D1440-F461-4509-8416-8F78F7D13FF4}"/>
    <cellStyle name="Normal 4 6 4 8 2" xfId="18331" xr:uid="{62F3F6A1-3E76-4E5C-967B-4E803E0940E6}"/>
    <cellStyle name="Normal 4 6 4 8 3" xfId="35225" xr:uid="{FCE89C11-253E-4CE1-971E-18F05489F42B}"/>
    <cellStyle name="Normal 4 6 4 9" xfId="9884" xr:uid="{70CD5D88-9E0F-44E4-8E05-87040408CB53}"/>
    <cellStyle name="Normal 4 6 5" xfId="869" xr:uid="{00000000-0005-0000-0000-00008F160000}"/>
    <cellStyle name="Normal 4 6 5 2" xfId="3104" xr:uid="{00000000-0005-0000-0000-000090160000}"/>
    <cellStyle name="Normal 4 6 5 2 2" xfId="7326" xr:uid="{00000000-0005-0000-0000-000091160000}"/>
    <cellStyle name="Normal 4 6 5 2 2 2" xfId="25099" xr:uid="{E0212F7D-3FCA-48F0-BA6B-3270121FC0D6}"/>
    <cellStyle name="Normal 4 6 5 2 2 2 2" xfId="41993" xr:uid="{982247BF-AB1C-414B-BC3A-280F0991C75B}"/>
    <cellStyle name="Normal 4 6 5 2 2 3" xfId="16652" xr:uid="{FB6452B9-8233-4748-8C12-9436A2853D6C}"/>
    <cellStyle name="Normal 4 6 5 2 2 4" xfId="33546" xr:uid="{F6E96B97-BFF2-4241-8B7E-02734DB105B1}"/>
    <cellStyle name="Normal 4 6 5 2 3" xfId="20882" xr:uid="{50FF9375-777A-41B5-9C69-79754A396277}"/>
    <cellStyle name="Normal 4 6 5 2 3 2" xfId="37776" xr:uid="{F3387A5E-1AB0-4C85-940C-CF0B17FC14B2}"/>
    <cellStyle name="Normal 4 6 5 2 4" xfId="12435" xr:uid="{5D2D6CD2-D270-4C19-A9D1-61E8B7C3A8D2}"/>
    <cellStyle name="Normal 4 6 5 2 5" xfId="29329" xr:uid="{493F0661-52F5-4378-8353-EDA73156DA4D}"/>
    <cellStyle name="Normal 4 6 5 3" xfId="5181" xr:uid="{00000000-0005-0000-0000-000092160000}"/>
    <cellStyle name="Normal 4 6 5 3 2" xfId="22954" xr:uid="{2042625B-4094-4D33-8437-F71F996DC04A}"/>
    <cellStyle name="Normal 4 6 5 3 2 2" xfId="39848" xr:uid="{6BCA8B1C-E40D-409B-803E-65F3AFA7DD97}"/>
    <cellStyle name="Normal 4 6 5 3 3" xfId="14507" xr:uid="{843CB131-7261-4DD6-A5B5-E237FD0C655A}"/>
    <cellStyle name="Normal 4 6 5 3 4" xfId="31401" xr:uid="{7C3AB792-B966-4245-B83E-B567BA1FD3C2}"/>
    <cellStyle name="Normal 4 6 5 4" xfId="9196" xr:uid="{8DF5D81E-BEC3-4373-A99C-2D9CDEEBBA3C}"/>
    <cellStyle name="Normal 4 6 5 4 2" xfId="18737" xr:uid="{761CC824-2091-4C3B-BF01-84E9482121C7}"/>
    <cellStyle name="Normal 4 6 5 4 3" xfId="35631" xr:uid="{9F0F518C-82DB-45B7-B342-9B3E0B6C8430}"/>
    <cellStyle name="Normal 4 6 5 5" xfId="10290" xr:uid="{61783486-EF35-413A-9655-270BEF74B1C0}"/>
    <cellStyle name="Normal 4 6 5 6" xfId="27184" xr:uid="{7BB1F349-FC15-4E81-A1D4-543EB559038D}"/>
    <cellStyle name="Normal 4 6 6" xfId="1287" xr:uid="{00000000-0005-0000-0000-000093160000}"/>
    <cellStyle name="Normal 4 6 6 2" xfId="3517" xr:uid="{00000000-0005-0000-0000-000094160000}"/>
    <cellStyle name="Normal 4 6 6 2 2" xfId="7739" xr:uid="{00000000-0005-0000-0000-000095160000}"/>
    <cellStyle name="Normal 4 6 6 2 2 2" xfId="25512" xr:uid="{5C5A8569-55D1-4E90-876A-4EBA3D8A1B39}"/>
    <cellStyle name="Normal 4 6 6 2 2 2 2" xfId="42406" xr:uid="{66697B4A-B12C-47C9-8F5E-8804FEF65755}"/>
    <cellStyle name="Normal 4 6 6 2 2 3" xfId="17065" xr:uid="{205D31D8-09CB-4233-826A-C9DE47C16B45}"/>
    <cellStyle name="Normal 4 6 6 2 2 4" xfId="33959" xr:uid="{3B032437-9F50-4FF4-AF08-113DC50AEDC1}"/>
    <cellStyle name="Normal 4 6 6 2 3" xfId="21295" xr:uid="{0C60324C-AB64-4A61-AFA0-39E16EADBD99}"/>
    <cellStyle name="Normal 4 6 6 2 3 2" xfId="38189" xr:uid="{5DE3642B-0E5C-4901-8257-646310C837E9}"/>
    <cellStyle name="Normal 4 6 6 2 4" xfId="12848" xr:uid="{0DA1AD7E-FC4B-4B23-A268-78BBE8E9DDF0}"/>
    <cellStyle name="Normal 4 6 6 2 5" xfId="29742" xr:uid="{0814E06E-6D3F-4666-9CE0-E153C0FB5078}"/>
    <cellStyle name="Normal 4 6 6 3" xfId="5594" xr:uid="{00000000-0005-0000-0000-000096160000}"/>
    <cellStyle name="Normal 4 6 6 3 2" xfId="23367" xr:uid="{337995D7-D22E-4EFF-A47C-AE7E10690209}"/>
    <cellStyle name="Normal 4 6 6 3 2 2" xfId="40261" xr:uid="{0DA8C741-D60E-4D29-B03A-80DE923B5A22}"/>
    <cellStyle name="Normal 4 6 6 3 3" xfId="14920" xr:uid="{D2958304-6AF2-4368-95CD-F117C6115823}"/>
    <cellStyle name="Normal 4 6 6 3 4" xfId="31814" xr:uid="{DD820025-AA68-4F22-BD6A-D4250115F8DC}"/>
    <cellStyle name="Normal 4 6 6 4" xfId="19150" xr:uid="{FEDC9314-4FE0-4F57-8404-2452B181B62D}"/>
    <cellStyle name="Normal 4 6 6 4 2" xfId="36044" xr:uid="{C2B3BC6E-5A3D-4D9B-9C9C-29F8706073F5}"/>
    <cellStyle name="Normal 4 6 6 5" xfId="10703" xr:uid="{599A190F-38F1-4A07-B115-A0A0C7FF6189}"/>
    <cellStyle name="Normal 4 6 6 6" xfId="27597" xr:uid="{8E055F1A-4B9E-499B-9AF2-1C0495780AF0}"/>
    <cellStyle name="Normal 4 6 7" xfId="1700" xr:uid="{00000000-0005-0000-0000-000097160000}"/>
    <cellStyle name="Normal 4 6 7 2" xfId="3930" xr:uid="{00000000-0005-0000-0000-000098160000}"/>
    <cellStyle name="Normal 4 6 7 2 2" xfId="8152" xr:uid="{00000000-0005-0000-0000-000099160000}"/>
    <cellStyle name="Normal 4 6 7 2 2 2" xfId="25925" xr:uid="{1ECDAD58-09BF-4FB7-AB44-E0C39070F58C}"/>
    <cellStyle name="Normal 4 6 7 2 2 2 2" xfId="42819" xr:uid="{E3491A75-ED63-4A8F-B6F6-460147346315}"/>
    <cellStyle name="Normal 4 6 7 2 2 3" xfId="17478" xr:uid="{FC144015-6ECE-4A22-BC89-3DDFA82374C2}"/>
    <cellStyle name="Normal 4 6 7 2 2 4" xfId="34372" xr:uid="{C19EAA06-FB50-4C35-AD5B-E8AF6A59D65F}"/>
    <cellStyle name="Normal 4 6 7 2 3" xfId="21708" xr:uid="{993C9E9D-D646-46E4-8CAD-67F24BB267EB}"/>
    <cellStyle name="Normal 4 6 7 2 3 2" xfId="38602" xr:uid="{B9F12177-DAEA-4E19-816F-CBB67FF47769}"/>
    <cellStyle name="Normal 4 6 7 2 4" xfId="13261" xr:uid="{6A40D43D-8B16-4160-BBDC-189FB72D04D4}"/>
    <cellStyle name="Normal 4 6 7 2 5" xfId="30155" xr:uid="{575E0F3B-D494-4855-9E4A-0E8375447100}"/>
    <cellStyle name="Normal 4 6 7 3" xfId="6007" xr:uid="{00000000-0005-0000-0000-00009A160000}"/>
    <cellStyle name="Normal 4 6 7 3 2" xfId="23780" xr:uid="{25DE7227-8140-4C23-BA1B-51DEBA7683A7}"/>
    <cellStyle name="Normal 4 6 7 3 2 2" xfId="40674" xr:uid="{7F24FE8E-8081-4759-89A0-8501A70E71E0}"/>
    <cellStyle name="Normal 4 6 7 3 3" xfId="15333" xr:uid="{8D8E48DF-7744-4988-B3AA-E2D62378CDF0}"/>
    <cellStyle name="Normal 4 6 7 3 4" xfId="32227" xr:uid="{5BBDD26A-0854-499F-B2E3-B539172C4213}"/>
    <cellStyle name="Normal 4 6 7 4" xfId="19563" xr:uid="{E2B01AB0-6B39-4582-8235-AA1006E9E6EE}"/>
    <cellStyle name="Normal 4 6 7 4 2" xfId="36457" xr:uid="{41A37E90-6B3F-4049-9BA0-E982672C5F90}"/>
    <cellStyle name="Normal 4 6 7 5" xfId="11116" xr:uid="{2FF2A349-537E-4E6C-9ADC-242E215DC9D6}"/>
    <cellStyle name="Normal 4 6 7 6" xfId="28010" xr:uid="{3E968E8C-279F-4BA3-93D5-2126CC10E8FA}"/>
    <cellStyle name="Normal 4 6 8" xfId="2114" xr:uid="{00000000-0005-0000-0000-00009B160000}"/>
    <cellStyle name="Normal 4 6 8 2" xfId="4343" xr:uid="{00000000-0005-0000-0000-00009C160000}"/>
    <cellStyle name="Normal 4 6 8 2 2" xfId="8565" xr:uid="{00000000-0005-0000-0000-00009D160000}"/>
    <cellStyle name="Normal 4 6 8 2 2 2" xfId="26338" xr:uid="{FB1F58C7-044B-4B72-9DA4-11ADD09D0804}"/>
    <cellStyle name="Normal 4 6 8 2 2 2 2" xfId="43232" xr:uid="{FCEE745C-CA14-4F55-BC1E-6CD97306713F}"/>
    <cellStyle name="Normal 4 6 8 2 2 3" xfId="17891" xr:uid="{F34BD603-31AA-4857-873A-8178B0483E76}"/>
    <cellStyle name="Normal 4 6 8 2 2 4" xfId="34785" xr:uid="{8B52CFA4-E7AB-4B21-B0A6-8A4A73DD2888}"/>
    <cellStyle name="Normal 4 6 8 2 3" xfId="22121" xr:uid="{06EA1F88-0635-4CD6-A189-EA9AA4353E85}"/>
    <cellStyle name="Normal 4 6 8 2 3 2" xfId="39015" xr:uid="{29D18FDA-3356-4D4A-9C77-2D2CF2248742}"/>
    <cellStyle name="Normal 4 6 8 2 4" xfId="13674" xr:uid="{29F4BDCE-E76E-4FA1-A764-1C469E57F640}"/>
    <cellStyle name="Normal 4 6 8 2 5" xfId="30568" xr:uid="{649104FC-2876-4D4C-973F-FCC3CD69FDDA}"/>
    <cellStyle name="Normal 4 6 8 3" xfId="6420" xr:uid="{00000000-0005-0000-0000-00009E160000}"/>
    <cellStyle name="Normal 4 6 8 3 2" xfId="24193" xr:uid="{A1AD9572-9B19-4B37-AED0-325350CAB81D}"/>
    <cellStyle name="Normal 4 6 8 3 2 2" xfId="41087" xr:uid="{DC689326-7965-490C-9053-F9CB2C79882A}"/>
    <cellStyle name="Normal 4 6 8 3 3" xfId="15746" xr:uid="{C2405C87-121D-41A6-929C-7A7A27B48B62}"/>
    <cellStyle name="Normal 4 6 8 3 4" xfId="32640" xr:uid="{0B2627DA-C736-407D-96CE-A7F34C7CCF35}"/>
    <cellStyle name="Normal 4 6 8 4" xfId="19976" xr:uid="{88AD7665-3262-41FB-A344-E5C7C6C867C1}"/>
    <cellStyle name="Normal 4 6 8 4 2" xfId="36870" xr:uid="{A9F95999-FE8F-462E-A059-8FB5D7653DC0}"/>
    <cellStyle name="Normal 4 6 8 5" xfId="11529" xr:uid="{0C6707FB-A31F-4C27-B949-6DAA010BBB66}"/>
    <cellStyle name="Normal 4 6 8 6" xfId="28423" xr:uid="{6B7D3CF3-70B3-4DA4-B2A0-4256FAAA2747}"/>
    <cellStyle name="Normal 4 6 9" xfId="2550" xr:uid="{00000000-0005-0000-0000-00009F160000}"/>
    <cellStyle name="Normal 4 6 9 2" xfId="6833" xr:uid="{00000000-0005-0000-0000-0000A0160000}"/>
    <cellStyle name="Normal 4 6 9 2 2" xfId="24606" xr:uid="{2D3F070B-AE1B-4E38-8F2B-96E48CA3BF73}"/>
    <cellStyle name="Normal 4 6 9 2 2 2" xfId="41500" xr:uid="{FD062592-AE41-49B5-A6A2-5403DAAFCBFA}"/>
    <cellStyle name="Normal 4 6 9 2 3" xfId="16159" xr:uid="{19B030A0-34D0-4800-9FD8-337EE4CB4BB0}"/>
    <cellStyle name="Normal 4 6 9 2 4" xfId="33053" xr:uid="{40612B13-93A3-4388-BDA6-653F92525C6F}"/>
    <cellStyle name="Normal 4 6 9 3" xfId="20389" xr:uid="{5BCC5EAF-766D-4CB4-B127-167F1897FB44}"/>
    <cellStyle name="Normal 4 6 9 3 2" xfId="37283" xr:uid="{F21CCD6D-97F8-4701-AA3F-DCF90CEA6128}"/>
    <cellStyle name="Normal 4 6 9 4" xfId="11942" xr:uid="{D63696A6-F202-41E7-8085-33188DD889C2}"/>
    <cellStyle name="Normal 4 6 9 5" xfId="28836" xr:uid="{4BB7F103-89A4-4522-8DFD-211A2BB01F20}"/>
    <cellStyle name="Normal 4 7" xfId="403" xr:uid="{00000000-0005-0000-0000-0000A1160000}"/>
    <cellStyle name="Normal 4 7 10" xfId="9885" xr:uid="{FE55749A-CF8A-49C2-9704-EC31B74B8BF0}"/>
    <cellStyle name="Normal 4 7 11" xfId="26779" xr:uid="{BE82BFBC-437E-4D41-A01B-C6368178AF76}"/>
    <cellStyle name="Normal 4 7 2" xfId="404" xr:uid="{00000000-0005-0000-0000-0000A2160000}"/>
    <cellStyle name="Normal 4 7 2 10" xfId="26780" xr:uid="{A02F1C60-2811-45B0-B9CE-E1D56EE42FAA}"/>
    <cellStyle name="Normal 4 7 2 2" xfId="878" xr:uid="{00000000-0005-0000-0000-0000A3160000}"/>
    <cellStyle name="Normal 4 7 2 2 2" xfId="3113" xr:uid="{00000000-0005-0000-0000-0000A4160000}"/>
    <cellStyle name="Normal 4 7 2 2 2 2" xfId="7335" xr:uid="{00000000-0005-0000-0000-0000A5160000}"/>
    <cellStyle name="Normal 4 7 2 2 2 2 2" xfId="25108" xr:uid="{8EFE27EC-FE01-4E64-B83B-85D2F46655A4}"/>
    <cellStyle name="Normal 4 7 2 2 2 2 2 2" xfId="42002" xr:uid="{DB9D97BD-6D3C-4C1F-BCFB-1ED245DB74CD}"/>
    <cellStyle name="Normal 4 7 2 2 2 2 3" xfId="16661" xr:uid="{978A83CF-55F7-47C5-A8D6-476440675CAC}"/>
    <cellStyle name="Normal 4 7 2 2 2 2 4" xfId="33555" xr:uid="{778BF4C0-B399-42D8-AA37-0A47FEA36D36}"/>
    <cellStyle name="Normal 4 7 2 2 2 3" xfId="20891" xr:uid="{987DE742-2920-4701-B248-E071E31E043B}"/>
    <cellStyle name="Normal 4 7 2 2 2 3 2" xfId="37785" xr:uid="{7D5C7A24-E235-42C5-AA4F-115B18D5913B}"/>
    <cellStyle name="Normal 4 7 2 2 2 4" xfId="12444" xr:uid="{A30B30FB-06DE-44C3-A1E3-BF5DFB9EC4EC}"/>
    <cellStyle name="Normal 4 7 2 2 2 5" xfId="29338" xr:uid="{E1967AD8-E7D5-48F5-A628-FF0280ED707C}"/>
    <cellStyle name="Normal 4 7 2 2 3" xfId="5190" xr:uid="{00000000-0005-0000-0000-0000A6160000}"/>
    <cellStyle name="Normal 4 7 2 2 3 2" xfId="22963" xr:uid="{631A2601-93BE-4C39-A848-14A0814D9D5B}"/>
    <cellStyle name="Normal 4 7 2 2 3 2 2" xfId="39857" xr:uid="{728FE16C-623F-4F18-AE4B-D3E2D29707FF}"/>
    <cellStyle name="Normal 4 7 2 2 3 3" xfId="14516" xr:uid="{351D8613-1BB7-4F99-834C-603A69814CC0}"/>
    <cellStyle name="Normal 4 7 2 2 3 4" xfId="31410" xr:uid="{EDCE13C5-CA27-496F-85F4-76D2174DE66A}"/>
    <cellStyle name="Normal 4 7 2 2 4" xfId="9475" xr:uid="{1E309EF6-7D7C-4A4D-B2F1-E00D0CF6E167}"/>
    <cellStyle name="Normal 4 7 2 2 4 2" xfId="18746" xr:uid="{E557880C-9FB5-418A-B8DE-4CE15A920206}"/>
    <cellStyle name="Normal 4 7 2 2 4 3" xfId="35640" xr:uid="{7009D4D0-B6E6-4B55-A4B6-059D4758A805}"/>
    <cellStyle name="Normal 4 7 2 2 5" xfId="10299" xr:uid="{0C977CB0-4316-4FAA-97F4-27A405718B9A}"/>
    <cellStyle name="Normal 4 7 2 2 6" xfId="27193" xr:uid="{9F83C56C-995D-41EC-9F65-023F4D41524A}"/>
    <cellStyle name="Normal 4 7 2 3" xfId="1296" xr:uid="{00000000-0005-0000-0000-0000A7160000}"/>
    <cellStyle name="Normal 4 7 2 3 2" xfId="3526" xr:uid="{00000000-0005-0000-0000-0000A8160000}"/>
    <cellStyle name="Normal 4 7 2 3 2 2" xfId="7748" xr:uid="{00000000-0005-0000-0000-0000A9160000}"/>
    <cellStyle name="Normal 4 7 2 3 2 2 2" xfId="25521" xr:uid="{5B281318-EB90-478E-A195-15F6295B799C}"/>
    <cellStyle name="Normal 4 7 2 3 2 2 2 2" xfId="42415" xr:uid="{743FB78C-5652-4704-8D2C-519C24CF9043}"/>
    <cellStyle name="Normal 4 7 2 3 2 2 3" xfId="17074" xr:uid="{535CD42E-3B6A-4183-9D13-053FC480316F}"/>
    <cellStyle name="Normal 4 7 2 3 2 2 4" xfId="33968" xr:uid="{A04216E6-6C2E-4200-A17B-ACE2349FD8F9}"/>
    <cellStyle name="Normal 4 7 2 3 2 3" xfId="21304" xr:uid="{FCADE671-AD41-4104-82F0-347D327B82B3}"/>
    <cellStyle name="Normal 4 7 2 3 2 3 2" xfId="38198" xr:uid="{C344F2B1-F6A0-4C11-83F3-E0AB50A70D86}"/>
    <cellStyle name="Normal 4 7 2 3 2 4" xfId="12857" xr:uid="{9DB480F1-7E61-41F2-B3B7-ED28E7017B3D}"/>
    <cellStyle name="Normal 4 7 2 3 2 5" xfId="29751" xr:uid="{489976C1-0D65-49AC-B530-0275DD778AEE}"/>
    <cellStyle name="Normal 4 7 2 3 3" xfId="5603" xr:uid="{00000000-0005-0000-0000-0000AA160000}"/>
    <cellStyle name="Normal 4 7 2 3 3 2" xfId="23376" xr:uid="{1A1E69E1-65D5-4363-98DA-55B3E3F4C998}"/>
    <cellStyle name="Normal 4 7 2 3 3 2 2" xfId="40270" xr:uid="{479B79A2-1D7A-4D6D-83FE-37BB6E6FC88A}"/>
    <cellStyle name="Normal 4 7 2 3 3 3" xfId="14929" xr:uid="{EDFBAA7B-EF59-4154-860E-0450DAB799F3}"/>
    <cellStyle name="Normal 4 7 2 3 3 4" xfId="31823" xr:uid="{A2F825B4-5499-457C-BBEE-73CB84BB64EE}"/>
    <cellStyle name="Normal 4 7 2 3 4" xfId="19159" xr:uid="{CBF8A38D-30B1-4DE3-B54A-A4C1E192DBFD}"/>
    <cellStyle name="Normal 4 7 2 3 4 2" xfId="36053" xr:uid="{3412F97C-73A7-47DF-9789-D5323041D750}"/>
    <cellStyle name="Normal 4 7 2 3 5" xfId="10712" xr:uid="{6A3CF25C-CDE4-4670-AE3D-9B62BE001354}"/>
    <cellStyle name="Normal 4 7 2 3 6" xfId="27606" xr:uid="{4811E30D-746D-4A83-9686-811C1BEAAA0D}"/>
    <cellStyle name="Normal 4 7 2 4" xfId="1709" xr:uid="{00000000-0005-0000-0000-0000AB160000}"/>
    <cellStyle name="Normal 4 7 2 4 2" xfId="3939" xr:uid="{00000000-0005-0000-0000-0000AC160000}"/>
    <cellStyle name="Normal 4 7 2 4 2 2" xfId="8161" xr:uid="{00000000-0005-0000-0000-0000AD160000}"/>
    <cellStyle name="Normal 4 7 2 4 2 2 2" xfId="25934" xr:uid="{A8F645D7-36DA-4DD6-ABBE-9349BF719548}"/>
    <cellStyle name="Normal 4 7 2 4 2 2 2 2" xfId="42828" xr:uid="{53F18F21-2C93-4131-A459-AFA46C0800E1}"/>
    <cellStyle name="Normal 4 7 2 4 2 2 3" xfId="17487" xr:uid="{222FE738-6801-45D0-BD91-0462E710FFEA}"/>
    <cellStyle name="Normal 4 7 2 4 2 2 4" xfId="34381" xr:uid="{9678A32E-D027-40F4-A17F-CD83AE027152}"/>
    <cellStyle name="Normal 4 7 2 4 2 3" xfId="21717" xr:uid="{2BD5D18D-47CB-4A9D-8978-B9AF750811E8}"/>
    <cellStyle name="Normal 4 7 2 4 2 3 2" xfId="38611" xr:uid="{D8603028-51EE-4037-977D-AF50B9D8668A}"/>
    <cellStyle name="Normal 4 7 2 4 2 4" xfId="13270" xr:uid="{66EE07B6-AC8E-4757-97AF-D86C15CD973B}"/>
    <cellStyle name="Normal 4 7 2 4 2 5" xfId="30164" xr:uid="{E6F45738-D2F4-4621-917E-4801574CF68E}"/>
    <cellStyle name="Normal 4 7 2 4 3" xfId="6016" xr:uid="{00000000-0005-0000-0000-0000AE160000}"/>
    <cellStyle name="Normal 4 7 2 4 3 2" xfId="23789" xr:uid="{A4E0CEBC-3081-4036-863B-D355D951CA49}"/>
    <cellStyle name="Normal 4 7 2 4 3 2 2" xfId="40683" xr:uid="{6B88D31F-25F0-4FC9-B29D-33E4F7E8A6CD}"/>
    <cellStyle name="Normal 4 7 2 4 3 3" xfId="15342" xr:uid="{0D4848CF-D45F-44D9-8E25-1210574E24DE}"/>
    <cellStyle name="Normal 4 7 2 4 3 4" xfId="32236" xr:uid="{B690EED1-5067-4865-B2F1-05A5D7ABA1BF}"/>
    <cellStyle name="Normal 4 7 2 4 4" xfId="19572" xr:uid="{2E69093F-3054-4920-BE50-522546D7FDDA}"/>
    <cellStyle name="Normal 4 7 2 4 4 2" xfId="36466" xr:uid="{342B809E-2289-40EC-95E9-0F923869DC2B}"/>
    <cellStyle name="Normal 4 7 2 4 5" xfId="11125" xr:uid="{247D14E1-0558-4FE4-9950-0975D669BD13}"/>
    <cellStyle name="Normal 4 7 2 4 6" xfId="28019" xr:uid="{7CEC4822-913F-4667-82E3-40F7996A2F6F}"/>
    <cellStyle name="Normal 4 7 2 5" xfId="2123" xr:uid="{00000000-0005-0000-0000-0000AF160000}"/>
    <cellStyle name="Normal 4 7 2 5 2" xfId="4352" xr:uid="{00000000-0005-0000-0000-0000B0160000}"/>
    <cellStyle name="Normal 4 7 2 5 2 2" xfId="8574" xr:uid="{00000000-0005-0000-0000-0000B1160000}"/>
    <cellStyle name="Normal 4 7 2 5 2 2 2" xfId="26347" xr:uid="{37948696-5970-4C39-A8D7-C506D5EC1664}"/>
    <cellStyle name="Normal 4 7 2 5 2 2 2 2" xfId="43241" xr:uid="{302ACDE3-9DA5-4BAF-B13B-730F204A6E5E}"/>
    <cellStyle name="Normal 4 7 2 5 2 2 3" xfId="17900" xr:uid="{0CACED7D-A727-4549-97CC-0530C00CE7DB}"/>
    <cellStyle name="Normal 4 7 2 5 2 2 4" xfId="34794" xr:uid="{F49E83B4-99D5-4C4C-9948-011A61100653}"/>
    <cellStyle name="Normal 4 7 2 5 2 3" xfId="22130" xr:uid="{C4F64218-1A23-4EF1-BB4D-4A2436A0CAEC}"/>
    <cellStyle name="Normal 4 7 2 5 2 3 2" xfId="39024" xr:uid="{9590505A-77AD-407E-ADFC-A764636FF323}"/>
    <cellStyle name="Normal 4 7 2 5 2 4" xfId="13683" xr:uid="{1E9E83E7-792C-4ABA-84E8-1327CE1CB9A9}"/>
    <cellStyle name="Normal 4 7 2 5 2 5" xfId="30577" xr:uid="{BCFB2FFA-DF40-4DE7-8B21-1FA4F76989EB}"/>
    <cellStyle name="Normal 4 7 2 5 3" xfId="6429" xr:uid="{00000000-0005-0000-0000-0000B2160000}"/>
    <cellStyle name="Normal 4 7 2 5 3 2" xfId="24202" xr:uid="{29F6F1F0-E7C6-4A4B-9C03-BAAD9160E2D6}"/>
    <cellStyle name="Normal 4 7 2 5 3 2 2" xfId="41096" xr:uid="{87295304-39A4-4CBB-B76B-F4F1572AF80C}"/>
    <cellStyle name="Normal 4 7 2 5 3 3" xfId="15755" xr:uid="{48FC1147-C2D7-4A32-BB23-9A441407BC00}"/>
    <cellStyle name="Normal 4 7 2 5 3 4" xfId="32649" xr:uid="{7B173C0D-70DD-4867-9776-95F271570CC1}"/>
    <cellStyle name="Normal 4 7 2 5 4" xfId="19985" xr:uid="{A4FF05AA-559F-4CA4-932E-68A3730209B8}"/>
    <cellStyle name="Normal 4 7 2 5 4 2" xfId="36879" xr:uid="{9F9481C2-892A-4CFD-9EE0-0E1DFB907957}"/>
    <cellStyle name="Normal 4 7 2 5 5" xfId="11538" xr:uid="{0496D61C-64B1-4079-B128-90438CFE1DD4}"/>
    <cellStyle name="Normal 4 7 2 5 6" xfId="28432" xr:uid="{DFF34EA0-A5D3-444A-816E-40B3780DB565}"/>
    <cellStyle name="Normal 4 7 2 6" xfId="2559" xr:uid="{00000000-0005-0000-0000-0000B3160000}"/>
    <cellStyle name="Normal 4 7 2 6 2" xfId="6842" xr:uid="{00000000-0005-0000-0000-0000B4160000}"/>
    <cellStyle name="Normal 4 7 2 6 2 2" xfId="24615" xr:uid="{117281C9-6A17-4F23-9683-2184953347EF}"/>
    <cellStyle name="Normal 4 7 2 6 2 2 2" xfId="41509" xr:uid="{B87E0436-79A0-4550-ABDA-034BBCF34132}"/>
    <cellStyle name="Normal 4 7 2 6 2 3" xfId="16168" xr:uid="{A4738051-9EBE-40A7-99BB-7EB34602E40A}"/>
    <cellStyle name="Normal 4 7 2 6 2 4" xfId="33062" xr:uid="{C557BDC0-7E4E-4521-85E3-422DFF9E0EA6}"/>
    <cellStyle name="Normal 4 7 2 6 3" xfId="20398" xr:uid="{9076ECAD-BD6F-442C-B2AD-6CC158496A45}"/>
    <cellStyle name="Normal 4 7 2 6 3 2" xfId="37292" xr:uid="{88A04758-9426-4FEB-BAF7-A921E383C29A}"/>
    <cellStyle name="Normal 4 7 2 6 4" xfId="11951" xr:uid="{54AD3756-F018-4A1D-917B-8B6A9042C1B2}"/>
    <cellStyle name="Normal 4 7 2 6 5" xfId="28845" xr:uid="{5FCBF3CF-3AF4-40E0-BC60-27A755E17D7A}"/>
    <cellStyle name="Normal 4 7 2 7" xfId="4777" xr:uid="{00000000-0005-0000-0000-0000B5160000}"/>
    <cellStyle name="Normal 4 7 2 7 2" xfId="22550" xr:uid="{911C7659-0EFC-4ED2-97C2-C70F20F9C269}"/>
    <cellStyle name="Normal 4 7 2 7 2 2" xfId="39444" xr:uid="{12A71F38-3D90-44AE-85E3-B8A0D6B05A3B}"/>
    <cellStyle name="Normal 4 7 2 7 3" xfId="14103" xr:uid="{A8164F6D-27BD-488F-BEC8-D99C345A750A}"/>
    <cellStyle name="Normal 4 7 2 7 4" xfId="30997" xr:uid="{F3551C26-404B-42E0-9C9C-8D9DE599074B}"/>
    <cellStyle name="Normal 4 7 2 8" xfId="9050" xr:uid="{C18A0BCD-6C40-47C4-AC72-E06914F008F6}"/>
    <cellStyle name="Normal 4 7 2 8 2" xfId="18333" xr:uid="{2B7242CA-CB04-4B19-A704-1511AB21F4D0}"/>
    <cellStyle name="Normal 4 7 2 8 3" xfId="35227" xr:uid="{568736A5-E093-4C7B-AA2E-2D9BE9B65BA7}"/>
    <cellStyle name="Normal 4 7 2 9" xfId="9886" xr:uid="{4C649929-451F-4486-BDA8-01F54D0A8EB8}"/>
    <cellStyle name="Normal 4 7 3" xfId="877" xr:uid="{00000000-0005-0000-0000-0000B6160000}"/>
    <cellStyle name="Normal 4 7 3 2" xfId="3112" xr:uid="{00000000-0005-0000-0000-0000B7160000}"/>
    <cellStyle name="Normal 4 7 3 2 2" xfId="7334" xr:uid="{00000000-0005-0000-0000-0000B8160000}"/>
    <cellStyle name="Normal 4 7 3 2 2 2" xfId="25107" xr:uid="{860A18FE-49E3-41C1-97BA-625AEFA75C64}"/>
    <cellStyle name="Normal 4 7 3 2 2 2 2" xfId="42001" xr:uid="{532BACB9-7437-47DE-A136-7E87BC541359}"/>
    <cellStyle name="Normal 4 7 3 2 2 3" xfId="16660" xr:uid="{EB88E844-8F57-493C-B6FC-DFC112279727}"/>
    <cellStyle name="Normal 4 7 3 2 2 4" xfId="33554" xr:uid="{17758BD4-42B0-4984-89B8-EA0A82941153}"/>
    <cellStyle name="Normal 4 7 3 2 3" xfId="20890" xr:uid="{17F80F68-FB1C-43E5-A32E-187599D1C36E}"/>
    <cellStyle name="Normal 4 7 3 2 3 2" xfId="37784" xr:uid="{A6AB5BF3-541C-421B-8F3A-66D556F214AD}"/>
    <cellStyle name="Normal 4 7 3 2 4" xfId="12443" xr:uid="{5CCA6E30-27E5-4CD5-820D-56BCA10684EA}"/>
    <cellStyle name="Normal 4 7 3 2 5" xfId="29337" xr:uid="{A6B45062-A23B-4F32-8180-5BBFA6D3B9C9}"/>
    <cellStyle name="Normal 4 7 3 3" xfId="5189" xr:uid="{00000000-0005-0000-0000-0000B9160000}"/>
    <cellStyle name="Normal 4 7 3 3 2" xfId="22962" xr:uid="{535F98BF-5D0E-446B-91F5-2B3C3C21EE49}"/>
    <cellStyle name="Normal 4 7 3 3 2 2" xfId="39856" xr:uid="{92F166BD-B73C-45D8-99EC-FF4B33FAE000}"/>
    <cellStyle name="Normal 4 7 3 3 3" xfId="14515" xr:uid="{4F844916-0355-4C56-AFEC-96AFB4B5B9E2}"/>
    <cellStyle name="Normal 4 7 3 3 4" xfId="31409" xr:uid="{A87BF9CE-10E1-4AAD-ACD8-D13BE0538F87}"/>
    <cellStyle name="Normal 4 7 3 4" xfId="9268" xr:uid="{83DA99B2-5D77-4110-AEB9-304D3ECEF3EB}"/>
    <cellStyle name="Normal 4 7 3 4 2" xfId="18745" xr:uid="{EE29827F-1C39-493B-928A-A01C86FDDEE6}"/>
    <cellStyle name="Normal 4 7 3 4 3" xfId="35639" xr:uid="{F057528E-977A-4F93-8FA4-432D8F2BF6F6}"/>
    <cellStyle name="Normal 4 7 3 5" xfId="10298" xr:uid="{4B6CA08E-E90C-42FC-B22F-60E77C3599E3}"/>
    <cellStyle name="Normal 4 7 3 6" xfId="27192" xr:uid="{88BAC550-4AC0-4D8F-B2D3-44316E16C92D}"/>
    <cellStyle name="Normal 4 7 4" xfId="1295" xr:uid="{00000000-0005-0000-0000-0000BA160000}"/>
    <cellStyle name="Normal 4 7 4 2" xfId="3525" xr:uid="{00000000-0005-0000-0000-0000BB160000}"/>
    <cellStyle name="Normal 4 7 4 2 2" xfId="7747" xr:uid="{00000000-0005-0000-0000-0000BC160000}"/>
    <cellStyle name="Normal 4 7 4 2 2 2" xfId="25520" xr:uid="{09FC0244-DC60-4768-BDE2-02D9098E281E}"/>
    <cellStyle name="Normal 4 7 4 2 2 2 2" xfId="42414" xr:uid="{BDFA4BDC-0CA0-4082-B5A4-08B783F8F1FC}"/>
    <cellStyle name="Normal 4 7 4 2 2 3" xfId="17073" xr:uid="{AAE06552-267D-4BA6-9FB6-0C8BCF762900}"/>
    <cellStyle name="Normal 4 7 4 2 2 4" xfId="33967" xr:uid="{E9D4B65E-4439-456B-A0D5-3490B8DC833A}"/>
    <cellStyle name="Normal 4 7 4 2 3" xfId="21303" xr:uid="{1B2E9D1E-DC00-4D9C-849C-34278119DF57}"/>
    <cellStyle name="Normal 4 7 4 2 3 2" xfId="38197" xr:uid="{B5F5707C-A383-4FD5-B70F-634CA6298E23}"/>
    <cellStyle name="Normal 4 7 4 2 4" xfId="12856" xr:uid="{AD6E36EF-344C-4F31-9BF5-08A13715D226}"/>
    <cellStyle name="Normal 4 7 4 2 5" xfId="29750" xr:uid="{2DC30B0F-C749-4328-A385-75EF3428445F}"/>
    <cellStyle name="Normal 4 7 4 3" xfId="5602" xr:uid="{00000000-0005-0000-0000-0000BD160000}"/>
    <cellStyle name="Normal 4 7 4 3 2" xfId="23375" xr:uid="{B3EDB7C4-3708-4041-AFC1-FD89CFD6DA12}"/>
    <cellStyle name="Normal 4 7 4 3 2 2" xfId="40269" xr:uid="{E8D0AAE3-26C3-43B6-997E-8E76AAFC7162}"/>
    <cellStyle name="Normal 4 7 4 3 3" xfId="14928" xr:uid="{ACDA81FD-56CE-463D-8ADA-170918749306}"/>
    <cellStyle name="Normal 4 7 4 3 4" xfId="31822" xr:uid="{379187DA-196E-4F96-ABC3-C9149252477C}"/>
    <cellStyle name="Normal 4 7 4 4" xfId="19158" xr:uid="{007B2DB1-C263-4B79-AC6D-4A0584101766}"/>
    <cellStyle name="Normal 4 7 4 4 2" xfId="36052" xr:uid="{48D585B7-F75D-4CE1-ADD6-DA18D4B71F58}"/>
    <cellStyle name="Normal 4 7 4 5" xfId="10711" xr:uid="{DDFB47EA-09AE-43DB-B352-1F3447A31FC0}"/>
    <cellStyle name="Normal 4 7 4 6" xfId="27605" xr:uid="{F7576AD3-0F11-438F-B4D0-D67651ECD1CD}"/>
    <cellStyle name="Normal 4 7 5" xfId="1708" xr:uid="{00000000-0005-0000-0000-0000BE160000}"/>
    <cellStyle name="Normal 4 7 5 2" xfId="3938" xr:uid="{00000000-0005-0000-0000-0000BF160000}"/>
    <cellStyle name="Normal 4 7 5 2 2" xfId="8160" xr:uid="{00000000-0005-0000-0000-0000C0160000}"/>
    <cellStyle name="Normal 4 7 5 2 2 2" xfId="25933" xr:uid="{72B2CF67-4EAA-4531-9477-F72E8E096EBB}"/>
    <cellStyle name="Normal 4 7 5 2 2 2 2" xfId="42827" xr:uid="{98D4D988-C14B-408F-A9AE-E180C82C1AF2}"/>
    <cellStyle name="Normal 4 7 5 2 2 3" xfId="17486" xr:uid="{E1E9174B-3AF2-441F-A23B-E07E8B0188F2}"/>
    <cellStyle name="Normal 4 7 5 2 2 4" xfId="34380" xr:uid="{AF10D56F-F6AD-47D3-B656-4EC14C156A41}"/>
    <cellStyle name="Normal 4 7 5 2 3" xfId="21716" xr:uid="{74B250C2-9D47-4149-B657-C7A366F7E100}"/>
    <cellStyle name="Normal 4 7 5 2 3 2" xfId="38610" xr:uid="{ECF3B3F3-CFFA-4275-80B8-77F74FBDD947}"/>
    <cellStyle name="Normal 4 7 5 2 4" xfId="13269" xr:uid="{F025938A-F47B-4109-99DE-D46DF1FE9B78}"/>
    <cellStyle name="Normal 4 7 5 2 5" xfId="30163" xr:uid="{87B0AFF9-4202-4642-BEB8-CCBC173E1F09}"/>
    <cellStyle name="Normal 4 7 5 3" xfId="6015" xr:uid="{00000000-0005-0000-0000-0000C1160000}"/>
    <cellStyle name="Normal 4 7 5 3 2" xfId="23788" xr:uid="{476BD1D8-99AF-423E-AE62-F24B56BBC9C4}"/>
    <cellStyle name="Normal 4 7 5 3 2 2" xfId="40682" xr:uid="{4FFC8156-2BB6-418F-8F06-94EC9AF868D9}"/>
    <cellStyle name="Normal 4 7 5 3 3" xfId="15341" xr:uid="{F7E97867-5C62-4AE9-B2C2-14A61DDE917F}"/>
    <cellStyle name="Normal 4 7 5 3 4" xfId="32235" xr:uid="{B3F3319A-BD91-4A47-9544-03F7FA10D8D2}"/>
    <cellStyle name="Normal 4 7 5 4" xfId="19571" xr:uid="{8E65DB5C-FC4F-4869-A940-4A5A7B16AD86}"/>
    <cellStyle name="Normal 4 7 5 4 2" xfId="36465" xr:uid="{BCB1D39B-A019-44AD-B110-C863435B1491}"/>
    <cellStyle name="Normal 4 7 5 5" xfId="11124" xr:uid="{F0384EE0-BD3D-4CD4-86C1-5CB9A0A38A6E}"/>
    <cellStyle name="Normal 4 7 5 6" xfId="28018" xr:uid="{25EC1872-1352-4957-AB41-86C69EE388E7}"/>
    <cellStyle name="Normal 4 7 6" xfId="2122" xr:uid="{00000000-0005-0000-0000-0000C2160000}"/>
    <cellStyle name="Normal 4 7 6 2" xfId="4351" xr:uid="{00000000-0005-0000-0000-0000C3160000}"/>
    <cellStyle name="Normal 4 7 6 2 2" xfId="8573" xr:uid="{00000000-0005-0000-0000-0000C4160000}"/>
    <cellStyle name="Normal 4 7 6 2 2 2" xfId="26346" xr:uid="{4FDE8253-0122-4869-BD32-2268324D7F31}"/>
    <cellStyle name="Normal 4 7 6 2 2 2 2" xfId="43240" xr:uid="{D7C03CDA-DDE7-4EB7-AA7A-986E6B1F15EC}"/>
    <cellStyle name="Normal 4 7 6 2 2 3" xfId="17899" xr:uid="{D557521E-54C4-445B-9D9D-47C3F17CAD59}"/>
    <cellStyle name="Normal 4 7 6 2 2 4" xfId="34793" xr:uid="{8A790B4F-0CBE-4E11-BBF0-74F281A3A9CD}"/>
    <cellStyle name="Normal 4 7 6 2 3" xfId="22129" xr:uid="{5643AC41-DCAE-4566-9F86-C6BD3AB8DA39}"/>
    <cellStyle name="Normal 4 7 6 2 3 2" xfId="39023" xr:uid="{ACE37A6D-F077-491B-8291-222968882583}"/>
    <cellStyle name="Normal 4 7 6 2 4" xfId="13682" xr:uid="{0AE0DA38-3A8E-4A3E-BEA3-478FC2552495}"/>
    <cellStyle name="Normal 4 7 6 2 5" xfId="30576" xr:uid="{2958EE67-87B2-4E8F-A122-A431146ED10A}"/>
    <cellStyle name="Normal 4 7 6 3" xfId="6428" xr:uid="{00000000-0005-0000-0000-0000C5160000}"/>
    <cellStyle name="Normal 4 7 6 3 2" xfId="24201" xr:uid="{48F7F2C9-22FC-444B-8388-60B5CFDF922C}"/>
    <cellStyle name="Normal 4 7 6 3 2 2" xfId="41095" xr:uid="{590E5A38-AE30-4F6F-9CC2-576A53B800FC}"/>
    <cellStyle name="Normal 4 7 6 3 3" xfId="15754" xr:uid="{7A6008C3-14E2-4782-832F-2208B25C9A2A}"/>
    <cellStyle name="Normal 4 7 6 3 4" xfId="32648" xr:uid="{C28C8791-05D6-48A4-B3AF-E65683840DC3}"/>
    <cellStyle name="Normal 4 7 6 4" xfId="19984" xr:uid="{DD9D08B2-BBE1-4C6F-8F49-6E57BDA6A1CE}"/>
    <cellStyle name="Normal 4 7 6 4 2" xfId="36878" xr:uid="{6AED3921-CC22-462C-AF56-972BCB6F405F}"/>
    <cellStyle name="Normal 4 7 6 5" xfId="11537" xr:uid="{44743E8E-9244-48B6-842A-76BB19441DA8}"/>
    <cellStyle name="Normal 4 7 6 6" xfId="28431" xr:uid="{EAB21C2E-2FF9-4067-9CBF-7A36EA3BDF6F}"/>
    <cellStyle name="Normal 4 7 7" xfId="2558" xr:uid="{00000000-0005-0000-0000-0000C6160000}"/>
    <cellStyle name="Normal 4 7 7 2" xfId="6841" xr:uid="{00000000-0005-0000-0000-0000C7160000}"/>
    <cellStyle name="Normal 4 7 7 2 2" xfId="24614" xr:uid="{B238E23D-0688-461B-8A82-F6693B20CA08}"/>
    <cellStyle name="Normal 4 7 7 2 2 2" xfId="41508" xr:uid="{193480BC-752E-4646-8F23-F7D3FD63FECA}"/>
    <cellStyle name="Normal 4 7 7 2 3" xfId="16167" xr:uid="{69C573AF-361F-4DEE-817F-6E8BB4366FC9}"/>
    <cellStyle name="Normal 4 7 7 2 4" xfId="33061" xr:uid="{E0FB1E77-1C4C-4DAA-8E89-33EC9A22C017}"/>
    <cellStyle name="Normal 4 7 7 3" xfId="20397" xr:uid="{1E7B90CF-AF33-4DD8-A82B-28E54B95B589}"/>
    <cellStyle name="Normal 4 7 7 3 2" xfId="37291" xr:uid="{E9727D2E-A754-4491-A04F-57ADA57483CC}"/>
    <cellStyle name="Normal 4 7 7 4" xfId="11950" xr:uid="{E8C9F774-0C11-4321-869B-314505E1CA1B}"/>
    <cellStyle name="Normal 4 7 7 5" xfId="28844" xr:uid="{C7933786-1E80-4A27-A9ED-FE36B933DF51}"/>
    <cellStyle name="Normal 4 7 8" xfId="4776" xr:uid="{00000000-0005-0000-0000-0000C8160000}"/>
    <cellStyle name="Normal 4 7 8 2" xfId="22549" xr:uid="{648D29DB-98C3-4709-A330-9B9C15D685C1}"/>
    <cellStyle name="Normal 4 7 8 2 2" xfId="39443" xr:uid="{547D239C-D02D-47C0-9E10-A4E84BC2E54B}"/>
    <cellStyle name="Normal 4 7 8 3" xfId="14102" xr:uid="{CD20F78A-E94D-46DD-A207-E2CB0B8AE285}"/>
    <cellStyle name="Normal 4 7 8 4" xfId="30996" xr:uid="{0882070C-F1DE-4DDE-B351-49E15EB3A68D}"/>
    <cellStyle name="Normal 4 7 9" xfId="8843" xr:uid="{092972D9-0015-4C5A-94A6-5AFD2026266B}"/>
    <cellStyle name="Normal 4 7 9 2" xfId="18332" xr:uid="{0C3D71F9-E550-4DD0-803B-D44CB6F23810}"/>
    <cellStyle name="Normal 4 7 9 3" xfId="35226" xr:uid="{F89A186D-DF74-478F-860A-15BD21ECB8D4}"/>
    <cellStyle name="Normal 4 8" xfId="405" xr:uid="{00000000-0005-0000-0000-0000C9160000}"/>
    <cellStyle name="Normal 4 8 10" xfId="26781" xr:uid="{B246F76C-AAF6-43F2-8D30-6BEF6AD4E236}"/>
    <cellStyle name="Normal 4 8 2" xfId="879" xr:uid="{00000000-0005-0000-0000-0000CA160000}"/>
    <cellStyle name="Normal 4 8 2 2" xfId="3114" xr:uid="{00000000-0005-0000-0000-0000CB160000}"/>
    <cellStyle name="Normal 4 8 2 2 2" xfId="7336" xr:uid="{00000000-0005-0000-0000-0000CC160000}"/>
    <cellStyle name="Normal 4 8 2 2 2 2" xfId="25109" xr:uid="{62C3E46D-A2DF-42E2-A2E2-58CE09625453}"/>
    <cellStyle name="Normal 4 8 2 2 2 2 2" xfId="42003" xr:uid="{D07ABB62-E170-410C-82CD-8C8095607CA4}"/>
    <cellStyle name="Normal 4 8 2 2 2 3" xfId="16662" xr:uid="{53AB4E90-1E1D-49F6-843B-2057F016E5BC}"/>
    <cellStyle name="Normal 4 8 2 2 2 4" xfId="33556" xr:uid="{1541B83F-C21F-497F-BAA2-52483F67588F}"/>
    <cellStyle name="Normal 4 8 2 2 3" xfId="20892" xr:uid="{07EA96FF-64B3-4FEB-BDFA-23F279372FD9}"/>
    <cellStyle name="Normal 4 8 2 2 3 2" xfId="37786" xr:uid="{4F63063E-00FB-419C-A023-A807FF7E7439}"/>
    <cellStyle name="Normal 4 8 2 2 4" xfId="12445" xr:uid="{DF971C9A-265C-4FAF-BEFA-650EE4AA6AD1}"/>
    <cellStyle name="Normal 4 8 2 2 5" xfId="29339" xr:uid="{6A80E287-875C-4F91-B684-09497450F862}"/>
    <cellStyle name="Normal 4 8 2 3" xfId="5191" xr:uid="{00000000-0005-0000-0000-0000CD160000}"/>
    <cellStyle name="Normal 4 8 2 3 2" xfId="22964" xr:uid="{0E09B8C3-D55F-473A-B3D2-77FB127EDFE2}"/>
    <cellStyle name="Normal 4 8 2 3 2 2" xfId="39858" xr:uid="{39D0B22F-BA04-4B95-9577-8933FEB0EA3B}"/>
    <cellStyle name="Normal 4 8 2 3 3" xfId="14517" xr:uid="{D80A7DAC-1433-426D-B999-6D6B79A718E0}"/>
    <cellStyle name="Normal 4 8 2 3 4" xfId="31411" xr:uid="{1C48E360-1848-4464-8D35-52395635E4E4}"/>
    <cellStyle name="Normal 4 8 2 4" xfId="9384" xr:uid="{6351F1DA-E485-4044-8429-C0AE76E79EEE}"/>
    <cellStyle name="Normal 4 8 2 4 2" xfId="18747" xr:uid="{EA66BC38-F3E2-40B3-A7AC-00A8FF8FD793}"/>
    <cellStyle name="Normal 4 8 2 4 3" xfId="35641" xr:uid="{E2AAA87A-CD94-43F5-9C9A-D9328F175264}"/>
    <cellStyle name="Normal 4 8 2 5" xfId="10300" xr:uid="{E6AF2D8F-588F-4B65-A5F4-9B5A83A552A8}"/>
    <cellStyle name="Normal 4 8 2 6" xfId="27194" xr:uid="{69C259F1-A26B-493F-87A6-46201F74168E}"/>
    <cellStyle name="Normal 4 8 3" xfId="1297" xr:uid="{00000000-0005-0000-0000-0000CE160000}"/>
    <cellStyle name="Normal 4 8 3 2" xfId="3527" xr:uid="{00000000-0005-0000-0000-0000CF160000}"/>
    <cellStyle name="Normal 4 8 3 2 2" xfId="7749" xr:uid="{00000000-0005-0000-0000-0000D0160000}"/>
    <cellStyle name="Normal 4 8 3 2 2 2" xfId="25522" xr:uid="{6EA8244A-BC08-4F1B-8785-DD7510FD1F95}"/>
    <cellStyle name="Normal 4 8 3 2 2 2 2" xfId="42416" xr:uid="{3B10F20B-63B8-4469-9F42-59AE180FF811}"/>
    <cellStyle name="Normal 4 8 3 2 2 3" xfId="17075" xr:uid="{5CE6E558-8711-473F-8110-5491BE52DCC0}"/>
    <cellStyle name="Normal 4 8 3 2 2 4" xfId="33969" xr:uid="{18E4CDE8-9AB5-49D9-A513-B75EB6D657A1}"/>
    <cellStyle name="Normal 4 8 3 2 3" xfId="21305" xr:uid="{F7327378-4D63-4F16-A392-B372F69AE0D5}"/>
    <cellStyle name="Normal 4 8 3 2 3 2" xfId="38199" xr:uid="{96F21970-B177-4DD4-9BB3-43E0A9F1F298}"/>
    <cellStyle name="Normal 4 8 3 2 4" xfId="12858" xr:uid="{AAFAA93C-B00E-4601-B859-739C146001BB}"/>
    <cellStyle name="Normal 4 8 3 2 5" xfId="29752" xr:uid="{CF291293-55F0-4E5A-AD85-53903E0ECA67}"/>
    <cellStyle name="Normal 4 8 3 3" xfId="5604" xr:uid="{00000000-0005-0000-0000-0000D1160000}"/>
    <cellStyle name="Normal 4 8 3 3 2" xfId="23377" xr:uid="{5244CE16-1129-4DC8-A414-B7C43DB71CFC}"/>
    <cellStyle name="Normal 4 8 3 3 2 2" xfId="40271" xr:uid="{5A83714F-FF4E-4E01-B619-4F8095C7696D}"/>
    <cellStyle name="Normal 4 8 3 3 3" xfId="14930" xr:uid="{9DF045C1-7B58-497E-8757-BB49890BFB93}"/>
    <cellStyle name="Normal 4 8 3 3 4" xfId="31824" xr:uid="{7C2ED2AA-4B10-4A1C-A4A2-2D2B5BF9A6F7}"/>
    <cellStyle name="Normal 4 8 3 4" xfId="19160" xr:uid="{676B881D-4EBF-45C8-B1CA-1B44517B9D49}"/>
    <cellStyle name="Normal 4 8 3 4 2" xfId="36054" xr:uid="{62B4A4E9-D631-43B5-AA23-64201641B059}"/>
    <cellStyle name="Normal 4 8 3 5" xfId="10713" xr:uid="{32A65E58-A3A9-4C2A-8E85-BE428B83DBBC}"/>
    <cellStyle name="Normal 4 8 3 6" xfId="27607" xr:uid="{6D9263CE-F1A0-4629-950B-FDCABE39CF15}"/>
    <cellStyle name="Normal 4 8 4" xfId="1710" xr:uid="{00000000-0005-0000-0000-0000D2160000}"/>
    <cellStyle name="Normal 4 8 4 2" xfId="3940" xr:uid="{00000000-0005-0000-0000-0000D3160000}"/>
    <cellStyle name="Normal 4 8 4 2 2" xfId="8162" xr:uid="{00000000-0005-0000-0000-0000D4160000}"/>
    <cellStyle name="Normal 4 8 4 2 2 2" xfId="25935" xr:uid="{A7DAF3B0-0E20-4C69-9199-0C95299689EF}"/>
    <cellStyle name="Normal 4 8 4 2 2 2 2" xfId="42829" xr:uid="{6055B6F4-5409-430E-93E9-1078043E525F}"/>
    <cellStyle name="Normal 4 8 4 2 2 3" xfId="17488" xr:uid="{19E6DC51-04DB-4BD6-9074-049B6D7DA400}"/>
    <cellStyle name="Normal 4 8 4 2 2 4" xfId="34382" xr:uid="{A88199E6-3840-4002-AF64-DC969F534C28}"/>
    <cellStyle name="Normal 4 8 4 2 3" xfId="21718" xr:uid="{AE24F589-CD82-416F-BE51-DE78437C1C8A}"/>
    <cellStyle name="Normal 4 8 4 2 3 2" xfId="38612" xr:uid="{3A6D0289-A076-4C57-8732-13BF89DB7815}"/>
    <cellStyle name="Normal 4 8 4 2 4" xfId="13271" xr:uid="{F44F641A-A6BA-47A6-B6A9-D53768097701}"/>
    <cellStyle name="Normal 4 8 4 2 5" xfId="30165" xr:uid="{31408F54-9BA4-42D0-BCBB-818F65F6458E}"/>
    <cellStyle name="Normal 4 8 4 3" xfId="6017" xr:uid="{00000000-0005-0000-0000-0000D5160000}"/>
    <cellStyle name="Normal 4 8 4 3 2" xfId="23790" xr:uid="{09E641C5-87F8-4F52-8576-66EFC9299D66}"/>
    <cellStyle name="Normal 4 8 4 3 2 2" xfId="40684" xr:uid="{458D2CF3-F772-4BC2-A69D-67660937B012}"/>
    <cellStyle name="Normal 4 8 4 3 3" xfId="15343" xr:uid="{FDAC79A0-CF89-4FA5-9639-63A3E848BEA9}"/>
    <cellStyle name="Normal 4 8 4 3 4" xfId="32237" xr:uid="{A9A3DBA9-47BC-484D-A33D-3F4ABE14FE57}"/>
    <cellStyle name="Normal 4 8 4 4" xfId="19573" xr:uid="{6AE534D3-CC7C-4FB4-BA89-0B6032755236}"/>
    <cellStyle name="Normal 4 8 4 4 2" xfId="36467" xr:uid="{3055B5DE-B183-4592-99BA-8BFE860D8889}"/>
    <cellStyle name="Normal 4 8 4 5" xfId="11126" xr:uid="{CE5C8A64-F3FE-4A72-97F6-1559C19770E8}"/>
    <cellStyle name="Normal 4 8 4 6" xfId="28020" xr:uid="{1E0336CF-60B2-4C0C-9B16-C5AD7D39F223}"/>
    <cellStyle name="Normal 4 8 5" xfId="2124" xr:uid="{00000000-0005-0000-0000-0000D6160000}"/>
    <cellStyle name="Normal 4 8 5 2" xfId="4353" xr:uid="{00000000-0005-0000-0000-0000D7160000}"/>
    <cellStyle name="Normal 4 8 5 2 2" xfId="8575" xr:uid="{00000000-0005-0000-0000-0000D8160000}"/>
    <cellStyle name="Normal 4 8 5 2 2 2" xfId="26348" xr:uid="{C2F7842E-6506-4E4A-BFF4-17E788351687}"/>
    <cellStyle name="Normal 4 8 5 2 2 2 2" xfId="43242" xr:uid="{8DC2CBB9-1A99-4E59-89EF-1AFB9EBB64D2}"/>
    <cellStyle name="Normal 4 8 5 2 2 3" xfId="17901" xr:uid="{6A9BA170-B8BE-47F4-B0C7-EDC1862E2587}"/>
    <cellStyle name="Normal 4 8 5 2 2 4" xfId="34795" xr:uid="{5ADA3721-7BEB-4EE2-8108-0EE982ED856F}"/>
    <cellStyle name="Normal 4 8 5 2 3" xfId="22131" xr:uid="{793CBD17-4386-4769-A430-2B442294930A}"/>
    <cellStyle name="Normal 4 8 5 2 3 2" xfId="39025" xr:uid="{A079EE8B-B628-479B-8AC4-8F38F0B5B116}"/>
    <cellStyle name="Normal 4 8 5 2 4" xfId="13684" xr:uid="{348C436D-0D4F-467D-818A-C9206CB272F9}"/>
    <cellStyle name="Normal 4 8 5 2 5" xfId="30578" xr:uid="{9516E6D1-CD2B-42C9-976E-21584BA76D7C}"/>
    <cellStyle name="Normal 4 8 5 3" xfId="6430" xr:uid="{00000000-0005-0000-0000-0000D9160000}"/>
    <cellStyle name="Normal 4 8 5 3 2" xfId="24203" xr:uid="{4266DE57-A0C7-4489-BAAF-E3AF4D28F051}"/>
    <cellStyle name="Normal 4 8 5 3 2 2" xfId="41097" xr:uid="{2454358C-4695-4D74-A684-3CDAEF4DB231}"/>
    <cellStyle name="Normal 4 8 5 3 3" xfId="15756" xr:uid="{E29CC00C-064E-4331-B757-F4129B04E6ED}"/>
    <cellStyle name="Normal 4 8 5 3 4" xfId="32650" xr:uid="{72343CC7-2128-46AE-A975-D408C7A38BA9}"/>
    <cellStyle name="Normal 4 8 5 4" xfId="19986" xr:uid="{556FE762-8DE8-4100-A37D-A3FF67A3B132}"/>
    <cellStyle name="Normal 4 8 5 4 2" xfId="36880" xr:uid="{BDA10F54-0E23-4F2C-AFB7-0B2B56F4C7A3}"/>
    <cellStyle name="Normal 4 8 5 5" xfId="11539" xr:uid="{36513CB8-BCD5-4284-924A-9E9EC059CB49}"/>
    <cellStyle name="Normal 4 8 5 6" xfId="28433" xr:uid="{FA49B637-A3AF-4CF7-86A0-7FBA1BD16DEF}"/>
    <cellStyle name="Normal 4 8 6" xfId="2560" xr:uid="{00000000-0005-0000-0000-0000DA160000}"/>
    <cellStyle name="Normal 4 8 6 2" xfId="6843" xr:uid="{00000000-0005-0000-0000-0000DB160000}"/>
    <cellStyle name="Normal 4 8 6 2 2" xfId="24616" xr:uid="{0D9BF481-62B9-46D0-B02E-1563766F3714}"/>
    <cellStyle name="Normal 4 8 6 2 2 2" xfId="41510" xr:uid="{B25D8EF7-3A2C-459B-949A-B4ED176B5CED}"/>
    <cellStyle name="Normal 4 8 6 2 3" xfId="16169" xr:uid="{5498662A-D4F9-451E-A47C-2C597796C488}"/>
    <cellStyle name="Normal 4 8 6 2 4" xfId="33063" xr:uid="{E5FFD2A5-3690-4ABC-81E4-6A39D3506CB3}"/>
    <cellStyle name="Normal 4 8 6 3" xfId="20399" xr:uid="{741E25C4-E3B0-4533-9B96-CB1531C829CE}"/>
    <cellStyle name="Normal 4 8 6 3 2" xfId="37293" xr:uid="{BE580E48-A49B-4CF9-94C1-2833083AD6A0}"/>
    <cellStyle name="Normal 4 8 6 4" xfId="11952" xr:uid="{9828B73E-4C27-4F62-A1A3-5F7327154C2E}"/>
    <cellStyle name="Normal 4 8 6 5" xfId="28846" xr:uid="{A925E2F6-2FF5-4A22-8BFE-D145D766526D}"/>
    <cellStyle name="Normal 4 8 7" xfId="4778" xr:uid="{00000000-0005-0000-0000-0000DC160000}"/>
    <cellStyle name="Normal 4 8 7 2" xfId="22551" xr:uid="{5CB93D7F-C1E4-4275-9C5C-17B6D1AFC420}"/>
    <cellStyle name="Normal 4 8 7 2 2" xfId="39445" xr:uid="{5780AC61-C1DD-479B-A89B-70A5FB351D65}"/>
    <cellStyle name="Normal 4 8 7 3" xfId="14104" xr:uid="{08CD7562-277D-40CB-9710-199B7EF3AC37}"/>
    <cellStyle name="Normal 4 8 7 4" xfId="30998" xr:uid="{D8C52251-3512-4000-B4DE-D1439453856E}"/>
    <cellStyle name="Normal 4 8 8" xfId="8959" xr:uid="{E3216EF3-66EB-48FF-967C-A258B3C3F4FF}"/>
    <cellStyle name="Normal 4 8 8 2" xfId="18334" xr:uid="{6EEF2637-6BE9-4D7F-A2A1-110B8A93359B}"/>
    <cellStyle name="Normal 4 8 8 3" xfId="35228" xr:uid="{9E17F25D-7295-438C-B605-AA86D98E57B2}"/>
    <cellStyle name="Normal 4 8 9" xfId="9887" xr:uid="{FBB033C6-370A-49B2-90C8-614A76F14A95}"/>
    <cellStyle name="Normal 4 9" xfId="4715" xr:uid="{00000000-0005-0000-0000-0000DD160000}"/>
    <cellStyle name="Normal 4 9 2" xfId="9162" xr:uid="{BC355FAB-4557-4712-A03F-EB5522B29E6A}"/>
    <cellStyle name="Normal 4 9 2 2" xfId="22488" xr:uid="{BBAE4FAF-11FA-4206-A7BE-8AED8AAFBC26}"/>
    <cellStyle name="Normal 4 9 2 3" xfId="39382" xr:uid="{C570A6CF-5E74-4079-BDD9-97F07C44D28F}"/>
    <cellStyle name="Normal 4 9 3" xfId="14041" xr:uid="{E87CB92F-0592-4641-940C-41100E621BBB}"/>
    <cellStyle name="Normal 4 9 4" xfId="30935" xr:uid="{79AEAB7D-5B05-48F0-9D2D-E2CA4DAFC566}"/>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2 2 2" xfId="25936" xr:uid="{0FB42FBA-821D-4AF9-A04B-DF6790656A53}"/>
    <cellStyle name="Normal 5 10 2 2 2 2" xfId="42830" xr:uid="{4159FED6-C580-4FAC-8123-0EA91A84C952}"/>
    <cellStyle name="Normal 5 10 2 2 3" xfId="17489" xr:uid="{38722C36-4180-40E2-BB76-8EE16F5C7851}"/>
    <cellStyle name="Normal 5 10 2 2 4" xfId="34383" xr:uid="{5C5E514A-44AD-4786-B071-8EF907F53C77}"/>
    <cellStyle name="Normal 5 10 2 3" xfId="21719" xr:uid="{D96225F1-F0DA-4B82-8C2F-FE593F57BAAA}"/>
    <cellStyle name="Normal 5 10 2 3 2" xfId="38613" xr:uid="{80434AE3-88EE-49AB-A86C-89FA174E9692}"/>
    <cellStyle name="Normal 5 10 2 4" xfId="13272" xr:uid="{97F587DC-F648-4FD0-9FE8-B2B19C8302BE}"/>
    <cellStyle name="Normal 5 10 2 5" xfId="30166" xr:uid="{3A0BB046-DCC7-47A2-B0B0-C54E2C29C2AC}"/>
    <cellStyle name="Normal 5 10 3" xfId="6018" xr:uid="{00000000-0005-0000-0000-0000E2160000}"/>
    <cellStyle name="Normal 5 10 3 2" xfId="23791" xr:uid="{277D361B-2460-4FF0-AE42-1CE48F7B5963}"/>
    <cellStyle name="Normal 5 10 3 2 2" xfId="40685" xr:uid="{6F77B1D3-CA35-4341-9C44-889B9D7C0F53}"/>
    <cellStyle name="Normal 5 10 3 3" xfId="15344" xr:uid="{3F687CAC-0259-4A89-8554-075D2A6FC769}"/>
    <cellStyle name="Normal 5 10 3 4" xfId="32238" xr:uid="{C43E531D-C9FD-44A5-BD78-62F8D7773719}"/>
    <cellStyle name="Normal 5 10 4" xfId="19574" xr:uid="{B2C415CB-49F7-44C5-900D-13278B221123}"/>
    <cellStyle name="Normal 5 10 4 2" xfId="36468" xr:uid="{6C339F5E-8929-4946-B951-0D6ADCFAD6A5}"/>
    <cellStyle name="Normal 5 10 5" xfId="11127" xr:uid="{1864A69F-38DD-40E9-9B06-B93F2EEE6D35}"/>
    <cellStyle name="Normal 5 10 6" xfId="28021" xr:uid="{4C002AAF-25E2-4B34-B561-4A839BC78F15}"/>
    <cellStyle name="Normal 5 11" xfId="2125" xr:uid="{00000000-0005-0000-0000-0000E3160000}"/>
    <cellStyle name="Normal 5 11 2" xfId="4354" xr:uid="{00000000-0005-0000-0000-0000E4160000}"/>
    <cellStyle name="Normal 5 11 2 2" xfId="8576" xr:uid="{00000000-0005-0000-0000-0000E5160000}"/>
    <cellStyle name="Normal 5 11 2 2 2" xfId="26349" xr:uid="{25B60766-1E8A-4486-8EFD-ED9E43A2B9C8}"/>
    <cellStyle name="Normal 5 11 2 2 2 2" xfId="43243" xr:uid="{08A5D5EE-F929-4038-8339-42EEB147C455}"/>
    <cellStyle name="Normal 5 11 2 2 3" xfId="17902" xr:uid="{45887C68-C579-44B1-A74F-FDA8ACFE80D3}"/>
    <cellStyle name="Normal 5 11 2 2 4" xfId="34796" xr:uid="{0CEE7F5E-1345-4B2C-8605-D34C358302E4}"/>
    <cellStyle name="Normal 5 11 2 3" xfId="22132" xr:uid="{F60E2010-592E-47BD-931B-988E3DBADB68}"/>
    <cellStyle name="Normal 5 11 2 3 2" xfId="39026" xr:uid="{AAD46E49-1C46-4509-95B9-F5D6917BADBE}"/>
    <cellStyle name="Normal 5 11 2 4" xfId="13685" xr:uid="{D05DF8BC-72B1-4E3B-A1CD-B4BDAB54AB7F}"/>
    <cellStyle name="Normal 5 11 2 5" xfId="30579" xr:uid="{30A44C42-E39E-471B-86D1-220507425ED2}"/>
    <cellStyle name="Normal 5 11 3" xfId="6431" xr:uid="{00000000-0005-0000-0000-0000E6160000}"/>
    <cellStyle name="Normal 5 11 3 2" xfId="24204" xr:uid="{A822CB69-3F73-4D97-89E8-EB4C9F805954}"/>
    <cellStyle name="Normal 5 11 3 2 2" xfId="41098" xr:uid="{BEC7A59D-DF9A-4F4A-93F3-B52DC0A418EB}"/>
    <cellStyle name="Normal 5 11 3 3" xfId="15757" xr:uid="{BEE92009-6E90-4573-A463-427A6CCC3213}"/>
    <cellStyle name="Normal 5 11 3 4" xfId="32651" xr:uid="{9688A85D-4E0F-4C2A-BDF6-B01E01350D9D}"/>
    <cellStyle name="Normal 5 11 4" xfId="19987" xr:uid="{97F4F459-F954-460E-B152-5C9C91C6678C}"/>
    <cellStyle name="Normal 5 11 4 2" xfId="36881" xr:uid="{0DEB2EBD-0230-43C0-A5F4-1A6D4D206B7B}"/>
    <cellStyle name="Normal 5 11 5" xfId="11540" xr:uid="{A29A9E9D-A566-4BD3-BB42-9C034B27C1B7}"/>
    <cellStyle name="Normal 5 11 6" xfId="28434" xr:uid="{F6C5713A-C6DA-4525-8190-9F25D088AE5A}"/>
    <cellStyle name="Normal 5 12" xfId="2561" xr:uid="{00000000-0005-0000-0000-0000E7160000}"/>
    <cellStyle name="Normal 5 12 2" xfId="6844" xr:uid="{00000000-0005-0000-0000-0000E8160000}"/>
    <cellStyle name="Normal 5 12 2 2" xfId="24617" xr:uid="{1373F007-E897-40A5-BD7C-7C61D0654098}"/>
    <cellStyle name="Normal 5 12 2 2 2" xfId="41511" xr:uid="{E998C7F3-11A1-4F0A-B68E-E212FD7FAE73}"/>
    <cellStyle name="Normal 5 12 2 3" xfId="16170" xr:uid="{FAED532A-A5EE-49E1-B98D-BFA6D11AD879}"/>
    <cellStyle name="Normal 5 12 2 4" xfId="33064" xr:uid="{F9068C32-22E1-4062-9B7E-053CFFB307FD}"/>
    <cellStyle name="Normal 5 12 3" xfId="20400" xr:uid="{C8D26832-CCE6-425F-A9D5-7D3707A7FB3F}"/>
    <cellStyle name="Normal 5 12 3 2" xfId="37294" xr:uid="{C6FE1860-C093-4B43-86BF-6D1AAFE36A56}"/>
    <cellStyle name="Normal 5 12 4" xfId="11953" xr:uid="{6309613D-9D39-4CA1-BAF0-EEE5975F94B1}"/>
    <cellStyle name="Normal 5 12 5" xfId="28847" xr:uid="{56D2D8E4-47D3-4571-821F-F101DEA1041B}"/>
    <cellStyle name="Normal 5 13" xfId="4779" xr:uid="{00000000-0005-0000-0000-0000E9160000}"/>
    <cellStyle name="Normal 5 13 2" xfId="22552" xr:uid="{F2982FD4-972A-49E2-B771-EB9875C141B4}"/>
    <cellStyle name="Normal 5 13 2 2" xfId="39446" xr:uid="{F7FF5D31-64C6-451E-9447-0B5B1E356F07}"/>
    <cellStyle name="Normal 5 13 3" xfId="14105" xr:uid="{D227513B-8724-425E-9716-E81B4419B2FA}"/>
    <cellStyle name="Normal 5 13 4" xfId="30999" xr:uid="{1F0CC9CA-3DA5-4F08-AFBA-635AB3D50793}"/>
    <cellStyle name="Normal 5 14" xfId="8741" xr:uid="{6467398C-BC57-47BF-AF01-9B3356F8431F}"/>
    <cellStyle name="Normal 5 14 2" xfId="18335" xr:uid="{31F56CD5-3029-41F7-8505-6B9506089FFF}"/>
    <cellStyle name="Normal 5 14 3" xfId="35229" xr:uid="{33FCC82B-4659-4795-93F6-B1517EDB6758}"/>
    <cellStyle name="Normal 5 15" xfId="9888" xr:uid="{5A1155A2-C98F-45B9-B80A-55953334B8ED}"/>
    <cellStyle name="Normal 5 16" xfId="26782" xr:uid="{53374F29-DE6E-4174-8399-DBAF5C93DAC9}"/>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2 2 2" xfId="26350" xr:uid="{164FB713-F450-49F8-AEED-BB8AF3303B48}"/>
    <cellStyle name="Normal 5 2 10 2 2 2 2" xfId="43244" xr:uid="{7DFE09CD-006F-4579-B78F-23B750FD8A07}"/>
    <cellStyle name="Normal 5 2 10 2 2 3" xfId="17903" xr:uid="{B24289AA-E090-4DF7-8BCC-8E894D9D3792}"/>
    <cellStyle name="Normal 5 2 10 2 2 4" xfId="34797" xr:uid="{295CEC95-F078-4D60-A638-852D4FE419A4}"/>
    <cellStyle name="Normal 5 2 10 2 3" xfId="22133" xr:uid="{FE314701-D46A-400A-88A3-56509733A171}"/>
    <cellStyle name="Normal 5 2 10 2 3 2" xfId="39027" xr:uid="{2C051412-A6D8-406B-8431-5B9A5937B50F}"/>
    <cellStyle name="Normal 5 2 10 2 4" xfId="13686" xr:uid="{15039886-8D03-44F8-9A84-6F6B90F687AD}"/>
    <cellStyle name="Normal 5 2 10 2 5" xfId="30580" xr:uid="{B328D13F-2482-4253-AF6C-FE21B548CA72}"/>
    <cellStyle name="Normal 5 2 10 3" xfId="6432" xr:uid="{00000000-0005-0000-0000-0000EE160000}"/>
    <cellStyle name="Normal 5 2 10 3 2" xfId="24205" xr:uid="{2BC56B43-1528-47C8-9D2B-6B061F4B4B3B}"/>
    <cellStyle name="Normal 5 2 10 3 2 2" xfId="41099" xr:uid="{C3A45B27-4009-4785-9B3E-F3731BB61F54}"/>
    <cellStyle name="Normal 5 2 10 3 3" xfId="15758" xr:uid="{F80C5089-D7EF-4158-94F7-F1D1EAD4A5D9}"/>
    <cellStyle name="Normal 5 2 10 3 4" xfId="32652" xr:uid="{C2D8B83E-D592-4F66-B8F5-4F695A9C33B8}"/>
    <cellStyle name="Normal 5 2 10 4" xfId="19988" xr:uid="{632910BF-21A1-45C8-8B8B-D82C3749F358}"/>
    <cellStyle name="Normal 5 2 10 4 2" xfId="36882" xr:uid="{524DB972-3A53-4A9E-A636-2A36F4F8D6B4}"/>
    <cellStyle name="Normal 5 2 10 5" xfId="11541" xr:uid="{33671F57-D3C1-4493-8F40-E553A4D0C6C3}"/>
    <cellStyle name="Normal 5 2 10 6" xfId="28435" xr:uid="{DCC08DE7-31E3-4F5B-B7BD-4A32986EC34D}"/>
    <cellStyle name="Normal 5 2 11" xfId="2562" xr:uid="{00000000-0005-0000-0000-0000EF160000}"/>
    <cellStyle name="Normal 5 2 11 2" xfId="6845" xr:uid="{00000000-0005-0000-0000-0000F0160000}"/>
    <cellStyle name="Normal 5 2 11 2 2" xfId="24618" xr:uid="{3765A07E-4D65-47B1-9AF8-EBBF5D4D0A6D}"/>
    <cellStyle name="Normal 5 2 11 2 2 2" xfId="41512" xr:uid="{ECDD5DEE-E003-420F-895A-C86D7B0A7AAC}"/>
    <cellStyle name="Normal 5 2 11 2 3" xfId="16171" xr:uid="{48571049-A205-4576-B0BF-B3A8DB9E32D1}"/>
    <cellStyle name="Normal 5 2 11 2 4" xfId="33065" xr:uid="{6B5EFF4D-C95C-4D6F-A64C-5520B26E3693}"/>
    <cellStyle name="Normal 5 2 11 3" xfId="20401" xr:uid="{33F0B198-0198-4F99-810E-95D6220B6EDE}"/>
    <cellStyle name="Normal 5 2 11 3 2" xfId="37295" xr:uid="{FEDE8683-7195-4849-AB60-F057C4BA57D1}"/>
    <cellStyle name="Normal 5 2 11 4" xfId="11954" xr:uid="{FF7C1CE9-3A29-4D38-A928-099F21AE66B5}"/>
    <cellStyle name="Normal 5 2 11 5" xfId="28848" xr:uid="{A9F6F23B-6972-4138-B44B-2563493DF457}"/>
    <cellStyle name="Normal 5 2 12" xfId="4780" xr:uid="{00000000-0005-0000-0000-0000F1160000}"/>
    <cellStyle name="Normal 5 2 12 2" xfId="22553" xr:uid="{4C4A1943-5645-4A2A-9C47-9F9AFE17B922}"/>
    <cellStyle name="Normal 5 2 12 2 2" xfId="39447" xr:uid="{8AFD0263-3D6D-4019-AFF6-AAEA47BE8BEA}"/>
    <cellStyle name="Normal 5 2 12 3" xfId="14106" xr:uid="{0866088A-BD9A-496E-A4A8-AF5E1DD670A5}"/>
    <cellStyle name="Normal 5 2 12 4" xfId="31000" xr:uid="{E2F269D3-595C-407A-BD2B-3B3A2590532F}"/>
    <cellStyle name="Normal 5 2 13" xfId="8744" xr:uid="{40D5DF2B-E9DF-4D52-AAE0-3E5A94050B59}"/>
    <cellStyle name="Normal 5 2 13 2" xfId="18336" xr:uid="{5DE0892D-BFD1-4D95-A9C6-DA260992DB79}"/>
    <cellStyle name="Normal 5 2 13 3" xfId="35230" xr:uid="{70C7B54D-C239-4F45-85B9-73AB13F26884}"/>
    <cellStyle name="Normal 5 2 14" xfId="9889" xr:uid="{1909B2C2-4FA2-4DC7-A103-14724DE4FA93}"/>
    <cellStyle name="Normal 5 2 15" xfId="26783" xr:uid="{DB49C37F-1210-4771-A660-63E741251BAB}"/>
    <cellStyle name="Normal 5 2 2" xfId="408" xr:uid="{00000000-0005-0000-0000-0000F2160000}"/>
    <cellStyle name="Normal 5 2 2 10" xfId="2563" xr:uid="{00000000-0005-0000-0000-0000F3160000}"/>
    <cellStyle name="Normal 5 2 2 10 2" xfId="6846" xr:uid="{00000000-0005-0000-0000-0000F4160000}"/>
    <cellStyle name="Normal 5 2 2 10 2 2" xfId="24619" xr:uid="{47AB95A8-6E53-47F0-9DF1-67C452421772}"/>
    <cellStyle name="Normal 5 2 2 10 2 2 2" xfId="41513" xr:uid="{C2014E19-E5BA-4A09-904E-A9131033D3A2}"/>
    <cellStyle name="Normal 5 2 2 10 2 3" xfId="16172" xr:uid="{C75F0DD4-6EE7-4ED9-9F10-30461C5D7D67}"/>
    <cellStyle name="Normal 5 2 2 10 2 4" xfId="33066" xr:uid="{820AD837-F217-4656-ADA0-6F3398F55A47}"/>
    <cellStyle name="Normal 5 2 2 10 3" xfId="20402" xr:uid="{F342D727-9A5F-4947-AF19-91783F39D5C5}"/>
    <cellStyle name="Normal 5 2 2 10 3 2" xfId="37296" xr:uid="{F83F38CA-C4A5-4375-BBBF-8153531A0C84}"/>
    <cellStyle name="Normal 5 2 2 10 4" xfId="11955" xr:uid="{E321DEB6-C12A-4F43-8C6E-8BBE2E8E6593}"/>
    <cellStyle name="Normal 5 2 2 10 5" xfId="28849" xr:uid="{0368D4E7-735E-47A4-8E92-B49CF8088977}"/>
    <cellStyle name="Normal 5 2 2 11" xfId="4781" xr:uid="{00000000-0005-0000-0000-0000F5160000}"/>
    <cellStyle name="Normal 5 2 2 11 2" xfId="22554" xr:uid="{152556D4-17F4-451B-81F6-EB89F9CC757F}"/>
    <cellStyle name="Normal 5 2 2 11 2 2" xfId="39448" xr:uid="{85F423FD-A2DA-4D00-9D17-74016EC512E1}"/>
    <cellStyle name="Normal 5 2 2 11 3" xfId="14107" xr:uid="{186470EC-C3B6-4E05-B21B-ED77D4248151}"/>
    <cellStyle name="Normal 5 2 2 11 4" xfId="31001" xr:uid="{89008D88-F984-4635-BED3-E60CB7436CA8}"/>
    <cellStyle name="Normal 5 2 2 12" xfId="8753" xr:uid="{96D04E2F-D92F-448D-9FDA-8261D8BEE094}"/>
    <cellStyle name="Normal 5 2 2 12 2" xfId="18337" xr:uid="{EF186724-F93C-4585-9074-916B7F141F4B}"/>
    <cellStyle name="Normal 5 2 2 12 3" xfId="35231" xr:uid="{374BA546-2547-4B11-BA94-E3BCB5A65C35}"/>
    <cellStyle name="Normal 5 2 2 13" xfId="9890" xr:uid="{896747DF-D7C3-4EF7-B502-F96404B89B84}"/>
    <cellStyle name="Normal 5 2 2 14" xfId="26784" xr:uid="{6340E8F8-190C-47BD-BAD0-C52C6B5DF441}"/>
    <cellStyle name="Normal 5 2 2 2" xfId="409" xr:uid="{00000000-0005-0000-0000-0000F6160000}"/>
    <cellStyle name="Normal 5 2 2 2 10" xfId="4782" xr:uid="{00000000-0005-0000-0000-0000F7160000}"/>
    <cellStyle name="Normal 5 2 2 2 10 2" xfId="22555" xr:uid="{6FDF61B7-52C6-4058-BCD7-D3A4D6B22AD9}"/>
    <cellStyle name="Normal 5 2 2 2 10 2 2" xfId="39449" xr:uid="{8E7CCD63-E4C6-4C14-88E0-76C24DE8C0E5}"/>
    <cellStyle name="Normal 5 2 2 2 10 3" xfId="14108" xr:uid="{F8B3DA2D-330C-4C01-83A3-719A4A00560F}"/>
    <cellStyle name="Normal 5 2 2 2 10 4" xfId="31002" xr:uid="{491992D6-8C81-4586-A559-45CA8C6BE552}"/>
    <cellStyle name="Normal 5 2 2 2 11" xfId="8771" xr:uid="{0E58ED1C-12F1-4692-801F-170CA6F7CBDB}"/>
    <cellStyle name="Normal 5 2 2 2 11 2" xfId="18338" xr:uid="{7A982A4E-FE6E-4856-98F1-BEFFFF2753BF}"/>
    <cellStyle name="Normal 5 2 2 2 11 3" xfId="35232" xr:uid="{0811E9CD-EC48-44CD-A19C-1B5B51BB9DD1}"/>
    <cellStyle name="Normal 5 2 2 2 12" xfId="9891" xr:uid="{F766F7E1-BEC4-445B-9B7F-FC22EBFA6E79}"/>
    <cellStyle name="Normal 5 2 2 2 13" xfId="26785" xr:uid="{E1010B92-15A3-428B-8793-355E9AC6E346}"/>
    <cellStyle name="Normal 5 2 2 2 2" xfId="410" xr:uid="{00000000-0005-0000-0000-0000F8160000}"/>
    <cellStyle name="Normal 5 2 2 2 2 10" xfId="8829" xr:uid="{AC161972-21E9-4E03-8D2E-9F95632CB08D}"/>
    <cellStyle name="Normal 5 2 2 2 2 10 2" xfId="18339" xr:uid="{0956EFA6-9367-4406-9535-9B03B2B909C2}"/>
    <cellStyle name="Normal 5 2 2 2 2 10 3" xfId="35233" xr:uid="{67D1D2E7-8027-4A25-A865-72B4365D47F9}"/>
    <cellStyle name="Normal 5 2 2 2 2 11" xfId="9892" xr:uid="{AFE3D340-7192-4DA8-B318-18FDA2957BC6}"/>
    <cellStyle name="Normal 5 2 2 2 2 12" xfId="26786" xr:uid="{07D928E9-A8F2-4FFC-BC24-441EDA917849}"/>
    <cellStyle name="Normal 5 2 2 2 2 2" xfId="411" xr:uid="{00000000-0005-0000-0000-0000F9160000}"/>
    <cellStyle name="Normal 5 2 2 2 2 2 10" xfId="9893" xr:uid="{E222D94C-82C3-403D-B358-99519EBBD4C1}"/>
    <cellStyle name="Normal 5 2 2 2 2 2 11" xfId="26787" xr:uid="{51EF7DCC-C901-4DDA-BC91-68F4F6631322}"/>
    <cellStyle name="Normal 5 2 2 2 2 2 2" xfId="412" xr:uid="{00000000-0005-0000-0000-0000FA160000}"/>
    <cellStyle name="Normal 5 2 2 2 2 2 2 10" xfId="26788" xr:uid="{1F207077-B15C-4867-8108-F40B2F380825}"/>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2 2 2" xfId="25116" xr:uid="{4BDEEF70-687A-4480-892B-76481095867E}"/>
    <cellStyle name="Normal 5 2 2 2 2 2 2 2 2 2 2 2" xfId="42010" xr:uid="{D721DDB4-C96C-486F-9B37-CB84F2B2F70B}"/>
    <cellStyle name="Normal 5 2 2 2 2 2 2 2 2 2 3" xfId="16669" xr:uid="{9EF1D811-1E98-4B85-B5B6-0251D488B0A0}"/>
    <cellStyle name="Normal 5 2 2 2 2 2 2 2 2 2 4" xfId="33563" xr:uid="{F9505436-97EA-4F2F-AB37-FE5353466DA3}"/>
    <cellStyle name="Normal 5 2 2 2 2 2 2 2 2 3" xfId="20899" xr:uid="{E36E34B8-44C7-47CB-8DE9-6A21A9BBD501}"/>
    <cellStyle name="Normal 5 2 2 2 2 2 2 2 2 3 2" xfId="37793" xr:uid="{8649565E-FC9D-41FC-9BCA-68F191E3E304}"/>
    <cellStyle name="Normal 5 2 2 2 2 2 2 2 2 4" xfId="12452" xr:uid="{A4B6712C-F9C9-4A0D-9399-2A2A9C0FEDCA}"/>
    <cellStyle name="Normal 5 2 2 2 2 2 2 2 2 5" xfId="29346" xr:uid="{FA1B59C0-B61C-440D-BEA4-504AFDECEBCB}"/>
    <cellStyle name="Normal 5 2 2 2 2 2 2 2 3" xfId="5198" xr:uid="{00000000-0005-0000-0000-0000FE160000}"/>
    <cellStyle name="Normal 5 2 2 2 2 2 2 2 3 2" xfId="22971" xr:uid="{4BC5F2E1-8FCC-4160-A66A-A28FEB11B058}"/>
    <cellStyle name="Normal 5 2 2 2 2 2 2 2 3 2 2" xfId="39865" xr:uid="{042D3EC1-7CF7-481D-9CE2-51AE5ADE757C}"/>
    <cellStyle name="Normal 5 2 2 2 2 2 2 2 3 3" xfId="14524" xr:uid="{E973B555-DC3B-4E03-976F-821CB3B74FD3}"/>
    <cellStyle name="Normal 5 2 2 2 2 2 2 2 3 4" xfId="31418" xr:uid="{64D16770-6866-4718-B21A-D9C767770067}"/>
    <cellStyle name="Normal 5 2 2 2 2 2 2 2 4" xfId="9564" xr:uid="{15884BE4-44C0-46E7-A184-FC102AAADEB4}"/>
    <cellStyle name="Normal 5 2 2 2 2 2 2 2 4 2" xfId="18754" xr:uid="{FA88204A-4295-425F-8FD8-4B89DA9EC09A}"/>
    <cellStyle name="Normal 5 2 2 2 2 2 2 2 4 3" xfId="35648" xr:uid="{D407E35B-C565-4BF5-B6A7-171554FFA204}"/>
    <cellStyle name="Normal 5 2 2 2 2 2 2 2 5" xfId="10307" xr:uid="{4D2A428E-2D60-43C8-A1D1-2169BD24DA35}"/>
    <cellStyle name="Normal 5 2 2 2 2 2 2 2 6" xfId="27201" xr:uid="{B35ECD5F-BA40-4AD3-A836-A017D78B2692}"/>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2 2 2" xfId="25529" xr:uid="{AA8A3C46-821E-45F4-878A-CE5616A013E0}"/>
    <cellStyle name="Normal 5 2 2 2 2 2 2 3 2 2 2 2" xfId="42423" xr:uid="{7A47097F-757A-4150-BB99-5C3A269C0755}"/>
    <cellStyle name="Normal 5 2 2 2 2 2 2 3 2 2 3" xfId="17082" xr:uid="{9956601F-A372-4018-AE0A-4793D9FAE54C}"/>
    <cellStyle name="Normal 5 2 2 2 2 2 2 3 2 2 4" xfId="33976" xr:uid="{5605E07E-505C-45E4-BB00-7B8C35ACEE04}"/>
    <cellStyle name="Normal 5 2 2 2 2 2 2 3 2 3" xfId="21312" xr:uid="{3636A907-A81A-4062-9CE7-6F285BA8D9B8}"/>
    <cellStyle name="Normal 5 2 2 2 2 2 2 3 2 3 2" xfId="38206" xr:uid="{D145E9B5-3840-45A3-BBC8-0411F4E505F7}"/>
    <cellStyle name="Normal 5 2 2 2 2 2 2 3 2 4" xfId="12865" xr:uid="{03FFF659-455B-4D66-954C-A4A56C35072F}"/>
    <cellStyle name="Normal 5 2 2 2 2 2 2 3 2 5" xfId="29759" xr:uid="{EB9C500D-FD7C-4F78-A213-C690D6F94306}"/>
    <cellStyle name="Normal 5 2 2 2 2 2 2 3 3" xfId="5611" xr:uid="{00000000-0005-0000-0000-000002170000}"/>
    <cellStyle name="Normal 5 2 2 2 2 2 2 3 3 2" xfId="23384" xr:uid="{B08CEE77-91F7-46C2-A313-919B3C5C836E}"/>
    <cellStyle name="Normal 5 2 2 2 2 2 2 3 3 2 2" xfId="40278" xr:uid="{6EE35CA4-5364-4A24-B3A3-4D50F515F14B}"/>
    <cellStyle name="Normal 5 2 2 2 2 2 2 3 3 3" xfId="14937" xr:uid="{762B1377-1E23-47A5-B19F-134B7040A28A}"/>
    <cellStyle name="Normal 5 2 2 2 2 2 2 3 3 4" xfId="31831" xr:uid="{167E0607-A371-45FC-B715-494309007384}"/>
    <cellStyle name="Normal 5 2 2 2 2 2 2 3 4" xfId="19167" xr:uid="{5EEB44C1-DE7B-4966-A956-B589A6AA5D66}"/>
    <cellStyle name="Normal 5 2 2 2 2 2 2 3 4 2" xfId="36061" xr:uid="{8614374C-B31A-4D7B-89EC-B674816BFFB4}"/>
    <cellStyle name="Normal 5 2 2 2 2 2 2 3 5" xfId="10720" xr:uid="{2B440C33-32C6-4C8E-8814-B1B5CAA75A56}"/>
    <cellStyle name="Normal 5 2 2 2 2 2 2 3 6" xfId="27614" xr:uid="{5F01241D-6B5D-4792-A7C4-2EEF285FE7E3}"/>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2 2 2" xfId="25942" xr:uid="{7ABDC36D-6113-427F-8086-C962CE891977}"/>
    <cellStyle name="Normal 5 2 2 2 2 2 2 4 2 2 2 2" xfId="42836" xr:uid="{88BAD1A2-0A61-4EE5-A4A7-C27022CBDAEB}"/>
    <cellStyle name="Normal 5 2 2 2 2 2 2 4 2 2 3" xfId="17495" xr:uid="{6A8F62DE-0788-46FB-A3D2-CAD3E799F3D5}"/>
    <cellStyle name="Normal 5 2 2 2 2 2 2 4 2 2 4" xfId="34389" xr:uid="{400965FB-73D0-42C9-8A63-8EFDB5D0B794}"/>
    <cellStyle name="Normal 5 2 2 2 2 2 2 4 2 3" xfId="21725" xr:uid="{A5E50937-0DF8-41F9-A9C9-91CA2012D4A1}"/>
    <cellStyle name="Normal 5 2 2 2 2 2 2 4 2 3 2" xfId="38619" xr:uid="{2E74D41B-E818-4312-A9FD-F956386F18F8}"/>
    <cellStyle name="Normal 5 2 2 2 2 2 2 4 2 4" xfId="13278" xr:uid="{683332F1-B2E9-4A5A-BCD6-9C4A86E1A261}"/>
    <cellStyle name="Normal 5 2 2 2 2 2 2 4 2 5" xfId="30172" xr:uid="{3F36103E-F64E-44BC-A25F-FF7778E9B9DD}"/>
    <cellStyle name="Normal 5 2 2 2 2 2 2 4 3" xfId="6024" xr:uid="{00000000-0005-0000-0000-000006170000}"/>
    <cellStyle name="Normal 5 2 2 2 2 2 2 4 3 2" xfId="23797" xr:uid="{AF426D9E-3B74-4404-B8AB-46C15AD44DB6}"/>
    <cellStyle name="Normal 5 2 2 2 2 2 2 4 3 2 2" xfId="40691" xr:uid="{7B19BA3A-666F-40F8-BAC8-5E4B268C61C2}"/>
    <cellStyle name="Normal 5 2 2 2 2 2 2 4 3 3" xfId="15350" xr:uid="{0D08A638-25C5-4738-B060-C6BED9BAB949}"/>
    <cellStyle name="Normal 5 2 2 2 2 2 2 4 3 4" xfId="32244" xr:uid="{913A1E00-5CF5-4D2D-A300-E56E666F4A37}"/>
    <cellStyle name="Normal 5 2 2 2 2 2 2 4 4" xfId="19580" xr:uid="{548EC4BB-2095-4692-A677-7B67D38978B7}"/>
    <cellStyle name="Normal 5 2 2 2 2 2 2 4 4 2" xfId="36474" xr:uid="{88C2E181-9BB8-4E61-B98D-8C492AD470A4}"/>
    <cellStyle name="Normal 5 2 2 2 2 2 2 4 5" xfId="11133" xr:uid="{64DD19F2-B95E-486A-9A0C-ED9E1C4DB896}"/>
    <cellStyle name="Normal 5 2 2 2 2 2 2 4 6" xfId="28027" xr:uid="{E10E31D5-8BC9-4902-8A5D-592AADEB570B}"/>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2 2 2" xfId="26355" xr:uid="{52F3FAD7-5EA8-4779-B0F6-91A124B30B5C}"/>
    <cellStyle name="Normal 5 2 2 2 2 2 2 5 2 2 2 2" xfId="43249" xr:uid="{708243AF-2383-4D02-A4CF-A85547FF47C5}"/>
    <cellStyle name="Normal 5 2 2 2 2 2 2 5 2 2 3" xfId="17908" xr:uid="{102A40A3-F6E2-40DB-97D6-DFA5EB770502}"/>
    <cellStyle name="Normal 5 2 2 2 2 2 2 5 2 2 4" xfId="34802" xr:uid="{F050E418-9505-4ABE-A356-2AEDC86A0ED3}"/>
    <cellStyle name="Normal 5 2 2 2 2 2 2 5 2 3" xfId="22138" xr:uid="{38F8CCFD-2A97-41BF-8218-85B48442D36E}"/>
    <cellStyle name="Normal 5 2 2 2 2 2 2 5 2 3 2" xfId="39032" xr:uid="{F17CE2B5-D225-451D-8048-FF618BAD7926}"/>
    <cellStyle name="Normal 5 2 2 2 2 2 2 5 2 4" xfId="13691" xr:uid="{BEBA31B2-EB1C-4BBD-87D9-783C387D5FD4}"/>
    <cellStyle name="Normal 5 2 2 2 2 2 2 5 2 5" xfId="30585" xr:uid="{01330CEB-9C4D-428E-ACB9-4AD825BA53E3}"/>
    <cellStyle name="Normal 5 2 2 2 2 2 2 5 3" xfId="6437" xr:uid="{00000000-0005-0000-0000-00000A170000}"/>
    <cellStyle name="Normal 5 2 2 2 2 2 2 5 3 2" xfId="24210" xr:uid="{21934001-B652-4E2F-A84E-4AD95C033CF2}"/>
    <cellStyle name="Normal 5 2 2 2 2 2 2 5 3 2 2" xfId="41104" xr:uid="{F6FEFBC1-AAC5-495A-928B-FE25653DA151}"/>
    <cellStyle name="Normal 5 2 2 2 2 2 2 5 3 3" xfId="15763" xr:uid="{42AD817A-FA39-4D09-8724-1F15E4EBFE7E}"/>
    <cellStyle name="Normal 5 2 2 2 2 2 2 5 3 4" xfId="32657" xr:uid="{6B90E73A-3197-4387-8A75-87BE73684F2A}"/>
    <cellStyle name="Normal 5 2 2 2 2 2 2 5 4" xfId="19993" xr:uid="{00BE420B-FD56-480E-AEF1-76720A42B525}"/>
    <cellStyle name="Normal 5 2 2 2 2 2 2 5 4 2" xfId="36887" xr:uid="{38919196-462B-4F50-9A9E-61AEFC17A735}"/>
    <cellStyle name="Normal 5 2 2 2 2 2 2 5 5" xfId="11546" xr:uid="{A344D65C-807F-4860-81FE-3EB3DAD69EB7}"/>
    <cellStyle name="Normal 5 2 2 2 2 2 2 5 6" xfId="28440" xr:uid="{117764A1-F90E-4953-96F5-B37DFFBAF1B5}"/>
    <cellStyle name="Normal 5 2 2 2 2 2 2 6" xfId="2567" xr:uid="{00000000-0005-0000-0000-00000B170000}"/>
    <cellStyle name="Normal 5 2 2 2 2 2 2 6 2" xfId="6850" xr:uid="{00000000-0005-0000-0000-00000C170000}"/>
    <cellStyle name="Normal 5 2 2 2 2 2 2 6 2 2" xfId="24623" xr:uid="{9F3B9DBB-CC92-4F7B-89E5-B4AF05511F89}"/>
    <cellStyle name="Normal 5 2 2 2 2 2 2 6 2 2 2" xfId="41517" xr:uid="{4DB9EA74-9C70-43B5-896F-AB42B32C3D37}"/>
    <cellStyle name="Normal 5 2 2 2 2 2 2 6 2 3" xfId="16176" xr:uid="{5C14913E-BDCE-4D72-913F-9717EC3D4D5B}"/>
    <cellStyle name="Normal 5 2 2 2 2 2 2 6 2 4" xfId="33070" xr:uid="{1C1E8FEC-1310-490B-91E4-0C26E3679C5B}"/>
    <cellStyle name="Normal 5 2 2 2 2 2 2 6 3" xfId="20406" xr:uid="{6E0B1E79-8248-4ACA-92CF-35A592EB75CE}"/>
    <cellStyle name="Normal 5 2 2 2 2 2 2 6 3 2" xfId="37300" xr:uid="{1B2F2356-DA36-444C-AEC5-915D54D9D14A}"/>
    <cellStyle name="Normal 5 2 2 2 2 2 2 6 4" xfId="11959" xr:uid="{B72BEF9F-9FF3-4B95-B303-5D07AF9CFBC7}"/>
    <cellStyle name="Normal 5 2 2 2 2 2 2 6 5" xfId="28853" xr:uid="{13AA61EE-473B-4ECF-96B6-A2030F8F27D6}"/>
    <cellStyle name="Normal 5 2 2 2 2 2 2 7" xfId="4785" xr:uid="{00000000-0005-0000-0000-00000D170000}"/>
    <cellStyle name="Normal 5 2 2 2 2 2 2 7 2" xfId="22558" xr:uid="{0C07526A-C301-4359-B270-EC380DCEEBBC}"/>
    <cellStyle name="Normal 5 2 2 2 2 2 2 7 2 2" xfId="39452" xr:uid="{7243F42D-5774-46DB-B88E-CCAC5CE6E4EB}"/>
    <cellStyle name="Normal 5 2 2 2 2 2 2 7 3" xfId="14111" xr:uid="{A1C50079-E207-499B-AAA3-F42AAD0D07FD}"/>
    <cellStyle name="Normal 5 2 2 2 2 2 2 7 4" xfId="31005" xr:uid="{0604B529-1AA5-4C78-8F60-07BF172BD91F}"/>
    <cellStyle name="Normal 5 2 2 2 2 2 2 8" xfId="9139" xr:uid="{CFCC7179-F81D-4929-81F2-C6E64655A093}"/>
    <cellStyle name="Normal 5 2 2 2 2 2 2 8 2" xfId="18341" xr:uid="{7976D65E-93FA-4B0C-A380-AAE5B875AA2F}"/>
    <cellStyle name="Normal 5 2 2 2 2 2 2 8 3" xfId="35235" xr:uid="{203B3752-C08F-4C81-B68F-891427CA602A}"/>
    <cellStyle name="Normal 5 2 2 2 2 2 2 9" xfId="9894" xr:uid="{B72D874C-1800-4B08-AD53-34C5A44155CC}"/>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2 2 2" xfId="25115" xr:uid="{3A521E43-CFE5-4372-9922-D529215C925B}"/>
    <cellStyle name="Normal 5 2 2 2 2 2 3 2 2 2 2" xfId="42009" xr:uid="{155BBDA3-A2AE-4060-BFFD-A2EBDA5B702E}"/>
    <cellStyle name="Normal 5 2 2 2 2 2 3 2 2 3" xfId="16668" xr:uid="{0941AB37-EB2C-43DB-8055-0EBD8A4B2958}"/>
    <cellStyle name="Normal 5 2 2 2 2 2 3 2 2 4" xfId="33562" xr:uid="{7B56713E-2C68-476C-8760-5291639890FF}"/>
    <cellStyle name="Normal 5 2 2 2 2 2 3 2 3" xfId="20898" xr:uid="{4DD1775A-8AE0-4F12-B6C5-6CDD43D4C069}"/>
    <cellStyle name="Normal 5 2 2 2 2 2 3 2 3 2" xfId="37792" xr:uid="{3345AEE3-E1A8-4E23-8076-6DCA171F7594}"/>
    <cellStyle name="Normal 5 2 2 2 2 2 3 2 4" xfId="12451" xr:uid="{1805F95E-7CBA-4EA8-920A-091B2FC35C76}"/>
    <cellStyle name="Normal 5 2 2 2 2 2 3 2 5" xfId="29345" xr:uid="{AE6BAED9-2B12-41DD-80DD-B500B9A3FB51}"/>
    <cellStyle name="Normal 5 2 2 2 2 2 3 3" xfId="5197" xr:uid="{00000000-0005-0000-0000-000011170000}"/>
    <cellStyle name="Normal 5 2 2 2 2 2 3 3 2" xfId="22970" xr:uid="{3B3BF7BC-62F7-430A-A714-52A86C74A389}"/>
    <cellStyle name="Normal 5 2 2 2 2 2 3 3 2 2" xfId="39864" xr:uid="{CD8FEF9B-5056-4EF3-B6AF-D1C8A00404EF}"/>
    <cellStyle name="Normal 5 2 2 2 2 2 3 3 3" xfId="14523" xr:uid="{B3DE6BFA-1BCD-417F-A752-7EE29839A336}"/>
    <cellStyle name="Normal 5 2 2 2 2 2 3 3 4" xfId="31417" xr:uid="{5A4AA67E-88DC-4C30-BD03-47FA9EDFB653}"/>
    <cellStyle name="Normal 5 2 2 2 2 2 3 4" xfId="9357" xr:uid="{1809EB60-9E69-4954-99A5-643CD830C5FB}"/>
    <cellStyle name="Normal 5 2 2 2 2 2 3 4 2" xfId="18753" xr:uid="{E8CED853-C0A6-4296-9CD9-FFC2C6C2A9A4}"/>
    <cellStyle name="Normal 5 2 2 2 2 2 3 4 3" xfId="35647" xr:uid="{CEBBCA0A-9774-4508-8D01-F1CAE5F3BDCB}"/>
    <cellStyle name="Normal 5 2 2 2 2 2 3 5" xfId="10306" xr:uid="{9634B737-4357-44A3-9418-7BFE0BBAD11D}"/>
    <cellStyle name="Normal 5 2 2 2 2 2 3 6" xfId="27200" xr:uid="{EC5AB49D-E23E-4530-89AB-67781E05C7AC}"/>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2 2 2" xfId="25528" xr:uid="{9489B48A-11C0-41A4-9FE2-D1A8EB34D455}"/>
    <cellStyle name="Normal 5 2 2 2 2 2 4 2 2 2 2" xfId="42422" xr:uid="{86086963-6E1E-484B-89CE-5A319E2757B8}"/>
    <cellStyle name="Normal 5 2 2 2 2 2 4 2 2 3" xfId="17081" xr:uid="{D5843A04-6C38-4ECA-BA82-F4AFD7BF16A1}"/>
    <cellStyle name="Normal 5 2 2 2 2 2 4 2 2 4" xfId="33975" xr:uid="{EC721E37-B2D8-4C97-83A0-31DC43AC14AE}"/>
    <cellStyle name="Normal 5 2 2 2 2 2 4 2 3" xfId="21311" xr:uid="{B132C510-1512-4CE9-9DE6-473C74F06A0A}"/>
    <cellStyle name="Normal 5 2 2 2 2 2 4 2 3 2" xfId="38205" xr:uid="{8DB492FC-B4F6-4EEA-BCD7-5C9573ECC66D}"/>
    <cellStyle name="Normal 5 2 2 2 2 2 4 2 4" xfId="12864" xr:uid="{B691726F-D801-4BF6-9EE1-26AAE8844D25}"/>
    <cellStyle name="Normal 5 2 2 2 2 2 4 2 5" xfId="29758" xr:uid="{BF40646A-E410-4A12-BB4B-9DA495581EC1}"/>
    <cellStyle name="Normal 5 2 2 2 2 2 4 3" xfId="5610" xr:uid="{00000000-0005-0000-0000-000015170000}"/>
    <cellStyle name="Normal 5 2 2 2 2 2 4 3 2" xfId="23383" xr:uid="{BF3483C9-F56C-4EB4-BF1E-28A3084765B1}"/>
    <cellStyle name="Normal 5 2 2 2 2 2 4 3 2 2" xfId="40277" xr:uid="{C454E729-E891-4965-BFCC-4BB89DCC2ED0}"/>
    <cellStyle name="Normal 5 2 2 2 2 2 4 3 3" xfId="14936" xr:uid="{0D8F4B2D-C4BD-4438-AD21-473C50B91099}"/>
    <cellStyle name="Normal 5 2 2 2 2 2 4 3 4" xfId="31830" xr:uid="{6F836CC3-9DEF-4C3D-B9A0-787B628F09F5}"/>
    <cellStyle name="Normal 5 2 2 2 2 2 4 4" xfId="19166" xr:uid="{91F72633-61EA-49B6-B9D2-20D5FE49FC81}"/>
    <cellStyle name="Normal 5 2 2 2 2 2 4 4 2" xfId="36060" xr:uid="{61AB4991-F2F3-4638-A339-4F300BE31CCB}"/>
    <cellStyle name="Normal 5 2 2 2 2 2 4 5" xfId="10719" xr:uid="{79147042-775A-4E62-8CAA-28FA1B327B3E}"/>
    <cellStyle name="Normal 5 2 2 2 2 2 4 6" xfId="27613" xr:uid="{F3FA8765-93AB-4B9A-8A84-203642413E32}"/>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2 2 2" xfId="25941" xr:uid="{BE37DC9D-4A7C-43AF-996A-56A8AEFBF2F4}"/>
    <cellStyle name="Normal 5 2 2 2 2 2 5 2 2 2 2" xfId="42835" xr:uid="{34B939B3-1A83-4ABC-A2E2-70D455EF636F}"/>
    <cellStyle name="Normal 5 2 2 2 2 2 5 2 2 3" xfId="17494" xr:uid="{F9C0AC8D-F073-497A-8940-F4B5CA022CF2}"/>
    <cellStyle name="Normal 5 2 2 2 2 2 5 2 2 4" xfId="34388" xr:uid="{7C43AAD8-F5C8-4473-9989-7036711A8CE0}"/>
    <cellStyle name="Normal 5 2 2 2 2 2 5 2 3" xfId="21724" xr:uid="{3F6CEC26-00AE-4921-9DE8-C907A2DBB3D1}"/>
    <cellStyle name="Normal 5 2 2 2 2 2 5 2 3 2" xfId="38618" xr:uid="{AB6BF4A2-AA84-4AD7-9A3E-C2C1476825B1}"/>
    <cellStyle name="Normal 5 2 2 2 2 2 5 2 4" xfId="13277" xr:uid="{99C3B023-A9A5-4320-9A5F-81D711CF375C}"/>
    <cellStyle name="Normal 5 2 2 2 2 2 5 2 5" xfId="30171" xr:uid="{8E398F63-1D92-44BB-8384-4F98F8025A81}"/>
    <cellStyle name="Normal 5 2 2 2 2 2 5 3" xfId="6023" xr:uid="{00000000-0005-0000-0000-000019170000}"/>
    <cellStyle name="Normal 5 2 2 2 2 2 5 3 2" xfId="23796" xr:uid="{EE3CB102-6DF5-48D3-B234-98BC69AED3C9}"/>
    <cellStyle name="Normal 5 2 2 2 2 2 5 3 2 2" xfId="40690" xr:uid="{CB45E1C4-F163-42A8-BFEA-6BF5A8BB3A78}"/>
    <cellStyle name="Normal 5 2 2 2 2 2 5 3 3" xfId="15349" xr:uid="{5CAD402A-3E6A-4B44-BEA3-53D7680473B0}"/>
    <cellStyle name="Normal 5 2 2 2 2 2 5 3 4" xfId="32243" xr:uid="{3F6D669D-00E6-4F76-BF51-3D049490F7E6}"/>
    <cellStyle name="Normal 5 2 2 2 2 2 5 4" xfId="19579" xr:uid="{B003A414-7509-4377-9708-562BF03FCFE9}"/>
    <cellStyle name="Normal 5 2 2 2 2 2 5 4 2" xfId="36473" xr:uid="{73DCD3C3-ACC2-4318-A008-F2B6D0C382CF}"/>
    <cellStyle name="Normal 5 2 2 2 2 2 5 5" xfId="11132" xr:uid="{2939BA72-0128-4B94-8E95-FB147766FED2}"/>
    <cellStyle name="Normal 5 2 2 2 2 2 5 6" xfId="28026" xr:uid="{02D01974-DABC-41F9-AB67-F4458E143ED1}"/>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2 2 2" xfId="26354" xr:uid="{41A4C3E8-D9C9-4B60-BD08-73F8E58D02D1}"/>
    <cellStyle name="Normal 5 2 2 2 2 2 6 2 2 2 2" xfId="43248" xr:uid="{4D9EE40D-B5E6-4402-A0CA-023FA2C2C7D1}"/>
    <cellStyle name="Normal 5 2 2 2 2 2 6 2 2 3" xfId="17907" xr:uid="{B083F902-F7DF-43B2-ABBA-1EA9B067C1A7}"/>
    <cellStyle name="Normal 5 2 2 2 2 2 6 2 2 4" xfId="34801" xr:uid="{BED790F1-121D-4C18-BC0F-9FAD444BBB42}"/>
    <cellStyle name="Normal 5 2 2 2 2 2 6 2 3" xfId="22137" xr:uid="{2D1C9C0B-4F0C-433F-9EA8-E33436907538}"/>
    <cellStyle name="Normal 5 2 2 2 2 2 6 2 3 2" xfId="39031" xr:uid="{E028C6F1-42C2-41C3-9836-DDDD6BF510C3}"/>
    <cellStyle name="Normal 5 2 2 2 2 2 6 2 4" xfId="13690" xr:uid="{84C952C4-02B0-412E-A944-6AE256116F9B}"/>
    <cellStyle name="Normal 5 2 2 2 2 2 6 2 5" xfId="30584" xr:uid="{44B9ED93-FE21-4575-90FB-D90B472BA7AE}"/>
    <cellStyle name="Normal 5 2 2 2 2 2 6 3" xfId="6436" xr:uid="{00000000-0005-0000-0000-00001D170000}"/>
    <cellStyle name="Normal 5 2 2 2 2 2 6 3 2" xfId="24209" xr:uid="{748B8912-6FB8-4E19-ABE6-FDCD8C6BA209}"/>
    <cellStyle name="Normal 5 2 2 2 2 2 6 3 2 2" xfId="41103" xr:uid="{1E13FCA3-55E1-4E4C-B3C9-765A18BF80C9}"/>
    <cellStyle name="Normal 5 2 2 2 2 2 6 3 3" xfId="15762" xr:uid="{6442C67F-87B4-4291-9F64-B97FEDCEBC3F}"/>
    <cellStyle name="Normal 5 2 2 2 2 2 6 3 4" xfId="32656" xr:uid="{E38A4ACA-43F7-4BE9-B547-45163B728598}"/>
    <cellStyle name="Normal 5 2 2 2 2 2 6 4" xfId="19992" xr:uid="{A0BE5D48-F06A-444C-987F-61DFEDB7AFE2}"/>
    <cellStyle name="Normal 5 2 2 2 2 2 6 4 2" xfId="36886" xr:uid="{017F1DA4-60E2-440E-BA88-8F4AB7AEDE9F}"/>
    <cellStyle name="Normal 5 2 2 2 2 2 6 5" xfId="11545" xr:uid="{079A7AF3-6954-44B8-987F-5D0E1AA21142}"/>
    <cellStyle name="Normal 5 2 2 2 2 2 6 6" xfId="28439" xr:uid="{5849376E-F883-4020-8025-5412B3CFAFB1}"/>
    <cellStyle name="Normal 5 2 2 2 2 2 7" xfId="2566" xr:uid="{00000000-0005-0000-0000-00001E170000}"/>
    <cellStyle name="Normal 5 2 2 2 2 2 7 2" xfId="6849" xr:uid="{00000000-0005-0000-0000-00001F170000}"/>
    <cellStyle name="Normal 5 2 2 2 2 2 7 2 2" xfId="24622" xr:uid="{B0EF4957-6EFD-4D50-9BC4-8EB9D77D6BD6}"/>
    <cellStyle name="Normal 5 2 2 2 2 2 7 2 2 2" xfId="41516" xr:uid="{2C01127C-9EC9-44F0-A492-8E07D4BD76B0}"/>
    <cellStyle name="Normal 5 2 2 2 2 2 7 2 3" xfId="16175" xr:uid="{BDCB1BA6-F490-4260-99EA-4FF2223AF7F3}"/>
    <cellStyle name="Normal 5 2 2 2 2 2 7 2 4" xfId="33069" xr:uid="{7ECCFD0A-507D-4394-AD0F-75491A185635}"/>
    <cellStyle name="Normal 5 2 2 2 2 2 7 3" xfId="20405" xr:uid="{CBF78B5B-598A-4DDD-B730-EEEF465520D8}"/>
    <cellStyle name="Normal 5 2 2 2 2 2 7 3 2" xfId="37299" xr:uid="{0CBDAF91-D89F-4B0A-BFC8-761FFBD9E5AD}"/>
    <cellStyle name="Normal 5 2 2 2 2 2 7 4" xfId="11958" xr:uid="{6F37F5DA-125C-4DC0-9157-2F154451ED8F}"/>
    <cellStyle name="Normal 5 2 2 2 2 2 7 5" xfId="28852" xr:uid="{ED2AE96E-408C-4C7D-9A8E-3E16D6BC2AE5}"/>
    <cellStyle name="Normal 5 2 2 2 2 2 8" xfId="4784" xr:uid="{00000000-0005-0000-0000-000020170000}"/>
    <cellStyle name="Normal 5 2 2 2 2 2 8 2" xfId="22557" xr:uid="{3FAF0608-C55A-481F-A32B-A58F9317F405}"/>
    <cellStyle name="Normal 5 2 2 2 2 2 8 2 2" xfId="39451" xr:uid="{61FD7554-8579-4A7D-87F5-2F583D2E6CB8}"/>
    <cellStyle name="Normal 5 2 2 2 2 2 8 3" xfId="14110" xr:uid="{1E77FB8D-8FEE-45C0-AA68-D323AF9CC8F7}"/>
    <cellStyle name="Normal 5 2 2 2 2 2 8 4" xfId="31004" xr:uid="{E03FE5A9-127D-4410-A631-20D987BBC9F1}"/>
    <cellStyle name="Normal 5 2 2 2 2 2 9" xfId="8932" xr:uid="{8A89D9DD-5FCE-4028-8D52-F4758EFA866E}"/>
    <cellStyle name="Normal 5 2 2 2 2 2 9 2" xfId="18340" xr:uid="{94AABA8E-63D8-4677-94B3-C699F62FE245}"/>
    <cellStyle name="Normal 5 2 2 2 2 2 9 3" xfId="35234" xr:uid="{0AA4131A-14B7-4607-8F54-B7D46A36C1FD}"/>
    <cellStyle name="Normal 5 2 2 2 2 3" xfId="413" xr:uid="{00000000-0005-0000-0000-000021170000}"/>
    <cellStyle name="Normal 5 2 2 2 2 3 10" xfId="26789" xr:uid="{67621F7C-4415-404E-8B5D-CD4A1E99C5B1}"/>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2 2 2" xfId="25117" xr:uid="{4A0BE468-73D3-4649-A91C-808EF46CD071}"/>
    <cellStyle name="Normal 5 2 2 2 2 3 2 2 2 2 2" xfId="42011" xr:uid="{EE736193-6DF5-4E0A-84F6-81C1A466D2D0}"/>
    <cellStyle name="Normal 5 2 2 2 2 3 2 2 2 3" xfId="16670" xr:uid="{4263A6E0-FDCE-423D-84FE-26B682725BCF}"/>
    <cellStyle name="Normal 5 2 2 2 2 3 2 2 2 4" xfId="33564" xr:uid="{C845CCF2-DEC7-41B3-9597-DFF944CF1216}"/>
    <cellStyle name="Normal 5 2 2 2 2 3 2 2 3" xfId="20900" xr:uid="{08933A07-3A54-4BCF-9BD5-BF4363AB20CB}"/>
    <cellStyle name="Normal 5 2 2 2 2 3 2 2 3 2" xfId="37794" xr:uid="{BFB2B84A-FA05-4673-885E-D90248502023}"/>
    <cellStyle name="Normal 5 2 2 2 2 3 2 2 4" xfId="12453" xr:uid="{A346B900-D862-4418-A0B5-732C89A4AC79}"/>
    <cellStyle name="Normal 5 2 2 2 2 3 2 2 5" xfId="29347" xr:uid="{A847D73C-583F-4AB9-B048-5B9BAFD5B79C}"/>
    <cellStyle name="Normal 5 2 2 2 2 3 2 3" xfId="5199" xr:uid="{00000000-0005-0000-0000-000025170000}"/>
    <cellStyle name="Normal 5 2 2 2 2 3 2 3 2" xfId="22972" xr:uid="{44B32181-B8F5-4FC0-BBED-A55391ACDE36}"/>
    <cellStyle name="Normal 5 2 2 2 2 3 2 3 2 2" xfId="39866" xr:uid="{D4E6B4A9-DAF1-48A9-B807-4468F74C8152}"/>
    <cellStyle name="Normal 5 2 2 2 2 3 2 3 3" xfId="14525" xr:uid="{16C8AE8E-9FCA-4DCB-9FDA-0C01894126E2}"/>
    <cellStyle name="Normal 5 2 2 2 2 3 2 3 4" xfId="31419" xr:uid="{BE1A7E6C-4779-4B1F-9057-38A50AD785C1}"/>
    <cellStyle name="Normal 5 2 2 2 2 3 2 4" xfId="9461" xr:uid="{815E4D9A-ED64-4B6C-A17A-F6D83CC40A47}"/>
    <cellStyle name="Normal 5 2 2 2 2 3 2 4 2" xfId="18755" xr:uid="{B0FE7089-3F7C-459D-8FA0-2FD1ED4920DF}"/>
    <cellStyle name="Normal 5 2 2 2 2 3 2 4 3" xfId="35649" xr:uid="{491BE87E-A7A5-4E33-824A-04448C35D6BE}"/>
    <cellStyle name="Normal 5 2 2 2 2 3 2 5" xfId="10308" xr:uid="{FB58DC04-717A-4D34-9C79-4993DD020024}"/>
    <cellStyle name="Normal 5 2 2 2 2 3 2 6" xfId="27202" xr:uid="{F474C58F-4456-4EB8-A4C7-0881A3BE7609}"/>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2 2 2" xfId="25530" xr:uid="{79CBBDCE-6920-4234-8B01-D0064A6B03FE}"/>
    <cellStyle name="Normal 5 2 2 2 2 3 3 2 2 2 2" xfId="42424" xr:uid="{215918D1-6DCB-408E-842E-236CB821FA63}"/>
    <cellStyle name="Normal 5 2 2 2 2 3 3 2 2 3" xfId="17083" xr:uid="{D9296D62-38A8-4FFD-BEB1-E1C34D1FF6FD}"/>
    <cellStyle name="Normal 5 2 2 2 2 3 3 2 2 4" xfId="33977" xr:uid="{CADEC71E-2DEC-4955-B5A2-65EDC99378E5}"/>
    <cellStyle name="Normal 5 2 2 2 2 3 3 2 3" xfId="21313" xr:uid="{915D3600-27B0-4A9D-B72C-3E60240033F7}"/>
    <cellStyle name="Normal 5 2 2 2 2 3 3 2 3 2" xfId="38207" xr:uid="{57A69125-0288-4A4F-8BEC-BE5ED52E76CB}"/>
    <cellStyle name="Normal 5 2 2 2 2 3 3 2 4" xfId="12866" xr:uid="{25D1DA2C-C53A-4902-A6C9-11DE63B3FA74}"/>
    <cellStyle name="Normal 5 2 2 2 2 3 3 2 5" xfId="29760" xr:uid="{DB975543-A71B-4653-840E-5268423F20CE}"/>
    <cellStyle name="Normal 5 2 2 2 2 3 3 3" xfId="5612" xr:uid="{00000000-0005-0000-0000-000029170000}"/>
    <cellStyle name="Normal 5 2 2 2 2 3 3 3 2" xfId="23385" xr:uid="{DED8CD2D-1F15-4F96-B31C-E2E6D30C1316}"/>
    <cellStyle name="Normal 5 2 2 2 2 3 3 3 2 2" xfId="40279" xr:uid="{85AF50D2-778D-49F7-97B8-CF1C471B7476}"/>
    <cellStyle name="Normal 5 2 2 2 2 3 3 3 3" xfId="14938" xr:uid="{04239243-3759-4698-AA01-7EB95537B15C}"/>
    <cellStyle name="Normal 5 2 2 2 2 3 3 3 4" xfId="31832" xr:uid="{157EB338-8D23-4181-9772-264CDD84FE19}"/>
    <cellStyle name="Normal 5 2 2 2 2 3 3 4" xfId="19168" xr:uid="{6983D6FE-6C41-4745-B6A6-F80F48E54E61}"/>
    <cellStyle name="Normal 5 2 2 2 2 3 3 4 2" xfId="36062" xr:uid="{EE033C36-C05E-4FA6-8BA2-86C1CF0B685B}"/>
    <cellStyle name="Normal 5 2 2 2 2 3 3 5" xfId="10721" xr:uid="{A154B872-3D73-4067-A124-745843F7E604}"/>
    <cellStyle name="Normal 5 2 2 2 2 3 3 6" xfId="27615" xr:uid="{FF6EF48E-4B37-4312-8D1C-00DCD50185AE}"/>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2 2 2" xfId="25943" xr:uid="{AF37827C-8878-4B53-B867-0C036B6486E0}"/>
    <cellStyle name="Normal 5 2 2 2 2 3 4 2 2 2 2" xfId="42837" xr:uid="{0EB95D8E-22A8-4A04-97DA-1F26075194AA}"/>
    <cellStyle name="Normal 5 2 2 2 2 3 4 2 2 3" xfId="17496" xr:uid="{2AA3D9F2-5FBB-43B9-AC79-F5B15E08F3E7}"/>
    <cellStyle name="Normal 5 2 2 2 2 3 4 2 2 4" xfId="34390" xr:uid="{98C4B4D8-6266-40C4-8E71-3AA3940A2977}"/>
    <cellStyle name="Normal 5 2 2 2 2 3 4 2 3" xfId="21726" xr:uid="{301DC92C-737C-415F-8250-21D67AFCC17E}"/>
    <cellStyle name="Normal 5 2 2 2 2 3 4 2 3 2" xfId="38620" xr:uid="{D7BCA743-9719-4957-985F-E68C9F3954D1}"/>
    <cellStyle name="Normal 5 2 2 2 2 3 4 2 4" xfId="13279" xr:uid="{AE407849-7B1E-4273-9346-C4513D3293BA}"/>
    <cellStyle name="Normal 5 2 2 2 2 3 4 2 5" xfId="30173" xr:uid="{EC20043B-3B10-48DC-8E0E-15D7C3053676}"/>
    <cellStyle name="Normal 5 2 2 2 2 3 4 3" xfId="6025" xr:uid="{00000000-0005-0000-0000-00002D170000}"/>
    <cellStyle name="Normal 5 2 2 2 2 3 4 3 2" xfId="23798" xr:uid="{D610EC63-9F53-4B26-BCF9-0146F2A212AC}"/>
    <cellStyle name="Normal 5 2 2 2 2 3 4 3 2 2" xfId="40692" xr:uid="{B6C339A6-A622-4EFC-9DAC-2E9475577E21}"/>
    <cellStyle name="Normal 5 2 2 2 2 3 4 3 3" xfId="15351" xr:uid="{44C3FC3D-07EE-4A47-ADC5-F137371592B4}"/>
    <cellStyle name="Normal 5 2 2 2 2 3 4 3 4" xfId="32245" xr:uid="{BABC84AA-74EB-482B-80FC-098CD9AE6222}"/>
    <cellStyle name="Normal 5 2 2 2 2 3 4 4" xfId="19581" xr:uid="{5422A031-8BE5-424E-9CBF-F89618BBA64B}"/>
    <cellStyle name="Normal 5 2 2 2 2 3 4 4 2" xfId="36475" xr:uid="{5D592C34-D2AD-4F8C-AF12-C4422711ED94}"/>
    <cellStyle name="Normal 5 2 2 2 2 3 4 5" xfId="11134" xr:uid="{2A1B160F-9134-4C0C-A57E-A2F8F85D185D}"/>
    <cellStyle name="Normal 5 2 2 2 2 3 4 6" xfId="28028" xr:uid="{43C35408-D5F5-41F8-8250-5F5E1B0AAC1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2 2 2" xfId="26356" xr:uid="{76272FEF-3F3D-40D3-865F-E4D076DA74FD}"/>
    <cellStyle name="Normal 5 2 2 2 2 3 5 2 2 2 2" xfId="43250" xr:uid="{EE98E5DF-02E9-4383-A106-1CD01F461A21}"/>
    <cellStyle name="Normal 5 2 2 2 2 3 5 2 2 3" xfId="17909" xr:uid="{983DC40E-0771-4A11-9D5B-FC362F6B56CE}"/>
    <cellStyle name="Normal 5 2 2 2 2 3 5 2 2 4" xfId="34803" xr:uid="{4CF93DBD-9C20-47D4-BB3B-656AB255976A}"/>
    <cellStyle name="Normal 5 2 2 2 2 3 5 2 3" xfId="22139" xr:uid="{F4D9ACCC-8CB6-4083-956C-4A6AAC8897E0}"/>
    <cellStyle name="Normal 5 2 2 2 2 3 5 2 3 2" xfId="39033" xr:uid="{C7E2662F-BA0C-4FC4-BADE-4B565FA31F17}"/>
    <cellStyle name="Normal 5 2 2 2 2 3 5 2 4" xfId="13692" xr:uid="{EBD6991B-DBD9-4884-9D95-2A05DA634A38}"/>
    <cellStyle name="Normal 5 2 2 2 2 3 5 2 5" xfId="30586" xr:uid="{C00B25D6-9CD1-4496-A04E-3B56BC3004CB}"/>
    <cellStyle name="Normal 5 2 2 2 2 3 5 3" xfId="6438" xr:uid="{00000000-0005-0000-0000-000031170000}"/>
    <cellStyle name="Normal 5 2 2 2 2 3 5 3 2" xfId="24211" xr:uid="{4560D18A-3E9C-48F2-B146-5308FA5F2CFA}"/>
    <cellStyle name="Normal 5 2 2 2 2 3 5 3 2 2" xfId="41105" xr:uid="{8D98F2F1-EC30-40F0-8F3E-995B78C7A44F}"/>
    <cellStyle name="Normal 5 2 2 2 2 3 5 3 3" xfId="15764" xr:uid="{A4A87B85-D8AE-4385-8805-800B91F63ED7}"/>
    <cellStyle name="Normal 5 2 2 2 2 3 5 3 4" xfId="32658" xr:uid="{DB453A9F-9AD4-4187-B569-50B3CD622D74}"/>
    <cellStyle name="Normal 5 2 2 2 2 3 5 4" xfId="19994" xr:uid="{2D3A1107-D73B-45FA-BCF2-B1E9CBA101B3}"/>
    <cellStyle name="Normal 5 2 2 2 2 3 5 4 2" xfId="36888" xr:uid="{6D53B5CD-B293-4C0E-A5E2-69315C4672E4}"/>
    <cellStyle name="Normal 5 2 2 2 2 3 5 5" xfId="11547" xr:uid="{8B7076B6-FD0C-49DC-A1AF-016741446AE5}"/>
    <cellStyle name="Normal 5 2 2 2 2 3 5 6" xfId="28441" xr:uid="{AF4712DF-C3A2-4625-AD2F-C033787A4AD9}"/>
    <cellStyle name="Normal 5 2 2 2 2 3 6" xfId="2568" xr:uid="{00000000-0005-0000-0000-000032170000}"/>
    <cellStyle name="Normal 5 2 2 2 2 3 6 2" xfId="6851" xr:uid="{00000000-0005-0000-0000-000033170000}"/>
    <cellStyle name="Normal 5 2 2 2 2 3 6 2 2" xfId="24624" xr:uid="{9B861157-0F03-48F5-AF0D-6C6E211D4F72}"/>
    <cellStyle name="Normal 5 2 2 2 2 3 6 2 2 2" xfId="41518" xr:uid="{0D3621CB-5260-4911-BCD8-084ACA2256E9}"/>
    <cellStyle name="Normal 5 2 2 2 2 3 6 2 3" xfId="16177" xr:uid="{2CC0BFA2-E0AF-4B47-A842-B75B637B775C}"/>
    <cellStyle name="Normal 5 2 2 2 2 3 6 2 4" xfId="33071" xr:uid="{A927C9E9-89E9-406E-8F0D-AB59E8E829B1}"/>
    <cellStyle name="Normal 5 2 2 2 2 3 6 3" xfId="20407" xr:uid="{3BD6C695-707D-423E-826F-5C39F7742AF7}"/>
    <cellStyle name="Normal 5 2 2 2 2 3 6 3 2" xfId="37301" xr:uid="{18AA81D5-F634-459A-AFFA-9D4C0C40142A}"/>
    <cellStyle name="Normal 5 2 2 2 2 3 6 4" xfId="11960" xr:uid="{A7259061-636A-44AB-BC78-8491017E03AB}"/>
    <cellStyle name="Normal 5 2 2 2 2 3 6 5" xfId="28854" xr:uid="{AF39D8DD-FF42-4F15-BD80-B89BF8F91FE2}"/>
    <cellStyle name="Normal 5 2 2 2 2 3 7" xfId="4786" xr:uid="{00000000-0005-0000-0000-000034170000}"/>
    <cellStyle name="Normal 5 2 2 2 2 3 7 2" xfId="22559" xr:uid="{F671F785-3C42-4822-A946-E3123D45240C}"/>
    <cellStyle name="Normal 5 2 2 2 2 3 7 2 2" xfId="39453" xr:uid="{0A762127-EDA9-4E9F-95E7-CC4E6579E0F3}"/>
    <cellStyle name="Normal 5 2 2 2 2 3 7 3" xfId="14112" xr:uid="{4279588C-393A-4265-8B7A-14C95EE50153}"/>
    <cellStyle name="Normal 5 2 2 2 2 3 7 4" xfId="31006" xr:uid="{D7923368-8AFA-4713-9040-34924F67DC9E}"/>
    <cellStyle name="Normal 5 2 2 2 2 3 8" xfId="9036" xr:uid="{2B9BC3AC-900A-42EE-A23F-E5574B6E75BC}"/>
    <cellStyle name="Normal 5 2 2 2 2 3 8 2" xfId="18342" xr:uid="{2C4A4298-352F-4CE3-80F9-DEAABBA0C6B1}"/>
    <cellStyle name="Normal 5 2 2 2 2 3 8 3" xfId="35236" xr:uid="{B715B4D9-B9D1-4D5C-AF31-C930EF0665EE}"/>
    <cellStyle name="Normal 5 2 2 2 2 3 9" xfId="9895" xr:uid="{2C058BA7-487B-479D-A70A-2D9539AFDE12}"/>
    <cellStyle name="Normal 5 2 2 2 2 4" xfId="884" xr:uid="{00000000-0005-0000-0000-000035170000}"/>
    <cellStyle name="Normal 5 2 2 2 2 4 2" xfId="3119" xr:uid="{00000000-0005-0000-0000-000036170000}"/>
    <cellStyle name="Normal 5 2 2 2 2 4 2 2" xfId="7341" xr:uid="{00000000-0005-0000-0000-000037170000}"/>
    <cellStyle name="Normal 5 2 2 2 2 4 2 2 2" xfId="25114" xr:uid="{1B2F0E86-33F4-4895-8A1A-D4612E2D20FF}"/>
    <cellStyle name="Normal 5 2 2 2 2 4 2 2 2 2" xfId="42008" xr:uid="{C043187D-09E8-4232-BDDF-139A7BD854AF}"/>
    <cellStyle name="Normal 5 2 2 2 2 4 2 2 3" xfId="16667" xr:uid="{3C0215CB-1FFE-45CA-9291-359CA42DD0E9}"/>
    <cellStyle name="Normal 5 2 2 2 2 4 2 2 4" xfId="33561" xr:uid="{76F06C75-024C-4E4E-909B-EE4A084CB733}"/>
    <cellStyle name="Normal 5 2 2 2 2 4 2 3" xfId="20897" xr:uid="{60AE2FE3-7743-4EEA-8DEE-25D12AAF5936}"/>
    <cellStyle name="Normal 5 2 2 2 2 4 2 3 2" xfId="37791" xr:uid="{C333DEC9-FE38-4ED9-A87C-681E61D0EEEC}"/>
    <cellStyle name="Normal 5 2 2 2 2 4 2 4" xfId="12450" xr:uid="{554925E1-F2DD-4599-9E71-3DB5A3482136}"/>
    <cellStyle name="Normal 5 2 2 2 2 4 2 5" xfId="29344" xr:uid="{5186BD5C-E8DE-43B0-A6C7-46A08182A698}"/>
    <cellStyle name="Normal 5 2 2 2 2 4 3" xfId="5196" xr:uid="{00000000-0005-0000-0000-000038170000}"/>
    <cellStyle name="Normal 5 2 2 2 2 4 3 2" xfId="22969" xr:uid="{0B4BD112-65A7-4494-8DCC-B67CA3E73E8B}"/>
    <cellStyle name="Normal 5 2 2 2 2 4 3 2 2" xfId="39863" xr:uid="{164062BE-9624-4B9A-A5C3-C630F2026D9D}"/>
    <cellStyle name="Normal 5 2 2 2 2 4 3 3" xfId="14522" xr:uid="{0123245E-23D0-449A-8A8A-12809C5BC4E7}"/>
    <cellStyle name="Normal 5 2 2 2 2 4 3 4" xfId="31416" xr:uid="{1558ED39-770F-4C1B-8E2B-4788E2DC33F1}"/>
    <cellStyle name="Normal 5 2 2 2 2 4 4" xfId="9254" xr:uid="{B0B4DA0D-4C0F-4712-8BF0-280C2A85D575}"/>
    <cellStyle name="Normal 5 2 2 2 2 4 4 2" xfId="18752" xr:uid="{09A3791C-67FC-48ED-8188-154F3FB82F1A}"/>
    <cellStyle name="Normal 5 2 2 2 2 4 4 3" xfId="35646" xr:uid="{0843FF68-0271-4230-8124-6E5F2035C5CD}"/>
    <cellStyle name="Normal 5 2 2 2 2 4 5" xfId="10305" xr:uid="{CA01D152-B6F9-473E-9091-A01C5468A734}"/>
    <cellStyle name="Normal 5 2 2 2 2 4 6" xfId="27199" xr:uid="{022CE793-0EB4-40FC-AC67-7E6A4BD52596}"/>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2 2 2" xfId="25527" xr:uid="{847A7607-3104-4C23-BC75-6DAE5B6FF20F}"/>
    <cellStyle name="Normal 5 2 2 2 2 5 2 2 2 2" xfId="42421" xr:uid="{7B383C14-5853-4D4B-B8CD-52B353852A13}"/>
    <cellStyle name="Normal 5 2 2 2 2 5 2 2 3" xfId="17080" xr:uid="{E7FD1C98-284D-4AA6-BD87-F8A660A9955A}"/>
    <cellStyle name="Normal 5 2 2 2 2 5 2 2 4" xfId="33974" xr:uid="{2CA4FF0A-5C1F-4315-9D5A-4183FFFC291A}"/>
    <cellStyle name="Normal 5 2 2 2 2 5 2 3" xfId="21310" xr:uid="{D3F1E6FE-A3B6-46FA-B092-3E4895A339D0}"/>
    <cellStyle name="Normal 5 2 2 2 2 5 2 3 2" xfId="38204" xr:uid="{7644B33E-3D09-429D-9693-4A721530384D}"/>
    <cellStyle name="Normal 5 2 2 2 2 5 2 4" xfId="12863" xr:uid="{1F179C91-1B57-4A0E-9522-8333EFF204EC}"/>
    <cellStyle name="Normal 5 2 2 2 2 5 2 5" xfId="29757" xr:uid="{339165FB-E705-413B-BCFF-54AFFB6BACB3}"/>
    <cellStyle name="Normal 5 2 2 2 2 5 3" xfId="5609" xr:uid="{00000000-0005-0000-0000-00003C170000}"/>
    <cellStyle name="Normal 5 2 2 2 2 5 3 2" xfId="23382" xr:uid="{2B5901C7-E2B0-4ABD-866A-599EE7BD84A3}"/>
    <cellStyle name="Normal 5 2 2 2 2 5 3 2 2" xfId="40276" xr:uid="{7C00626F-2AFD-438F-AC73-9BFB46344A92}"/>
    <cellStyle name="Normal 5 2 2 2 2 5 3 3" xfId="14935" xr:uid="{2E5A6A57-9D07-428D-8CF0-F61328B0AF5A}"/>
    <cellStyle name="Normal 5 2 2 2 2 5 3 4" xfId="31829" xr:uid="{2AB4FEB8-1E77-49C1-B1C3-D0B944137F28}"/>
    <cellStyle name="Normal 5 2 2 2 2 5 4" xfId="19165" xr:uid="{BD10ACDC-506C-4629-9AD8-B73663540CBC}"/>
    <cellStyle name="Normal 5 2 2 2 2 5 4 2" xfId="36059" xr:uid="{22E06F08-13F4-4810-ACD6-529BEDDB115C}"/>
    <cellStyle name="Normal 5 2 2 2 2 5 5" xfId="10718" xr:uid="{E2666ED3-D164-4E46-9D98-4E3EB6D52FE8}"/>
    <cellStyle name="Normal 5 2 2 2 2 5 6" xfId="27612" xr:uid="{A26CC017-C2C1-4F53-99BB-C8E91B4AA84A}"/>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2 2 2" xfId="25940" xr:uid="{A915CF9A-1C71-43D1-9F71-EEB9460061F3}"/>
    <cellStyle name="Normal 5 2 2 2 2 6 2 2 2 2" xfId="42834" xr:uid="{898FE531-FE3C-4F42-AEC2-317942ACF610}"/>
    <cellStyle name="Normal 5 2 2 2 2 6 2 2 3" xfId="17493" xr:uid="{8A20CC0D-D568-4446-B4E7-0693F79FF8E1}"/>
    <cellStyle name="Normal 5 2 2 2 2 6 2 2 4" xfId="34387" xr:uid="{5CC8F969-0A3C-458A-8C69-14B4BDBAFDFA}"/>
    <cellStyle name="Normal 5 2 2 2 2 6 2 3" xfId="21723" xr:uid="{5E2DCAE5-14A3-4688-B944-C25D99AD68B4}"/>
    <cellStyle name="Normal 5 2 2 2 2 6 2 3 2" xfId="38617" xr:uid="{032A8636-E38B-4827-8061-D6F8C7F389DB}"/>
    <cellStyle name="Normal 5 2 2 2 2 6 2 4" xfId="13276" xr:uid="{473FAF40-D64E-4B0D-BFE7-E05216C04FFD}"/>
    <cellStyle name="Normal 5 2 2 2 2 6 2 5" xfId="30170" xr:uid="{077E8AFF-5DD0-4FDA-A2D8-02FC39C1D94F}"/>
    <cellStyle name="Normal 5 2 2 2 2 6 3" xfId="6022" xr:uid="{00000000-0005-0000-0000-000040170000}"/>
    <cellStyle name="Normal 5 2 2 2 2 6 3 2" xfId="23795" xr:uid="{E00A9868-215E-40F0-A569-A96362FA8FAB}"/>
    <cellStyle name="Normal 5 2 2 2 2 6 3 2 2" xfId="40689" xr:uid="{4C458D2B-157D-4632-A0B0-3B6526F36D6C}"/>
    <cellStyle name="Normal 5 2 2 2 2 6 3 3" xfId="15348" xr:uid="{FA9F46CC-2917-4F76-BD04-65D420F0A262}"/>
    <cellStyle name="Normal 5 2 2 2 2 6 3 4" xfId="32242" xr:uid="{AE95AAFC-FC13-49A4-AC70-AE3CEBB5E8C0}"/>
    <cellStyle name="Normal 5 2 2 2 2 6 4" xfId="19578" xr:uid="{7BBF7137-5AA0-4381-83A4-BF26DD2AEE10}"/>
    <cellStyle name="Normal 5 2 2 2 2 6 4 2" xfId="36472" xr:uid="{D7705F53-04C7-49AB-8A42-578BCCAA8E28}"/>
    <cellStyle name="Normal 5 2 2 2 2 6 5" xfId="11131" xr:uid="{92CFA730-443A-44C0-A7BC-CB455DB5FC74}"/>
    <cellStyle name="Normal 5 2 2 2 2 6 6" xfId="28025" xr:uid="{F0CC7C45-4BB9-4022-A4A3-99C81B60A7D2}"/>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2 2 2" xfId="26353" xr:uid="{E28EC2A6-0DF9-4D3E-8F49-07B220BD0A4E}"/>
    <cellStyle name="Normal 5 2 2 2 2 7 2 2 2 2" xfId="43247" xr:uid="{A714F863-294E-417F-A9F5-6F4E53D2CD82}"/>
    <cellStyle name="Normal 5 2 2 2 2 7 2 2 3" xfId="17906" xr:uid="{FB88FA1F-85F4-428B-990B-70A826B24828}"/>
    <cellStyle name="Normal 5 2 2 2 2 7 2 2 4" xfId="34800" xr:uid="{3A4CAD9B-C36D-46BC-A9DA-20ADBB840312}"/>
    <cellStyle name="Normal 5 2 2 2 2 7 2 3" xfId="22136" xr:uid="{4E517E24-FC89-441C-9C48-CD4C850F7CB0}"/>
    <cellStyle name="Normal 5 2 2 2 2 7 2 3 2" xfId="39030" xr:uid="{03F50BFC-4C99-4379-8098-3A709236C55D}"/>
    <cellStyle name="Normal 5 2 2 2 2 7 2 4" xfId="13689" xr:uid="{0DED387A-15D8-421D-9F28-699575A8FE86}"/>
    <cellStyle name="Normal 5 2 2 2 2 7 2 5" xfId="30583" xr:uid="{A0B2DC93-6DEB-446F-916C-8DD4D1DA66B9}"/>
    <cellStyle name="Normal 5 2 2 2 2 7 3" xfId="6435" xr:uid="{00000000-0005-0000-0000-000044170000}"/>
    <cellStyle name="Normal 5 2 2 2 2 7 3 2" xfId="24208" xr:uid="{88A3000C-0DCE-4CDD-A471-7BDA2B8496D6}"/>
    <cellStyle name="Normal 5 2 2 2 2 7 3 2 2" xfId="41102" xr:uid="{6DCF02A0-7217-4FD6-A0EF-8D2EDF564FD3}"/>
    <cellStyle name="Normal 5 2 2 2 2 7 3 3" xfId="15761" xr:uid="{4BE8BA68-5F46-423C-9CAD-0A2D9775BF3D}"/>
    <cellStyle name="Normal 5 2 2 2 2 7 3 4" xfId="32655" xr:uid="{62BFBD6D-692A-405C-A76A-DD33ACE96D4B}"/>
    <cellStyle name="Normal 5 2 2 2 2 7 4" xfId="19991" xr:uid="{75047A79-DBF7-4289-BCFF-CE734D803710}"/>
    <cellStyle name="Normal 5 2 2 2 2 7 4 2" xfId="36885" xr:uid="{9A31010B-7F45-4AF0-AC2E-68A8C53667BB}"/>
    <cellStyle name="Normal 5 2 2 2 2 7 5" xfId="11544" xr:uid="{C898AADC-79B8-4DA4-A972-2EAF5C5E8A03}"/>
    <cellStyle name="Normal 5 2 2 2 2 7 6" xfId="28438" xr:uid="{AE051BE4-7326-4B4E-8217-D92BBE5359FB}"/>
    <cellStyle name="Normal 5 2 2 2 2 8" xfId="2565" xr:uid="{00000000-0005-0000-0000-000045170000}"/>
    <cellStyle name="Normal 5 2 2 2 2 8 2" xfId="6848" xr:uid="{00000000-0005-0000-0000-000046170000}"/>
    <cellStyle name="Normal 5 2 2 2 2 8 2 2" xfId="24621" xr:uid="{8EC65A61-2E5E-4498-B25A-C9933065C235}"/>
    <cellStyle name="Normal 5 2 2 2 2 8 2 2 2" xfId="41515" xr:uid="{0F3CF814-1ABF-42C7-BF72-82AF5CFCDFF7}"/>
    <cellStyle name="Normal 5 2 2 2 2 8 2 3" xfId="16174" xr:uid="{46CE4E9B-5949-4EB8-8208-04F2F7BB6AD9}"/>
    <cellStyle name="Normal 5 2 2 2 2 8 2 4" xfId="33068" xr:uid="{9DFF9986-3648-4BD3-8D2D-FE1D849E5C61}"/>
    <cellStyle name="Normal 5 2 2 2 2 8 3" xfId="20404" xr:uid="{7F7187EB-055C-4BE2-8F05-DCDC3917A199}"/>
    <cellStyle name="Normal 5 2 2 2 2 8 3 2" xfId="37298" xr:uid="{6EB84C49-BC40-465A-9380-E2F635C656B9}"/>
    <cellStyle name="Normal 5 2 2 2 2 8 4" xfId="11957" xr:uid="{F88539C6-7B52-4BDD-B9D0-7AEF5A23F0E3}"/>
    <cellStyle name="Normal 5 2 2 2 2 8 5" xfId="28851" xr:uid="{0B24A4C7-EA7A-4292-83D2-53B4B8D4A8CF}"/>
    <cellStyle name="Normal 5 2 2 2 2 9" xfId="4783" xr:uid="{00000000-0005-0000-0000-000047170000}"/>
    <cellStyle name="Normal 5 2 2 2 2 9 2" xfId="22556" xr:uid="{E012D6FE-27A8-4EED-BF5E-A2D0291672CE}"/>
    <cellStyle name="Normal 5 2 2 2 2 9 2 2" xfId="39450" xr:uid="{2DB5A27C-A630-4C32-82BE-46872767536D}"/>
    <cellStyle name="Normal 5 2 2 2 2 9 3" xfId="14109" xr:uid="{637404B6-F385-430C-98CD-434DF610DEB0}"/>
    <cellStyle name="Normal 5 2 2 2 2 9 4" xfId="31003" xr:uid="{544C3E7F-8901-4EE0-98B9-786CCA61DB97}"/>
    <cellStyle name="Normal 5 2 2 2 3" xfId="414" xr:uid="{00000000-0005-0000-0000-000048170000}"/>
    <cellStyle name="Normal 5 2 2 2 3 10" xfId="9896" xr:uid="{7AADE5A7-C9AF-473E-81DC-805E16ECA978}"/>
    <cellStyle name="Normal 5 2 2 2 3 11" xfId="26790" xr:uid="{7853BC26-83B9-4A1C-89F2-5C0A0D609C6A}"/>
    <cellStyle name="Normal 5 2 2 2 3 2" xfId="415" xr:uid="{00000000-0005-0000-0000-000049170000}"/>
    <cellStyle name="Normal 5 2 2 2 3 2 10" xfId="26791" xr:uid="{70F07E34-C51D-4AAC-A070-6DF649D55087}"/>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2 2 2" xfId="25119" xr:uid="{D4DD3831-CE92-4228-987E-0A798A5E26FE}"/>
    <cellStyle name="Normal 5 2 2 2 3 2 2 2 2 2 2" xfId="42013" xr:uid="{FEB0F08F-B7C1-47F5-B900-ED4345812178}"/>
    <cellStyle name="Normal 5 2 2 2 3 2 2 2 2 3" xfId="16672" xr:uid="{842787FC-AD03-4792-90D2-CCA532F31043}"/>
    <cellStyle name="Normal 5 2 2 2 3 2 2 2 2 4" xfId="33566" xr:uid="{51F78893-0037-4828-A492-DA8F57A2EDFC}"/>
    <cellStyle name="Normal 5 2 2 2 3 2 2 2 3" xfId="20902" xr:uid="{72D2FEA5-59AD-40B2-AB28-90B7312C1A35}"/>
    <cellStyle name="Normal 5 2 2 2 3 2 2 2 3 2" xfId="37796" xr:uid="{7D433DF4-DDE3-4B3F-B16F-045D3A8E05A0}"/>
    <cellStyle name="Normal 5 2 2 2 3 2 2 2 4" xfId="12455" xr:uid="{52C3FA41-E069-421D-A3E7-DAECC796DA0C}"/>
    <cellStyle name="Normal 5 2 2 2 3 2 2 2 5" xfId="29349" xr:uid="{4E3BCE4A-2066-4695-9EFA-C43D144243CC}"/>
    <cellStyle name="Normal 5 2 2 2 3 2 2 3" xfId="5201" xr:uid="{00000000-0005-0000-0000-00004D170000}"/>
    <cellStyle name="Normal 5 2 2 2 3 2 2 3 2" xfId="22974" xr:uid="{1EF6B1BE-13F9-4FF9-8AE7-2D069D559732}"/>
    <cellStyle name="Normal 5 2 2 2 3 2 2 3 2 2" xfId="39868" xr:uid="{8B9B5B87-53EE-4559-94A0-DD519ADE460F}"/>
    <cellStyle name="Normal 5 2 2 2 3 2 2 3 3" xfId="14527" xr:uid="{C8746F11-A4E5-4653-8B43-5AFB2262BA85}"/>
    <cellStyle name="Normal 5 2 2 2 3 2 2 3 4" xfId="31421" xr:uid="{9D13CD3F-9A4D-46B2-B4EF-537B5AFD9D37}"/>
    <cellStyle name="Normal 5 2 2 2 3 2 2 4" xfId="9506" xr:uid="{65E8E1F9-5B62-47C9-8131-412DF42F5268}"/>
    <cellStyle name="Normal 5 2 2 2 3 2 2 4 2" xfId="18757" xr:uid="{A299771D-ACE8-4535-8E51-D65152A026EB}"/>
    <cellStyle name="Normal 5 2 2 2 3 2 2 4 3" xfId="35651" xr:uid="{C19E65C6-038A-4D62-BC85-5098772163A6}"/>
    <cellStyle name="Normal 5 2 2 2 3 2 2 5" xfId="10310" xr:uid="{76DB4A13-D9F7-439C-99FE-606CDD727510}"/>
    <cellStyle name="Normal 5 2 2 2 3 2 2 6" xfId="27204" xr:uid="{9DEAD3F1-F076-4117-B6EE-2518A99A20F6}"/>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2 2 2" xfId="25532" xr:uid="{39F4AF40-A1D0-48C9-AC83-729A0BF96E97}"/>
    <cellStyle name="Normal 5 2 2 2 3 2 3 2 2 2 2" xfId="42426" xr:uid="{4B86D90C-6944-47AD-ABEB-E40ACE35977D}"/>
    <cellStyle name="Normal 5 2 2 2 3 2 3 2 2 3" xfId="17085" xr:uid="{01D8727E-78F5-4A2C-A71D-E92842BF3EDE}"/>
    <cellStyle name="Normal 5 2 2 2 3 2 3 2 2 4" xfId="33979" xr:uid="{66758D1A-B77F-4360-A436-FA776DFCA346}"/>
    <cellStyle name="Normal 5 2 2 2 3 2 3 2 3" xfId="21315" xr:uid="{208EEFA7-4EDC-498E-9C7D-8C05436D8680}"/>
    <cellStyle name="Normal 5 2 2 2 3 2 3 2 3 2" xfId="38209" xr:uid="{694E2AD2-B7F4-4B7C-8FFA-B7F8E0F9706E}"/>
    <cellStyle name="Normal 5 2 2 2 3 2 3 2 4" xfId="12868" xr:uid="{5EB5B77F-5511-4F72-B1C5-47925CBCA8C4}"/>
    <cellStyle name="Normal 5 2 2 2 3 2 3 2 5" xfId="29762" xr:uid="{7BF22E9F-43E3-4781-B900-155CA861C165}"/>
    <cellStyle name="Normal 5 2 2 2 3 2 3 3" xfId="5614" xr:uid="{00000000-0005-0000-0000-000051170000}"/>
    <cellStyle name="Normal 5 2 2 2 3 2 3 3 2" xfId="23387" xr:uid="{E3C31B7E-4234-4415-B838-2077C197EDDE}"/>
    <cellStyle name="Normal 5 2 2 2 3 2 3 3 2 2" xfId="40281" xr:uid="{D8E32258-DA77-4D48-AD6E-402B37617AC0}"/>
    <cellStyle name="Normal 5 2 2 2 3 2 3 3 3" xfId="14940" xr:uid="{A9FE95C2-7797-41D7-B24B-A3FFC1D81350}"/>
    <cellStyle name="Normal 5 2 2 2 3 2 3 3 4" xfId="31834" xr:uid="{40D344E4-45FD-4CAB-B40F-B2638A06C334}"/>
    <cellStyle name="Normal 5 2 2 2 3 2 3 4" xfId="19170" xr:uid="{21445EB2-B5AE-4407-A1E2-72D81FB46227}"/>
    <cellStyle name="Normal 5 2 2 2 3 2 3 4 2" xfId="36064" xr:uid="{2EC9FB24-70AE-4936-AF87-F2962E8CE3B6}"/>
    <cellStyle name="Normal 5 2 2 2 3 2 3 5" xfId="10723" xr:uid="{298691ED-C702-4018-BF1F-B75863751906}"/>
    <cellStyle name="Normal 5 2 2 2 3 2 3 6" xfId="27617" xr:uid="{5A6E30FD-9842-4188-9CC5-9F4C490B4B69}"/>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2 2 2" xfId="25945" xr:uid="{27E1CDB2-B3D8-478E-AA2A-077BDFCF1DDC}"/>
    <cellStyle name="Normal 5 2 2 2 3 2 4 2 2 2 2" xfId="42839" xr:uid="{53723A4C-26CB-4477-8EEE-172068869BAC}"/>
    <cellStyle name="Normal 5 2 2 2 3 2 4 2 2 3" xfId="17498" xr:uid="{77EAF766-2452-4D3B-91A9-75977884AD38}"/>
    <cellStyle name="Normal 5 2 2 2 3 2 4 2 2 4" xfId="34392" xr:uid="{3BE1D872-41BB-453A-8A34-022119E66EF1}"/>
    <cellStyle name="Normal 5 2 2 2 3 2 4 2 3" xfId="21728" xr:uid="{74CD6849-42C3-4FB4-B26E-9F57A12CE811}"/>
    <cellStyle name="Normal 5 2 2 2 3 2 4 2 3 2" xfId="38622" xr:uid="{8C849BC8-B4EF-4A72-B581-9860909ABBDF}"/>
    <cellStyle name="Normal 5 2 2 2 3 2 4 2 4" xfId="13281" xr:uid="{1F5669CE-4E1D-4F89-96AA-7DC2F3B6C4FF}"/>
    <cellStyle name="Normal 5 2 2 2 3 2 4 2 5" xfId="30175" xr:uid="{8589B15A-6CFC-4365-A662-AA561D06A426}"/>
    <cellStyle name="Normal 5 2 2 2 3 2 4 3" xfId="6027" xr:uid="{00000000-0005-0000-0000-000055170000}"/>
    <cellStyle name="Normal 5 2 2 2 3 2 4 3 2" xfId="23800" xr:uid="{3FC6B9EE-A0D2-4151-99F0-305A80C97466}"/>
    <cellStyle name="Normal 5 2 2 2 3 2 4 3 2 2" xfId="40694" xr:uid="{33239591-64CC-4DCB-AE36-99C4A0C8B3CA}"/>
    <cellStyle name="Normal 5 2 2 2 3 2 4 3 3" xfId="15353" xr:uid="{F0B0C9FE-3AA2-4014-9C88-9AA93DA65592}"/>
    <cellStyle name="Normal 5 2 2 2 3 2 4 3 4" xfId="32247" xr:uid="{C533CF2D-513C-4C61-8B11-883A9FEA8CE1}"/>
    <cellStyle name="Normal 5 2 2 2 3 2 4 4" xfId="19583" xr:uid="{DCB1C331-E49F-453F-9330-77CFF9DC5347}"/>
    <cellStyle name="Normal 5 2 2 2 3 2 4 4 2" xfId="36477" xr:uid="{ED0ED0C3-9A33-4F18-91CD-6B8F11B2C27A}"/>
    <cellStyle name="Normal 5 2 2 2 3 2 4 5" xfId="11136" xr:uid="{642B8126-6535-44F8-BF88-D481AAB61499}"/>
    <cellStyle name="Normal 5 2 2 2 3 2 4 6" xfId="28030" xr:uid="{CDC6B3D2-5F24-4F1C-8542-EF97C1222E1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2 2 2" xfId="26358" xr:uid="{C2E93F6A-160A-4E5F-9CD1-7EA450FAE8E5}"/>
    <cellStyle name="Normal 5 2 2 2 3 2 5 2 2 2 2" xfId="43252" xr:uid="{88882BEF-1E9B-4120-ADAD-EA7FF924F82E}"/>
    <cellStyle name="Normal 5 2 2 2 3 2 5 2 2 3" xfId="17911" xr:uid="{FC687DBA-6ECA-4CB5-935B-3C6416F129D3}"/>
    <cellStyle name="Normal 5 2 2 2 3 2 5 2 2 4" xfId="34805" xr:uid="{2F9EEFE8-DA40-4B88-98BF-D11DE8D72765}"/>
    <cellStyle name="Normal 5 2 2 2 3 2 5 2 3" xfId="22141" xr:uid="{CABA4320-7956-4CA9-B0FE-45A2401AF78C}"/>
    <cellStyle name="Normal 5 2 2 2 3 2 5 2 3 2" xfId="39035" xr:uid="{FB9BB8CD-81D6-4F17-86AF-B9BC26FC39A6}"/>
    <cellStyle name="Normal 5 2 2 2 3 2 5 2 4" xfId="13694" xr:uid="{3B4AD97E-CBB3-432A-A1E8-9563046F27AB}"/>
    <cellStyle name="Normal 5 2 2 2 3 2 5 2 5" xfId="30588" xr:uid="{26FB33CA-5BE6-4688-9008-57E658E16AAA}"/>
    <cellStyle name="Normal 5 2 2 2 3 2 5 3" xfId="6440" xr:uid="{00000000-0005-0000-0000-000059170000}"/>
    <cellStyle name="Normal 5 2 2 2 3 2 5 3 2" xfId="24213" xr:uid="{424028A4-185D-436B-A951-20F8A3AF3B83}"/>
    <cellStyle name="Normal 5 2 2 2 3 2 5 3 2 2" xfId="41107" xr:uid="{79E93CF9-AC6F-4599-B4B1-2F879A237F14}"/>
    <cellStyle name="Normal 5 2 2 2 3 2 5 3 3" xfId="15766" xr:uid="{3DCF7587-BDD0-456E-9620-DA577AD546EA}"/>
    <cellStyle name="Normal 5 2 2 2 3 2 5 3 4" xfId="32660" xr:uid="{A064141B-2276-47C4-868F-F5EC7635434E}"/>
    <cellStyle name="Normal 5 2 2 2 3 2 5 4" xfId="19996" xr:uid="{2467D0B1-F9CC-4201-9936-11F8E9AEC369}"/>
    <cellStyle name="Normal 5 2 2 2 3 2 5 4 2" xfId="36890" xr:uid="{D7EFD342-F5AE-42F6-85FF-70BA78F6066A}"/>
    <cellStyle name="Normal 5 2 2 2 3 2 5 5" xfId="11549" xr:uid="{AADB5C9A-1D26-4991-BF25-8EA59CCCABBA}"/>
    <cellStyle name="Normal 5 2 2 2 3 2 5 6" xfId="28443" xr:uid="{D48E5033-2BC6-4D69-9687-A66F598962B7}"/>
    <cellStyle name="Normal 5 2 2 2 3 2 6" xfId="2570" xr:uid="{00000000-0005-0000-0000-00005A170000}"/>
    <cellStyle name="Normal 5 2 2 2 3 2 6 2" xfId="6853" xr:uid="{00000000-0005-0000-0000-00005B170000}"/>
    <cellStyle name="Normal 5 2 2 2 3 2 6 2 2" xfId="24626" xr:uid="{A9B3D022-3A16-4F82-8FF1-3ED026B15CC6}"/>
    <cellStyle name="Normal 5 2 2 2 3 2 6 2 2 2" xfId="41520" xr:uid="{8C83A7D2-C1C9-4691-88CC-469D20A3C1CC}"/>
    <cellStyle name="Normal 5 2 2 2 3 2 6 2 3" xfId="16179" xr:uid="{F3022D7A-C969-43DD-BF0B-37D67D796A6C}"/>
    <cellStyle name="Normal 5 2 2 2 3 2 6 2 4" xfId="33073" xr:uid="{EF10D1E5-8030-43E7-9DF0-96DAD364AA1D}"/>
    <cellStyle name="Normal 5 2 2 2 3 2 6 3" xfId="20409" xr:uid="{AA5030EF-D686-4273-A93D-23AFAB07A3D7}"/>
    <cellStyle name="Normal 5 2 2 2 3 2 6 3 2" xfId="37303" xr:uid="{BFDD2B1B-C5AD-496B-ACC5-31D7BF62614F}"/>
    <cellStyle name="Normal 5 2 2 2 3 2 6 4" xfId="11962" xr:uid="{FF4DA3E1-5197-4487-B5C9-F24665B9D2B2}"/>
    <cellStyle name="Normal 5 2 2 2 3 2 6 5" xfId="28856" xr:uid="{FAA486FF-1B28-4E76-9ABA-7C4EFB3EEFB5}"/>
    <cellStyle name="Normal 5 2 2 2 3 2 7" xfId="4788" xr:uid="{00000000-0005-0000-0000-00005C170000}"/>
    <cellStyle name="Normal 5 2 2 2 3 2 7 2" xfId="22561" xr:uid="{D1795F79-18CC-4B9E-9BA6-9668A6FFB48B}"/>
    <cellStyle name="Normal 5 2 2 2 3 2 7 2 2" xfId="39455" xr:uid="{6C216F39-6F73-425B-911F-B162D0316111}"/>
    <cellStyle name="Normal 5 2 2 2 3 2 7 3" xfId="14114" xr:uid="{97128CA0-3632-4CDB-9EC4-690C3769EB3C}"/>
    <cellStyle name="Normal 5 2 2 2 3 2 7 4" xfId="31008" xr:uid="{AF95A6C6-5300-4B88-85B5-DD7E599FBF69}"/>
    <cellStyle name="Normal 5 2 2 2 3 2 8" xfId="9081" xr:uid="{B0400C6D-4400-4F06-9092-2DCAD3324CF1}"/>
    <cellStyle name="Normal 5 2 2 2 3 2 8 2" xfId="18344" xr:uid="{E9457478-68F3-482C-B7A5-CB6878E2B841}"/>
    <cellStyle name="Normal 5 2 2 2 3 2 8 3" xfId="35238" xr:uid="{7DCFA6F9-E37F-4482-A28D-E2ED7FF62355}"/>
    <cellStyle name="Normal 5 2 2 2 3 2 9" xfId="9897" xr:uid="{A2B9244F-3963-474D-AFA8-70DBC81D7342}"/>
    <cellStyle name="Normal 5 2 2 2 3 3" xfId="888" xr:uid="{00000000-0005-0000-0000-00005D170000}"/>
    <cellStyle name="Normal 5 2 2 2 3 3 2" xfId="3123" xr:uid="{00000000-0005-0000-0000-00005E170000}"/>
    <cellStyle name="Normal 5 2 2 2 3 3 2 2" xfId="7345" xr:uid="{00000000-0005-0000-0000-00005F170000}"/>
    <cellStyle name="Normal 5 2 2 2 3 3 2 2 2" xfId="25118" xr:uid="{99C54FE6-DE11-451C-9A67-A374CAA1549A}"/>
    <cellStyle name="Normal 5 2 2 2 3 3 2 2 2 2" xfId="42012" xr:uid="{8F808882-B0E4-4FC6-A535-8CAC78119CCD}"/>
    <cellStyle name="Normal 5 2 2 2 3 3 2 2 3" xfId="16671" xr:uid="{0B00632C-BCE6-4866-A697-E0AA8D1C0E50}"/>
    <cellStyle name="Normal 5 2 2 2 3 3 2 2 4" xfId="33565" xr:uid="{E072EA3E-4E34-40B3-83DC-4BAB64651909}"/>
    <cellStyle name="Normal 5 2 2 2 3 3 2 3" xfId="20901" xr:uid="{3870CED2-3D07-4D05-8AAC-E2B36899934B}"/>
    <cellStyle name="Normal 5 2 2 2 3 3 2 3 2" xfId="37795" xr:uid="{70C30B23-911C-4457-99D2-93ABEB1D3DE3}"/>
    <cellStyle name="Normal 5 2 2 2 3 3 2 4" xfId="12454" xr:uid="{D99F2FE7-3879-4DE3-AAB0-CFC536BC830A}"/>
    <cellStyle name="Normal 5 2 2 2 3 3 2 5" xfId="29348" xr:uid="{BB3654F7-F0A1-4433-8A74-BBF88B122961}"/>
    <cellStyle name="Normal 5 2 2 2 3 3 3" xfId="5200" xr:uid="{00000000-0005-0000-0000-000060170000}"/>
    <cellStyle name="Normal 5 2 2 2 3 3 3 2" xfId="22973" xr:uid="{0038465B-2A79-4B9A-A50D-139F8382468B}"/>
    <cellStyle name="Normal 5 2 2 2 3 3 3 2 2" xfId="39867" xr:uid="{54D49327-2FAB-4F05-8581-50FC37DF4ACD}"/>
    <cellStyle name="Normal 5 2 2 2 3 3 3 3" xfId="14526" xr:uid="{C0B0CA0C-EF31-480D-84C3-6002BB2771B8}"/>
    <cellStyle name="Normal 5 2 2 2 3 3 3 4" xfId="31420" xr:uid="{C4FB25E7-18A9-48B6-979D-238A3E68BE17}"/>
    <cellStyle name="Normal 5 2 2 2 3 3 4" xfId="9299" xr:uid="{85780536-A38F-4D86-8846-D9FA6BB2D61D}"/>
    <cellStyle name="Normal 5 2 2 2 3 3 4 2" xfId="18756" xr:uid="{22300387-F7E4-49B4-9872-5D5A833EF919}"/>
    <cellStyle name="Normal 5 2 2 2 3 3 4 3" xfId="35650" xr:uid="{2193C809-8DED-4C82-8741-6A8E2B76AE81}"/>
    <cellStyle name="Normal 5 2 2 2 3 3 5" xfId="10309" xr:uid="{3FAC07E0-6E20-4A31-AB7D-4634D21FA00E}"/>
    <cellStyle name="Normal 5 2 2 2 3 3 6" xfId="27203" xr:uid="{21C71B1B-9071-440E-AA2E-17AD91013280}"/>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2 2 2" xfId="25531" xr:uid="{97307643-817C-49D9-B075-F5B75E63BBE0}"/>
    <cellStyle name="Normal 5 2 2 2 3 4 2 2 2 2" xfId="42425" xr:uid="{46799792-0915-410D-9268-9D7CCDA608EC}"/>
    <cellStyle name="Normal 5 2 2 2 3 4 2 2 3" xfId="17084" xr:uid="{0C9578B8-FEB0-450F-8555-EF22E5FB266A}"/>
    <cellStyle name="Normal 5 2 2 2 3 4 2 2 4" xfId="33978" xr:uid="{5BF10ACC-AC71-4417-982C-CFA257C0C864}"/>
    <cellStyle name="Normal 5 2 2 2 3 4 2 3" xfId="21314" xr:uid="{CB4F7B2A-6121-4197-98F8-3A0014A688DA}"/>
    <cellStyle name="Normal 5 2 2 2 3 4 2 3 2" xfId="38208" xr:uid="{7C2EB7D2-AB22-4598-86C7-117E59B29116}"/>
    <cellStyle name="Normal 5 2 2 2 3 4 2 4" xfId="12867" xr:uid="{6FF6A2EB-C965-49D0-8B19-E2FF90E44C78}"/>
    <cellStyle name="Normal 5 2 2 2 3 4 2 5" xfId="29761" xr:uid="{35D509E0-94D2-43A4-85D5-E495634F5C53}"/>
    <cellStyle name="Normal 5 2 2 2 3 4 3" xfId="5613" xr:uid="{00000000-0005-0000-0000-000064170000}"/>
    <cellStyle name="Normal 5 2 2 2 3 4 3 2" xfId="23386" xr:uid="{C6AAD0ED-6E87-4D08-B75A-DC556F8696C2}"/>
    <cellStyle name="Normal 5 2 2 2 3 4 3 2 2" xfId="40280" xr:uid="{2918F7C3-B4DE-4A56-8B1C-FC581F1B19C4}"/>
    <cellStyle name="Normal 5 2 2 2 3 4 3 3" xfId="14939" xr:uid="{578A957B-58E8-4B81-8962-2A32A3B35D8C}"/>
    <cellStyle name="Normal 5 2 2 2 3 4 3 4" xfId="31833" xr:uid="{91F1B138-79BB-47E9-AE7B-A0FC83026A7A}"/>
    <cellStyle name="Normal 5 2 2 2 3 4 4" xfId="19169" xr:uid="{1A69A604-4C3C-414C-8D96-B96F8950F321}"/>
    <cellStyle name="Normal 5 2 2 2 3 4 4 2" xfId="36063" xr:uid="{CFF136B2-7F64-4449-9782-4AA3C82BBED3}"/>
    <cellStyle name="Normal 5 2 2 2 3 4 5" xfId="10722" xr:uid="{A18E0C19-992E-4B06-B71F-9AF1BB1CC91E}"/>
    <cellStyle name="Normal 5 2 2 2 3 4 6" xfId="27616" xr:uid="{01585060-E0AC-44D4-88CC-EF844D682E3E}"/>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2 2 2" xfId="25944" xr:uid="{39C0969B-E3AD-4820-8847-EE4EA9E4A043}"/>
    <cellStyle name="Normal 5 2 2 2 3 5 2 2 2 2" xfId="42838" xr:uid="{E625934D-1473-4B33-BCE2-C7E052D5563E}"/>
    <cellStyle name="Normal 5 2 2 2 3 5 2 2 3" xfId="17497" xr:uid="{046C1487-6786-4FD4-9E02-014C6F455C17}"/>
    <cellStyle name="Normal 5 2 2 2 3 5 2 2 4" xfId="34391" xr:uid="{BD24A7DF-DE8A-425F-BB72-370E497F56E0}"/>
    <cellStyle name="Normal 5 2 2 2 3 5 2 3" xfId="21727" xr:uid="{5F91951D-B6D7-4040-9E23-DA0C16134D4C}"/>
    <cellStyle name="Normal 5 2 2 2 3 5 2 3 2" xfId="38621" xr:uid="{C9D7538D-8ABD-493D-A486-332A04B811F7}"/>
    <cellStyle name="Normal 5 2 2 2 3 5 2 4" xfId="13280" xr:uid="{8C8E9929-5396-495B-9F85-D0B80BDC4481}"/>
    <cellStyle name="Normal 5 2 2 2 3 5 2 5" xfId="30174" xr:uid="{BAD6E9C7-D8A9-49B3-8061-1AA8536E639D}"/>
    <cellStyle name="Normal 5 2 2 2 3 5 3" xfId="6026" xr:uid="{00000000-0005-0000-0000-000068170000}"/>
    <cellStyle name="Normal 5 2 2 2 3 5 3 2" xfId="23799" xr:uid="{74B55440-EF24-4BAC-84A2-247411D6919D}"/>
    <cellStyle name="Normal 5 2 2 2 3 5 3 2 2" xfId="40693" xr:uid="{E783B97D-2DDA-4826-BA91-1DB149060B24}"/>
    <cellStyle name="Normal 5 2 2 2 3 5 3 3" xfId="15352" xr:uid="{9BA5CFE9-3B70-408F-B0FC-D3B511274D68}"/>
    <cellStyle name="Normal 5 2 2 2 3 5 3 4" xfId="32246" xr:uid="{221269B3-81D5-4AD0-8570-D9F6C66F419B}"/>
    <cellStyle name="Normal 5 2 2 2 3 5 4" xfId="19582" xr:uid="{3953A4F0-6B5C-4204-A8D4-8027F51B2264}"/>
    <cellStyle name="Normal 5 2 2 2 3 5 4 2" xfId="36476" xr:uid="{8A4A0D49-FC9A-4CCF-B0AD-CA1897FAE1F2}"/>
    <cellStyle name="Normal 5 2 2 2 3 5 5" xfId="11135" xr:uid="{3434547A-F01A-450B-93C5-482B223175D2}"/>
    <cellStyle name="Normal 5 2 2 2 3 5 6" xfId="28029" xr:uid="{2FF8D72E-0D37-4BF8-9EF9-E6E22C1393BD}"/>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2 2 2" xfId="26357" xr:uid="{056A6E7F-6661-4F1C-9832-A861353572F9}"/>
    <cellStyle name="Normal 5 2 2 2 3 6 2 2 2 2" xfId="43251" xr:uid="{27F8C19A-E32E-40CE-84F0-780A7E2A60E7}"/>
    <cellStyle name="Normal 5 2 2 2 3 6 2 2 3" xfId="17910" xr:uid="{84BD3B3F-AB9A-48F2-8866-084A616095FB}"/>
    <cellStyle name="Normal 5 2 2 2 3 6 2 2 4" xfId="34804" xr:uid="{FF4CB96B-6E35-4075-8F24-96E388D21D3E}"/>
    <cellStyle name="Normal 5 2 2 2 3 6 2 3" xfId="22140" xr:uid="{E7F64E1D-B5D0-4672-BFED-AA9C5B646074}"/>
    <cellStyle name="Normal 5 2 2 2 3 6 2 3 2" xfId="39034" xr:uid="{FFEC90F3-6B3F-4C88-BED7-5AB8A2B8537B}"/>
    <cellStyle name="Normal 5 2 2 2 3 6 2 4" xfId="13693" xr:uid="{F6642ACF-5D6E-4540-A261-2D360A5ED4C7}"/>
    <cellStyle name="Normal 5 2 2 2 3 6 2 5" xfId="30587" xr:uid="{2696CF69-4C3D-4828-A44C-D41B7E70CD8D}"/>
    <cellStyle name="Normal 5 2 2 2 3 6 3" xfId="6439" xr:uid="{00000000-0005-0000-0000-00006C170000}"/>
    <cellStyle name="Normal 5 2 2 2 3 6 3 2" xfId="24212" xr:uid="{1024671B-9336-4143-9E2D-CF38448C9552}"/>
    <cellStyle name="Normal 5 2 2 2 3 6 3 2 2" xfId="41106" xr:uid="{4929FD6B-9E93-41F9-AFE2-03A1818912F0}"/>
    <cellStyle name="Normal 5 2 2 2 3 6 3 3" xfId="15765" xr:uid="{F0E6AACE-7B86-4281-8603-2FBACCBB6837}"/>
    <cellStyle name="Normal 5 2 2 2 3 6 3 4" xfId="32659" xr:uid="{04B1A21E-C582-40C2-8B71-992472CDDB81}"/>
    <cellStyle name="Normal 5 2 2 2 3 6 4" xfId="19995" xr:uid="{95F6C71D-1F92-4AF3-8609-E3612A378184}"/>
    <cellStyle name="Normal 5 2 2 2 3 6 4 2" xfId="36889" xr:uid="{15C2043B-FDF5-4987-837A-E90ADFE55528}"/>
    <cellStyle name="Normal 5 2 2 2 3 6 5" xfId="11548" xr:uid="{2A48125B-CDB0-4315-B39E-FE320B00A8CB}"/>
    <cellStyle name="Normal 5 2 2 2 3 6 6" xfId="28442" xr:uid="{9DA9D0B5-D972-4705-8137-31E95755A5FE}"/>
    <cellStyle name="Normal 5 2 2 2 3 7" xfId="2569" xr:uid="{00000000-0005-0000-0000-00006D170000}"/>
    <cellStyle name="Normal 5 2 2 2 3 7 2" xfId="6852" xr:uid="{00000000-0005-0000-0000-00006E170000}"/>
    <cellStyle name="Normal 5 2 2 2 3 7 2 2" xfId="24625" xr:uid="{F081D19B-3CD6-41BE-AB18-869BE84426A6}"/>
    <cellStyle name="Normal 5 2 2 2 3 7 2 2 2" xfId="41519" xr:uid="{DF87946E-0F3B-4185-A775-6051B8C1E5B4}"/>
    <cellStyle name="Normal 5 2 2 2 3 7 2 3" xfId="16178" xr:uid="{76AF4E35-C1C7-4C15-84AE-89527ED20A40}"/>
    <cellStyle name="Normal 5 2 2 2 3 7 2 4" xfId="33072" xr:uid="{F7EC3B96-B911-4653-BEE7-D81AFB59DDAB}"/>
    <cellStyle name="Normal 5 2 2 2 3 7 3" xfId="20408" xr:uid="{CB9AE5DE-7F2A-4520-9368-698E69ED499C}"/>
    <cellStyle name="Normal 5 2 2 2 3 7 3 2" xfId="37302" xr:uid="{1CD24F19-3BF9-4297-AA4E-1934253AA9D9}"/>
    <cellStyle name="Normal 5 2 2 2 3 7 4" xfId="11961" xr:uid="{0B37823A-F3E3-4B2E-A07E-AF7005609FA3}"/>
    <cellStyle name="Normal 5 2 2 2 3 7 5" xfId="28855" xr:uid="{C38C03B3-0415-4AE1-8926-EA7AB5BDE5CD}"/>
    <cellStyle name="Normal 5 2 2 2 3 8" xfId="4787" xr:uid="{00000000-0005-0000-0000-00006F170000}"/>
    <cellStyle name="Normal 5 2 2 2 3 8 2" xfId="22560" xr:uid="{68B1D59B-B9B7-4D05-8D7A-D1B59028D82F}"/>
    <cellStyle name="Normal 5 2 2 2 3 8 2 2" xfId="39454" xr:uid="{581F6B03-BC36-419F-80D6-B4DAB128F372}"/>
    <cellStyle name="Normal 5 2 2 2 3 8 3" xfId="14113" xr:uid="{53929CAB-5F46-4ACC-BBA0-71823BF47172}"/>
    <cellStyle name="Normal 5 2 2 2 3 8 4" xfId="31007" xr:uid="{B2E62D3E-0AEB-460A-B3E2-5C88A2A32826}"/>
    <cellStyle name="Normal 5 2 2 2 3 9" xfId="8874" xr:uid="{D7CEB9F3-DFA5-483F-B08A-C4A582DD7FE8}"/>
    <cellStyle name="Normal 5 2 2 2 3 9 2" xfId="18343" xr:uid="{F3B04C87-B440-4285-A1F0-F9B0C4DE5172}"/>
    <cellStyle name="Normal 5 2 2 2 3 9 3" xfId="35237" xr:uid="{53FB792E-7D99-4C32-82B4-D5D0230B32E1}"/>
    <cellStyle name="Normal 5 2 2 2 4" xfId="416" xr:uid="{00000000-0005-0000-0000-000070170000}"/>
    <cellStyle name="Normal 5 2 2 2 4 10" xfId="26792" xr:uid="{E8141688-E1EC-4DA5-8628-00FF4EB60435}"/>
    <cellStyle name="Normal 5 2 2 2 4 2" xfId="890" xr:uid="{00000000-0005-0000-0000-000071170000}"/>
    <cellStyle name="Normal 5 2 2 2 4 2 2" xfId="3125" xr:uid="{00000000-0005-0000-0000-000072170000}"/>
    <cellStyle name="Normal 5 2 2 2 4 2 2 2" xfId="7347" xr:uid="{00000000-0005-0000-0000-000073170000}"/>
    <cellStyle name="Normal 5 2 2 2 4 2 2 2 2" xfId="25120" xr:uid="{83761945-2B31-4386-9053-64B8AB51F27F}"/>
    <cellStyle name="Normal 5 2 2 2 4 2 2 2 2 2" xfId="42014" xr:uid="{1388E297-6054-4D1F-B3E3-A9730C1B7385}"/>
    <cellStyle name="Normal 5 2 2 2 4 2 2 2 3" xfId="16673" xr:uid="{D698CCA9-286D-4C05-AD5D-7F28B5BFAA5D}"/>
    <cellStyle name="Normal 5 2 2 2 4 2 2 2 4" xfId="33567" xr:uid="{9769DEC2-ABA3-4E5D-9D2A-F20DC5115E87}"/>
    <cellStyle name="Normal 5 2 2 2 4 2 2 3" xfId="20903" xr:uid="{BD6BE299-572F-448E-A1A8-34FA118D5F1A}"/>
    <cellStyle name="Normal 5 2 2 2 4 2 2 3 2" xfId="37797" xr:uid="{0276351F-C5F0-4EBA-9519-43174A2519BA}"/>
    <cellStyle name="Normal 5 2 2 2 4 2 2 4" xfId="12456" xr:uid="{88DC8C9D-A711-4919-9AE1-9B8F84575811}"/>
    <cellStyle name="Normal 5 2 2 2 4 2 2 5" xfId="29350" xr:uid="{B94D7003-DD55-4C74-9D27-745B5D773EA7}"/>
    <cellStyle name="Normal 5 2 2 2 4 2 3" xfId="5202" xr:uid="{00000000-0005-0000-0000-000074170000}"/>
    <cellStyle name="Normal 5 2 2 2 4 2 3 2" xfId="22975" xr:uid="{5444AD85-8CBD-4F73-8CAA-C83CCD2DD39D}"/>
    <cellStyle name="Normal 5 2 2 2 4 2 3 2 2" xfId="39869" xr:uid="{6CCD1E3E-47D0-4527-89CF-CAA0AC632385}"/>
    <cellStyle name="Normal 5 2 2 2 4 2 3 3" xfId="14528" xr:uid="{08B7AEF7-CA1D-42D2-995D-6ECCC7B4CE08}"/>
    <cellStyle name="Normal 5 2 2 2 4 2 3 4" xfId="31422" xr:uid="{BB9C8ACF-B451-45C0-8AA7-B4E6FC230ACD}"/>
    <cellStyle name="Normal 5 2 2 2 4 2 4" xfId="9403" xr:uid="{DDA7C497-662A-4A76-A324-A27E6A0A2B3D}"/>
    <cellStyle name="Normal 5 2 2 2 4 2 4 2" xfId="18758" xr:uid="{F01C7D9F-337C-4930-9AF9-41BBCBD907A2}"/>
    <cellStyle name="Normal 5 2 2 2 4 2 4 3" xfId="35652" xr:uid="{11E50DE1-6DFD-4476-B59C-9554A0B0F650}"/>
    <cellStyle name="Normal 5 2 2 2 4 2 5" xfId="10311" xr:uid="{13644960-515F-43EE-A13E-BF439677B8C2}"/>
    <cellStyle name="Normal 5 2 2 2 4 2 6" xfId="27205" xr:uid="{E4958623-D238-497F-A091-DB6080F06642}"/>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2 2 2" xfId="25533" xr:uid="{A2387352-A871-4F75-A7A4-655C6D055BE4}"/>
    <cellStyle name="Normal 5 2 2 2 4 3 2 2 2 2" xfId="42427" xr:uid="{3DB04F82-018D-4B66-B817-BF0BA9958171}"/>
    <cellStyle name="Normal 5 2 2 2 4 3 2 2 3" xfId="17086" xr:uid="{7C34304A-B5DE-4D00-9DBD-A67E114D6F46}"/>
    <cellStyle name="Normal 5 2 2 2 4 3 2 2 4" xfId="33980" xr:uid="{23C1D889-D19E-4640-97B4-13220845A9B1}"/>
    <cellStyle name="Normal 5 2 2 2 4 3 2 3" xfId="21316" xr:uid="{38EA7DB2-BD17-469F-AAC7-1F65EC63C257}"/>
    <cellStyle name="Normal 5 2 2 2 4 3 2 3 2" xfId="38210" xr:uid="{0BDC69CA-EE50-45A1-B09B-605743A5EF39}"/>
    <cellStyle name="Normal 5 2 2 2 4 3 2 4" xfId="12869" xr:uid="{F4793287-7F3F-4598-84A4-6BE78D92D302}"/>
    <cellStyle name="Normal 5 2 2 2 4 3 2 5" xfId="29763" xr:uid="{3B2A4FF2-EEE1-4E34-9519-AFC608415DCE}"/>
    <cellStyle name="Normal 5 2 2 2 4 3 3" xfId="5615" xr:uid="{00000000-0005-0000-0000-000078170000}"/>
    <cellStyle name="Normal 5 2 2 2 4 3 3 2" xfId="23388" xr:uid="{8E952A97-5A1E-484A-9359-B85C781BD89D}"/>
    <cellStyle name="Normal 5 2 2 2 4 3 3 2 2" xfId="40282" xr:uid="{89945041-73E2-45A8-8B20-C4E9D9DD3C7F}"/>
    <cellStyle name="Normal 5 2 2 2 4 3 3 3" xfId="14941" xr:uid="{B82A2CDC-A502-4A11-8C98-E93DF7B09BF1}"/>
    <cellStyle name="Normal 5 2 2 2 4 3 3 4" xfId="31835" xr:uid="{4B54E4F8-919E-420B-A278-928B0E887A37}"/>
    <cellStyle name="Normal 5 2 2 2 4 3 4" xfId="19171" xr:uid="{5D889C78-6581-4CC9-A126-52C724E42709}"/>
    <cellStyle name="Normal 5 2 2 2 4 3 4 2" xfId="36065" xr:uid="{5B8C1C63-45AD-47CD-8A67-0A9603EBF038}"/>
    <cellStyle name="Normal 5 2 2 2 4 3 5" xfId="10724" xr:uid="{D45A2B8B-9B44-4FA5-A522-226D4D8A983E}"/>
    <cellStyle name="Normal 5 2 2 2 4 3 6" xfId="27618" xr:uid="{254974A0-66F2-4F4A-BF3C-7D750860EACB}"/>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2 2 2" xfId="25946" xr:uid="{4BECE5CF-B42E-4A12-9AC8-0FE8FE29E9DA}"/>
    <cellStyle name="Normal 5 2 2 2 4 4 2 2 2 2" xfId="42840" xr:uid="{6AB17A1D-9904-4090-AB5E-F1546A8CA3C8}"/>
    <cellStyle name="Normal 5 2 2 2 4 4 2 2 3" xfId="17499" xr:uid="{4A97CCE2-6B45-457A-9603-EF6E60D716E0}"/>
    <cellStyle name="Normal 5 2 2 2 4 4 2 2 4" xfId="34393" xr:uid="{27982159-75B9-4954-8DE2-A905F450CAC6}"/>
    <cellStyle name="Normal 5 2 2 2 4 4 2 3" xfId="21729" xr:uid="{8A992783-075F-46ED-91B3-22435E9D5528}"/>
    <cellStyle name="Normal 5 2 2 2 4 4 2 3 2" xfId="38623" xr:uid="{C73E1604-5B9A-49C3-9D01-2E317CEF7B4A}"/>
    <cellStyle name="Normal 5 2 2 2 4 4 2 4" xfId="13282" xr:uid="{696F4A6C-0DB7-402B-9394-890084D3B2BB}"/>
    <cellStyle name="Normal 5 2 2 2 4 4 2 5" xfId="30176" xr:uid="{C687223F-16E3-4FB8-AD58-A881EF9A4887}"/>
    <cellStyle name="Normal 5 2 2 2 4 4 3" xfId="6028" xr:uid="{00000000-0005-0000-0000-00007C170000}"/>
    <cellStyle name="Normal 5 2 2 2 4 4 3 2" xfId="23801" xr:uid="{CBDD1547-CE62-41C6-B451-E35EEA292801}"/>
    <cellStyle name="Normal 5 2 2 2 4 4 3 2 2" xfId="40695" xr:uid="{A6586B05-7CAB-4960-99C9-CCF413ACB7C7}"/>
    <cellStyle name="Normal 5 2 2 2 4 4 3 3" xfId="15354" xr:uid="{D53936C6-9610-4B56-9691-287C1DB3C112}"/>
    <cellStyle name="Normal 5 2 2 2 4 4 3 4" xfId="32248" xr:uid="{BEC9825B-F094-436F-855D-65C6AF6F2A89}"/>
    <cellStyle name="Normal 5 2 2 2 4 4 4" xfId="19584" xr:uid="{45DD994A-EFFB-4EAA-838F-5A80397279EA}"/>
    <cellStyle name="Normal 5 2 2 2 4 4 4 2" xfId="36478" xr:uid="{84613D5A-B5A0-400B-AB7D-E1D926679D7E}"/>
    <cellStyle name="Normal 5 2 2 2 4 4 5" xfId="11137" xr:uid="{CA6C0083-B198-4BC4-9B96-E56031AAB855}"/>
    <cellStyle name="Normal 5 2 2 2 4 4 6" xfId="28031" xr:uid="{92290B8B-5566-425A-800C-1809ADA7DC22}"/>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2 2 2" xfId="26359" xr:uid="{0F665813-E1AB-4ECA-8F9F-FFFE6E637913}"/>
    <cellStyle name="Normal 5 2 2 2 4 5 2 2 2 2" xfId="43253" xr:uid="{71EBCF1E-2822-4CFE-8DEE-1C394DFF5411}"/>
    <cellStyle name="Normal 5 2 2 2 4 5 2 2 3" xfId="17912" xr:uid="{A961E8DF-BEAC-4B12-8B8A-C306EEF2B248}"/>
    <cellStyle name="Normal 5 2 2 2 4 5 2 2 4" xfId="34806" xr:uid="{EBC5F5F7-1FAD-4308-AEE9-18FB3C092032}"/>
    <cellStyle name="Normal 5 2 2 2 4 5 2 3" xfId="22142" xr:uid="{D7F3D56C-A27A-474C-B7DD-E8F2397B68C3}"/>
    <cellStyle name="Normal 5 2 2 2 4 5 2 3 2" xfId="39036" xr:uid="{732BFD47-6AD0-4898-BBD1-2DE006A998CF}"/>
    <cellStyle name="Normal 5 2 2 2 4 5 2 4" xfId="13695" xr:uid="{5C687DF3-8A3D-4228-94C6-D1D66DABE065}"/>
    <cellStyle name="Normal 5 2 2 2 4 5 2 5" xfId="30589" xr:uid="{5C98B51C-40CA-4FCE-ACA2-0DAE6ADCAA99}"/>
    <cellStyle name="Normal 5 2 2 2 4 5 3" xfId="6441" xr:uid="{00000000-0005-0000-0000-000080170000}"/>
    <cellStyle name="Normal 5 2 2 2 4 5 3 2" xfId="24214" xr:uid="{C08D08AA-B231-4F19-B8F6-FE27A7076E99}"/>
    <cellStyle name="Normal 5 2 2 2 4 5 3 2 2" xfId="41108" xr:uid="{5123666D-071B-4D2F-8D40-CE7D42650C8F}"/>
    <cellStyle name="Normal 5 2 2 2 4 5 3 3" xfId="15767" xr:uid="{BE0E2E02-F23C-4B0A-B292-F11552C0584A}"/>
    <cellStyle name="Normal 5 2 2 2 4 5 3 4" xfId="32661" xr:uid="{58139C40-4450-402A-ABBE-FE1358029656}"/>
    <cellStyle name="Normal 5 2 2 2 4 5 4" xfId="19997" xr:uid="{95A52495-3098-4223-B266-43909919FE4B}"/>
    <cellStyle name="Normal 5 2 2 2 4 5 4 2" xfId="36891" xr:uid="{D68334F4-6250-477F-AC31-FA3C23D17333}"/>
    <cellStyle name="Normal 5 2 2 2 4 5 5" xfId="11550" xr:uid="{E17A1E5D-0C4D-47A1-AA09-7E5F552F24F2}"/>
    <cellStyle name="Normal 5 2 2 2 4 5 6" xfId="28444" xr:uid="{6F93EAB5-6975-4E3E-AD94-B2B1AB657943}"/>
    <cellStyle name="Normal 5 2 2 2 4 6" xfId="2571" xr:uid="{00000000-0005-0000-0000-000081170000}"/>
    <cellStyle name="Normal 5 2 2 2 4 6 2" xfId="6854" xr:uid="{00000000-0005-0000-0000-000082170000}"/>
    <cellStyle name="Normal 5 2 2 2 4 6 2 2" xfId="24627" xr:uid="{A588F514-DEC6-4DDA-B599-5F080D0587E6}"/>
    <cellStyle name="Normal 5 2 2 2 4 6 2 2 2" xfId="41521" xr:uid="{25693760-93C0-4A3B-B9ED-1B168B3BC134}"/>
    <cellStyle name="Normal 5 2 2 2 4 6 2 3" xfId="16180" xr:uid="{7A373EED-ED1A-45DA-9EBC-F09A461A6953}"/>
    <cellStyle name="Normal 5 2 2 2 4 6 2 4" xfId="33074" xr:uid="{AB39C98F-8BF1-4B54-9A78-7ADED5B3522F}"/>
    <cellStyle name="Normal 5 2 2 2 4 6 3" xfId="20410" xr:uid="{082740DE-1A6D-4657-AECA-FC5EF0A6C95F}"/>
    <cellStyle name="Normal 5 2 2 2 4 6 3 2" xfId="37304" xr:uid="{5942F466-8B0A-4591-9B59-2208E832B645}"/>
    <cellStyle name="Normal 5 2 2 2 4 6 4" xfId="11963" xr:uid="{977C80D5-64E5-4879-AFBA-25EC94520091}"/>
    <cellStyle name="Normal 5 2 2 2 4 6 5" xfId="28857" xr:uid="{918671CC-58A0-4B9B-A735-CA74C961D3D7}"/>
    <cellStyle name="Normal 5 2 2 2 4 7" xfId="4789" xr:uid="{00000000-0005-0000-0000-000083170000}"/>
    <cellStyle name="Normal 5 2 2 2 4 7 2" xfId="22562" xr:uid="{533DF92D-F5D7-4039-90E5-2AA8213A0CFD}"/>
    <cellStyle name="Normal 5 2 2 2 4 7 2 2" xfId="39456" xr:uid="{75FD876A-932B-499D-8812-46CD6BCD61EF}"/>
    <cellStyle name="Normal 5 2 2 2 4 7 3" xfId="14115" xr:uid="{B8BF59A0-63BF-483C-B2AC-1223B7C556D0}"/>
    <cellStyle name="Normal 5 2 2 2 4 7 4" xfId="31009" xr:uid="{F4F18286-F6B8-4A4C-8F4C-2E5EB68FCF77}"/>
    <cellStyle name="Normal 5 2 2 2 4 8" xfId="8978" xr:uid="{5B5F86B4-BA0F-43A7-920A-E466FD014739}"/>
    <cellStyle name="Normal 5 2 2 2 4 8 2" xfId="18345" xr:uid="{656E7302-E50A-4078-8DAA-7B7FDF1B38DC}"/>
    <cellStyle name="Normal 5 2 2 2 4 8 3" xfId="35239" xr:uid="{5109B3D1-E995-4D9B-9E2F-20DC6775ACDF}"/>
    <cellStyle name="Normal 5 2 2 2 4 9" xfId="9898" xr:uid="{944E11DF-13DC-4BB8-B7C4-8A94B1203DBA}"/>
    <cellStyle name="Normal 5 2 2 2 5" xfId="883" xr:uid="{00000000-0005-0000-0000-000084170000}"/>
    <cellStyle name="Normal 5 2 2 2 5 2" xfId="3118" xr:uid="{00000000-0005-0000-0000-000085170000}"/>
    <cellStyle name="Normal 5 2 2 2 5 2 2" xfId="7340" xr:uid="{00000000-0005-0000-0000-000086170000}"/>
    <cellStyle name="Normal 5 2 2 2 5 2 2 2" xfId="25113" xr:uid="{5772F04A-EEA9-4176-B6FD-EF5E6E63B524}"/>
    <cellStyle name="Normal 5 2 2 2 5 2 2 2 2" xfId="42007" xr:uid="{F428EB97-766E-497C-B670-E2A7DEE6D106}"/>
    <cellStyle name="Normal 5 2 2 2 5 2 2 3" xfId="16666" xr:uid="{41611F8E-4F9E-4CA1-BD59-4612EAB113A2}"/>
    <cellStyle name="Normal 5 2 2 2 5 2 2 4" xfId="33560" xr:uid="{5FBB5C77-7DB5-435F-8951-AD28D89E450B}"/>
    <cellStyle name="Normal 5 2 2 2 5 2 3" xfId="20896" xr:uid="{192A4504-A63B-452E-9F1C-FA1CD5CC1CDE}"/>
    <cellStyle name="Normal 5 2 2 2 5 2 3 2" xfId="37790" xr:uid="{C5486E33-4DCF-406E-9854-4D6167F2D4C3}"/>
    <cellStyle name="Normal 5 2 2 2 5 2 4" xfId="12449" xr:uid="{2C75AACD-732E-4E29-BDE8-0EA7AC1D7A8B}"/>
    <cellStyle name="Normal 5 2 2 2 5 2 5" xfId="29343" xr:uid="{BA9F5C89-A828-4F6B-A7A2-54982BBAC380}"/>
    <cellStyle name="Normal 5 2 2 2 5 3" xfId="5195" xr:uid="{00000000-0005-0000-0000-000087170000}"/>
    <cellStyle name="Normal 5 2 2 2 5 3 2" xfId="22968" xr:uid="{A02D7ADE-3820-49C5-A870-B4D6F63F6A8C}"/>
    <cellStyle name="Normal 5 2 2 2 5 3 2 2" xfId="39862" xr:uid="{13F0958F-2203-4BDC-ACFA-33B990FE5C95}"/>
    <cellStyle name="Normal 5 2 2 2 5 3 3" xfId="14521" xr:uid="{B648B0DD-2A8B-425E-9A19-23704EEF86D1}"/>
    <cellStyle name="Normal 5 2 2 2 5 3 4" xfId="31415" xr:uid="{6AA6CF51-CA35-4914-8419-639252BF1036}"/>
    <cellStyle name="Normal 5 2 2 2 5 4" xfId="9195" xr:uid="{A7E71EA0-2CA4-4918-870E-A32EEF45C61A}"/>
    <cellStyle name="Normal 5 2 2 2 5 4 2" xfId="18751" xr:uid="{0C46F79F-678B-4B5E-AF4C-E8F3D0D15D21}"/>
    <cellStyle name="Normal 5 2 2 2 5 4 3" xfId="35645" xr:uid="{FE4F5A31-BB68-4449-9B41-E13BE48BE7AF}"/>
    <cellStyle name="Normal 5 2 2 2 5 5" xfId="10304" xr:uid="{DA6FA520-D06C-4DF8-B5EC-4B8F35881D64}"/>
    <cellStyle name="Normal 5 2 2 2 5 6" xfId="27198" xr:uid="{A59EA137-D769-4F59-9484-3E86798C1CA5}"/>
    <cellStyle name="Normal 5 2 2 2 6" xfId="1301" xr:uid="{00000000-0005-0000-0000-000088170000}"/>
    <cellStyle name="Normal 5 2 2 2 6 2" xfId="3531" xr:uid="{00000000-0005-0000-0000-000089170000}"/>
    <cellStyle name="Normal 5 2 2 2 6 2 2" xfId="7753" xr:uid="{00000000-0005-0000-0000-00008A170000}"/>
    <cellStyle name="Normal 5 2 2 2 6 2 2 2" xfId="25526" xr:uid="{98832DAB-60AC-4421-8A40-5A11739C8D42}"/>
    <cellStyle name="Normal 5 2 2 2 6 2 2 2 2" xfId="42420" xr:uid="{54731844-6C85-4CD9-8904-5E5AD06ACE04}"/>
    <cellStyle name="Normal 5 2 2 2 6 2 2 3" xfId="17079" xr:uid="{856DFD22-C95C-44D2-914E-B941F6EDED01}"/>
    <cellStyle name="Normal 5 2 2 2 6 2 2 4" xfId="33973" xr:uid="{E5F239C3-4E73-473A-8E33-A79C9AF8A50C}"/>
    <cellStyle name="Normal 5 2 2 2 6 2 3" xfId="21309" xr:uid="{423BBF52-C95A-4C97-A4C3-C8587D38DDB6}"/>
    <cellStyle name="Normal 5 2 2 2 6 2 3 2" xfId="38203" xr:uid="{3EABBD3C-3469-4DBC-962D-827FC0C92D72}"/>
    <cellStyle name="Normal 5 2 2 2 6 2 4" xfId="12862" xr:uid="{FBA6D768-AF1C-4813-8C40-7BCCD2E3607B}"/>
    <cellStyle name="Normal 5 2 2 2 6 2 5" xfId="29756" xr:uid="{8F936931-DF36-4222-94A8-3AA184CC5E63}"/>
    <cellStyle name="Normal 5 2 2 2 6 3" xfId="5608" xr:uid="{00000000-0005-0000-0000-00008B170000}"/>
    <cellStyle name="Normal 5 2 2 2 6 3 2" xfId="23381" xr:uid="{B97448A7-A49C-45FA-A46C-B22EE0849EA9}"/>
    <cellStyle name="Normal 5 2 2 2 6 3 2 2" xfId="40275" xr:uid="{0BA762BA-E06B-407C-8548-F2DC8D61EE71}"/>
    <cellStyle name="Normal 5 2 2 2 6 3 3" xfId="14934" xr:uid="{45BA8D04-4966-422C-AD10-F8B8CB3004E9}"/>
    <cellStyle name="Normal 5 2 2 2 6 3 4" xfId="31828" xr:uid="{5B7F4AA1-39BA-4F82-B558-9E8B27A1D02D}"/>
    <cellStyle name="Normal 5 2 2 2 6 4" xfId="19164" xr:uid="{8F3388FD-75F0-4FB2-B5CD-5C2F053496E1}"/>
    <cellStyle name="Normal 5 2 2 2 6 4 2" xfId="36058" xr:uid="{DE94AD01-229C-4B86-AAE2-994BD4119557}"/>
    <cellStyle name="Normal 5 2 2 2 6 5" xfId="10717" xr:uid="{8A90C56A-41C9-43A7-8155-AF7E7D78587E}"/>
    <cellStyle name="Normal 5 2 2 2 6 6" xfId="27611" xr:uid="{BBAD8B56-A917-4599-A714-018451A9754D}"/>
    <cellStyle name="Normal 5 2 2 2 7" xfId="1714" xr:uid="{00000000-0005-0000-0000-00008C170000}"/>
    <cellStyle name="Normal 5 2 2 2 7 2" xfId="3944" xr:uid="{00000000-0005-0000-0000-00008D170000}"/>
    <cellStyle name="Normal 5 2 2 2 7 2 2" xfId="8166" xr:uid="{00000000-0005-0000-0000-00008E170000}"/>
    <cellStyle name="Normal 5 2 2 2 7 2 2 2" xfId="25939" xr:uid="{1F4B51CA-1720-406F-A257-7D09961CFF88}"/>
    <cellStyle name="Normal 5 2 2 2 7 2 2 2 2" xfId="42833" xr:uid="{C76CA7C2-5824-4CF4-8A61-27864E6CBA6A}"/>
    <cellStyle name="Normal 5 2 2 2 7 2 2 3" xfId="17492" xr:uid="{B46B918B-698E-469F-9565-CCB3A73A1151}"/>
    <cellStyle name="Normal 5 2 2 2 7 2 2 4" xfId="34386" xr:uid="{F52198A6-81EC-42BC-9B94-0FD7E63D7FC8}"/>
    <cellStyle name="Normal 5 2 2 2 7 2 3" xfId="21722" xr:uid="{0CCF1B75-C7D0-4E35-ACDF-896FEE2EB37C}"/>
    <cellStyle name="Normal 5 2 2 2 7 2 3 2" xfId="38616" xr:uid="{8E211377-6589-465E-9776-EAACD85DF4F9}"/>
    <cellStyle name="Normal 5 2 2 2 7 2 4" xfId="13275" xr:uid="{7FF470A1-2F32-4DFE-B142-D3F24023CB5B}"/>
    <cellStyle name="Normal 5 2 2 2 7 2 5" xfId="30169" xr:uid="{77C813E3-AF29-4F88-9464-975A2495124D}"/>
    <cellStyle name="Normal 5 2 2 2 7 3" xfId="6021" xr:uid="{00000000-0005-0000-0000-00008F170000}"/>
    <cellStyle name="Normal 5 2 2 2 7 3 2" xfId="23794" xr:uid="{92902969-AC18-4BF1-8392-35718B6FF143}"/>
    <cellStyle name="Normal 5 2 2 2 7 3 2 2" xfId="40688" xr:uid="{5B9A860F-ED4F-4C28-BB79-6F4AFAB02EEE}"/>
    <cellStyle name="Normal 5 2 2 2 7 3 3" xfId="15347" xr:uid="{1F6E1E55-FE17-4F3E-9D62-5145CF89C3E7}"/>
    <cellStyle name="Normal 5 2 2 2 7 3 4" xfId="32241" xr:uid="{A2E6E614-6F6D-4EF8-88A7-4879BFBE101B}"/>
    <cellStyle name="Normal 5 2 2 2 7 4" xfId="19577" xr:uid="{69149085-63A3-49C4-8BE9-0FE02053FE9A}"/>
    <cellStyle name="Normal 5 2 2 2 7 4 2" xfId="36471" xr:uid="{EC22EED8-D361-41FE-8692-A6C815D6F9AD}"/>
    <cellStyle name="Normal 5 2 2 2 7 5" xfId="11130" xr:uid="{9B8FDF02-123B-44D4-B049-075602328E45}"/>
    <cellStyle name="Normal 5 2 2 2 7 6" xfId="28024" xr:uid="{2658B2B9-F97C-4AB1-B1E7-C03950C18B1A}"/>
    <cellStyle name="Normal 5 2 2 2 8" xfId="2128" xr:uid="{00000000-0005-0000-0000-000090170000}"/>
    <cellStyle name="Normal 5 2 2 2 8 2" xfId="4357" xr:uid="{00000000-0005-0000-0000-000091170000}"/>
    <cellStyle name="Normal 5 2 2 2 8 2 2" xfId="8579" xr:uid="{00000000-0005-0000-0000-000092170000}"/>
    <cellStyle name="Normal 5 2 2 2 8 2 2 2" xfId="26352" xr:uid="{7A9EA503-0645-4ED1-A8D0-A0DAD5227FFF}"/>
    <cellStyle name="Normal 5 2 2 2 8 2 2 2 2" xfId="43246" xr:uid="{E093B0D6-EC45-4CED-AC13-F49C55E8959E}"/>
    <cellStyle name="Normal 5 2 2 2 8 2 2 3" xfId="17905" xr:uid="{55FEA445-5839-4CCB-82E2-78B2BFEC3D6E}"/>
    <cellStyle name="Normal 5 2 2 2 8 2 2 4" xfId="34799" xr:uid="{04202DC7-9ADD-4950-B4D6-463A09ED7EA0}"/>
    <cellStyle name="Normal 5 2 2 2 8 2 3" xfId="22135" xr:uid="{F8AC33E9-51E8-47E0-8CA1-EC0A3C5B3D57}"/>
    <cellStyle name="Normal 5 2 2 2 8 2 3 2" xfId="39029" xr:uid="{06973D83-4305-4F21-88FC-C746BDE176EE}"/>
    <cellStyle name="Normal 5 2 2 2 8 2 4" xfId="13688" xr:uid="{CCA1C446-2C3D-406E-97BA-798678BD5A9F}"/>
    <cellStyle name="Normal 5 2 2 2 8 2 5" xfId="30582" xr:uid="{DE016421-5C0E-4855-B500-176B85158F7B}"/>
    <cellStyle name="Normal 5 2 2 2 8 3" xfId="6434" xr:uid="{00000000-0005-0000-0000-000093170000}"/>
    <cellStyle name="Normal 5 2 2 2 8 3 2" xfId="24207" xr:uid="{A066AB57-9A4A-477D-BDC5-B341B9D9CF8C}"/>
    <cellStyle name="Normal 5 2 2 2 8 3 2 2" xfId="41101" xr:uid="{F64E19F1-D6DF-4475-BA92-9AF0EAE3ADED}"/>
    <cellStyle name="Normal 5 2 2 2 8 3 3" xfId="15760" xr:uid="{2F5F2511-0873-4C84-A1DD-1D4BF983CA12}"/>
    <cellStyle name="Normal 5 2 2 2 8 3 4" xfId="32654" xr:uid="{D5A6409D-465E-48C5-AADE-272CE637D4D0}"/>
    <cellStyle name="Normal 5 2 2 2 8 4" xfId="19990" xr:uid="{1770EF40-2226-46B7-9913-83827EFC5AC9}"/>
    <cellStyle name="Normal 5 2 2 2 8 4 2" xfId="36884" xr:uid="{8BCB84D3-467F-4F3B-A65E-5340EA128E7F}"/>
    <cellStyle name="Normal 5 2 2 2 8 5" xfId="11543" xr:uid="{A7CDC26B-FCE3-4694-9909-EBA8C79E8EB4}"/>
    <cellStyle name="Normal 5 2 2 2 8 6" xfId="28437" xr:uid="{EF1E4356-C771-4FEA-829A-7089B7A32684}"/>
    <cellStyle name="Normal 5 2 2 2 9" xfId="2564" xr:uid="{00000000-0005-0000-0000-000094170000}"/>
    <cellStyle name="Normal 5 2 2 2 9 2" xfId="6847" xr:uid="{00000000-0005-0000-0000-000095170000}"/>
    <cellStyle name="Normal 5 2 2 2 9 2 2" xfId="24620" xr:uid="{C60ECDA9-DC94-4191-8809-86F17D67F7D9}"/>
    <cellStyle name="Normal 5 2 2 2 9 2 2 2" xfId="41514" xr:uid="{AA720CB9-D1EF-45A5-A943-A82A59345C93}"/>
    <cellStyle name="Normal 5 2 2 2 9 2 3" xfId="16173" xr:uid="{20CD4699-5572-4BBC-9DCD-634186BAD107}"/>
    <cellStyle name="Normal 5 2 2 2 9 2 4" xfId="33067" xr:uid="{D6C8E0AF-9485-4B46-A499-3AFD37441484}"/>
    <cellStyle name="Normal 5 2 2 2 9 3" xfId="20403" xr:uid="{027B61CB-9A9C-4393-BDD3-59A886F460AC}"/>
    <cellStyle name="Normal 5 2 2 2 9 3 2" xfId="37297" xr:uid="{679C592E-D198-46F7-9506-097742DBBC26}"/>
    <cellStyle name="Normal 5 2 2 2 9 4" xfId="11956" xr:uid="{8C2CDA6C-53DB-4791-800F-1A2E4A384C30}"/>
    <cellStyle name="Normal 5 2 2 2 9 5" xfId="28850" xr:uid="{269AB4E8-D392-444C-8952-09AB18643648}"/>
    <cellStyle name="Normal 5 2 2 3" xfId="417" xr:uid="{00000000-0005-0000-0000-000096170000}"/>
    <cellStyle name="Normal 5 2 2 3 10" xfId="8828" xr:uid="{5CED8211-F967-469B-812B-9DF6FC250177}"/>
    <cellStyle name="Normal 5 2 2 3 10 2" xfId="18346" xr:uid="{EBC3BB02-DEE6-4B4B-98C1-6D71AA78F9E7}"/>
    <cellStyle name="Normal 5 2 2 3 10 3" xfId="35240" xr:uid="{5D68E376-4C92-442A-9E01-A59D46FC61D0}"/>
    <cellStyle name="Normal 5 2 2 3 11" xfId="9899" xr:uid="{C3604382-C95D-4043-8ABA-696CA889A92D}"/>
    <cellStyle name="Normal 5 2 2 3 12" xfId="26793" xr:uid="{CC22D1EE-355F-4648-B008-8BC0F992409A}"/>
    <cellStyle name="Normal 5 2 2 3 2" xfId="418" xr:uid="{00000000-0005-0000-0000-000097170000}"/>
    <cellStyle name="Normal 5 2 2 3 2 10" xfId="9900" xr:uid="{D32006B9-33AA-4885-8AF0-C72DA9EDB7C9}"/>
    <cellStyle name="Normal 5 2 2 3 2 11" xfId="26794" xr:uid="{42E1C9FD-8B92-4A16-8F5D-AD93661399F6}"/>
    <cellStyle name="Normal 5 2 2 3 2 2" xfId="419" xr:uid="{00000000-0005-0000-0000-000098170000}"/>
    <cellStyle name="Normal 5 2 2 3 2 2 10" xfId="26795" xr:uid="{9962C907-05AA-4E50-9C3C-9D0EB26F083E}"/>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2 2 2" xfId="25123" xr:uid="{60577678-6BDD-4B3E-9FB7-950AB642F260}"/>
    <cellStyle name="Normal 5 2 2 3 2 2 2 2 2 2 2" xfId="42017" xr:uid="{57EE602A-4369-4757-A9FB-7201DDDFA253}"/>
    <cellStyle name="Normal 5 2 2 3 2 2 2 2 2 3" xfId="16676" xr:uid="{0D36A726-B9F6-499B-A7C1-6186C4F761DB}"/>
    <cellStyle name="Normal 5 2 2 3 2 2 2 2 2 4" xfId="33570" xr:uid="{57EA822E-B8C5-4332-A920-BD4DDDF6A91A}"/>
    <cellStyle name="Normal 5 2 2 3 2 2 2 2 3" xfId="20906" xr:uid="{6D7BB1B3-AE4A-4DB0-999C-EED9B87F8B49}"/>
    <cellStyle name="Normal 5 2 2 3 2 2 2 2 3 2" xfId="37800" xr:uid="{8C18DD8A-C544-490B-8AE8-63B92033E83C}"/>
    <cellStyle name="Normal 5 2 2 3 2 2 2 2 4" xfId="12459" xr:uid="{0A8573E4-1163-4EBC-8B95-760F294E2C2B}"/>
    <cellStyle name="Normal 5 2 2 3 2 2 2 2 5" xfId="29353" xr:uid="{9C47690D-B716-4563-BA74-3EB2AB018385}"/>
    <cellStyle name="Normal 5 2 2 3 2 2 2 3" xfId="5205" xr:uid="{00000000-0005-0000-0000-00009C170000}"/>
    <cellStyle name="Normal 5 2 2 3 2 2 2 3 2" xfId="22978" xr:uid="{C54471FE-30EF-41C1-A1E6-9B3A8E86C858}"/>
    <cellStyle name="Normal 5 2 2 3 2 2 2 3 2 2" xfId="39872" xr:uid="{96ADCE06-214A-4598-BBE5-943F8B415A2B}"/>
    <cellStyle name="Normal 5 2 2 3 2 2 2 3 3" xfId="14531" xr:uid="{0530929F-17AD-4CEA-B912-F80CD3BE1D33}"/>
    <cellStyle name="Normal 5 2 2 3 2 2 2 3 4" xfId="31425" xr:uid="{ED64149D-62F8-4511-BC44-21DB9C1B9399}"/>
    <cellStyle name="Normal 5 2 2 3 2 2 2 4" xfId="9563" xr:uid="{804E641C-B5FA-46A3-B805-C1D4AF390C28}"/>
    <cellStyle name="Normal 5 2 2 3 2 2 2 4 2" xfId="18761" xr:uid="{4A60D712-AE1D-4154-96C6-F2A5C01CA5F7}"/>
    <cellStyle name="Normal 5 2 2 3 2 2 2 4 3" xfId="35655" xr:uid="{588B38F0-60ED-41C1-9DD1-C3FC71A5415D}"/>
    <cellStyle name="Normal 5 2 2 3 2 2 2 5" xfId="10314" xr:uid="{E2270A30-7AA2-4398-B56C-61731163794C}"/>
    <cellStyle name="Normal 5 2 2 3 2 2 2 6" xfId="27208" xr:uid="{92D493B9-1510-41E0-9981-DB45ADAB450C}"/>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2 2 2" xfId="25536" xr:uid="{546E8F7D-69C0-40C8-9C5B-F36256606CE5}"/>
    <cellStyle name="Normal 5 2 2 3 2 2 3 2 2 2 2" xfId="42430" xr:uid="{83EBBA8E-047B-4F4C-A81B-6A9F8B9A2352}"/>
    <cellStyle name="Normal 5 2 2 3 2 2 3 2 2 3" xfId="17089" xr:uid="{89C6337D-5124-4905-B4DF-F847C3E3A064}"/>
    <cellStyle name="Normal 5 2 2 3 2 2 3 2 2 4" xfId="33983" xr:uid="{27E5DA5A-C2FB-467F-81D1-BC893B95A267}"/>
    <cellStyle name="Normal 5 2 2 3 2 2 3 2 3" xfId="21319" xr:uid="{C13CBCDE-B042-44DC-BF05-916125F5867F}"/>
    <cellStyle name="Normal 5 2 2 3 2 2 3 2 3 2" xfId="38213" xr:uid="{BFB5E0F5-1AB8-4505-8F97-C3D0EB73701E}"/>
    <cellStyle name="Normal 5 2 2 3 2 2 3 2 4" xfId="12872" xr:uid="{A08D6625-DC3F-4940-A001-24EB9FCAD92D}"/>
    <cellStyle name="Normal 5 2 2 3 2 2 3 2 5" xfId="29766" xr:uid="{2308F9A6-3E3A-4266-9A83-92926D3E4A53}"/>
    <cellStyle name="Normal 5 2 2 3 2 2 3 3" xfId="5618" xr:uid="{00000000-0005-0000-0000-0000A0170000}"/>
    <cellStyle name="Normal 5 2 2 3 2 2 3 3 2" xfId="23391" xr:uid="{84B3BF45-0495-477D-9501-7B7ED25A3FF4}"/>
    <cellStyle name="Normal 5 2 2 3 2 2 3 3 2 2" xfId="40285" xr:uid="{C2D8BCBB-5393-4ECC-8577-0B527886674C}"/>
    <cellStyle name="Normal 5 2 2 3 2 2 3 3 3" xfId="14944" xr:uid="{37F3D1A1-6438-4484-94AA-9F141833BC84}"/>
    <cellStyle name="Normal 5 2 2 3 2 2 3 3 4" xfId="31838" xr:uid="{50943732-B182-4DFD-A951-1D36667F20F4}"/>
    <cellStyle name="Normal 5 2 2 3 2 2 3 4" xfId="19174" xr:uid="{B898C5A3-C1E9-477C-BAFC-47F8E3C01392}"/>
    <cellStyle name="Normal 5 2 2 3 2 2 3 4 2" xfId="36068" xr:uid="{8AC936A3-B5A2-4DD5-9F34-E5F4353B1E09}"/>
    <cellStyle name="Normal 5 2 2 3 2 2 3 5" xfId="10727" xr:uid="{7AC9E74D-FC55-4590-BCF8-666328255B59}"/>
    <cellStyle name="Normal 5 2 2 3 2 2 3 6" xfId="27621" xr:uid="{053E36D8-ED17-4B9F-8BB7-063AF14F3D39}"/>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2 2 2" xfId="25949" xr:uid="{49A36CD2-F66B-4A22-8C45-9A0E1F6F35A6}"/>
    <cellStyle name="Normal 5 2 2 3 2 2 4 2 2 2 2" xfId="42843" xr:uid="{E5462E1D-DED7-4192-B775-93485C629231}"/>
    <cellStyle name="Normal 5 2 2 3 2 2 4 2 2 3" xfId="17502" xr:uid="{93EF52DA-8834-4640-9C9A-49D42E8F3755}"/>
    <cellStyle name="Normal 5 2 2 3 2 2 4 2 2 4" xfId="34396" xr:uid="{F13FADD6-CE1D-47D1-94A0-B5B1866FE020}"/>
    <cellStyle name="Normal 5 2 2 3 2 2 4 2 3" xfId="21732" xr:uid="{4B277F69-1D51-4F18-B951-9997CACD32FC}"/>
    <cellStyle name="Normal 5 2 2 3 2 2 4 2 3 2" xfId="38626" xr:uid="{9627A82A-AFAA-41FE-97B9-5AB6283444DA}"/>
    <cellStyle name="Normal 5 2 2 3 2 2 4 2 4" xfId="13285" xr:uid="{B713E811-AE4A-4644-9601-5E8DD4767D2C}"/>
    <cellStyle name="Normal 5 2 2 3 2 2 4 2 5" xfId="30179" xr:uid="{A74DE387-83F5-491D-AC41-C24E7A4696C6}"/>
    <cellStyle name="Normal 5 2 2 3 2 2 4 3" xfId="6031" xr:uid="{00000000-0005-0000-0000-0000A4170000}"/>
    <cellStyle name="Normal 5 2 2 3 2 2 4 3 2" xfId="23804" xr:uid="{6A2830DB-984B-4952-97A0-4B959E0E0F41}"/>
    <cellStyle name="Normal 5 2 2 3 2 2 4 3 2 2" xfId="40698" xr:uid="{B7E45FA8-66F0-44A7-A7E4-22666C21126D}"/>
    <cellStyle name="Normal 5 2 2 3 2 2 4 3 3" xfId="15357" xr:uid="{1D12D08E-84C5-438D-8669-9EBF73FDBF63}"/>
    <cellStyle name="Normal 5 2 2 3 2 2 4 3 4" xfId="32251" xr:uid="{DF5AA5B2-E8AC-4001-92BF-F56C92B49479}"/>
    <cellStyle name="Normal 5 2 2 3 2 2 4 4" xfId="19587" xr:uid="{F0FE1AE1-1124-4C69-B815-B927B79AFFBD}"/>
    <cellStyle name="Normal 5 2 2 3 2 2 4 4 2" xfId="36481" xr:uid="{EEC3F3D8-C48B-42CB-99EA-ADA6DA0DAE14}"/>
    <cellStyle name="Normal 5 2 2 3 2 2 4 5" xfId="11140" xr:uid="{10DDF45A-CE49-4EDB-9C47-A7FB22FB884C}"/>
    <cellStyle name="Normal 5 2 2 3 2 2 4 6" xfId="28034" xr:uid="{C6A95E20-02A4-4149-8953-25B30F25054A}"/>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2 2 2" xfId="26362" xr:uid="{AD515B4A-0029-49EB-ADB8-96B22490D2FE}"/>
    <cellStyle name="Normal 5 2 2 3 2 2 5 2 2 2 2" xfId="43256" xr:uid="{07EC21F0-4940-4050-B248-FA345A06CFB1}"/>
    <cellStyle name="Normal 5 2 2 3 2 2 5 2 2 3" xfId="17915" xr:uid="{FCEE5DBC-48B4-47DE-95C2-2C018834ACAA}"/>
    <cellStyle name="Normal 5 2 2 3 2 2 5 2 2 4" xfId="34809" xr:uid="{785C9426-003B-458F-AF5A-05AF442E4610}"/>
    <cellStyle name="Normal 5 2 2 3 2 2 5 2 3" xfId="22145" xr:uid="{9B3D84AA-FF1E-4202-B578-5BAD184E146F}"/>
    <cellStyle name="Normal 5 2 2 3 2 2 5 2 3 2" xfId="39039" xr:uid="{9B89F7F0-3EBC-4164-BD4C-3468A0B3A2A3}"/>
    <cellStyle name="Normal 5 2 2 3 2 2 5 2 4" xfId="13698" xr:uid="{5F503E67-C2C2-4012-8DD2-3FDF5929780A}"/>
    <cellStyle name="Normal 5 2 2 3 2 2 5 2 5" xfId="30592" xr:uid="{632D3F4F-B114-4C57-AEE7-B9A226795718}"/>
    <cellStyle name="Normal 5 2 2 3 2 2 5 3" xfId="6444" xr:uid="{00000000-0005-0000-0000-0000A8170000}"/>
    <cellStyle name="Normal 5 2 2 3 2 2 5 3 2" xfId="24217" xr:uid="{7252A2C1-58AD-4D82-823E-48636BF6FF03}"/>
    <cellStyle name="Normal 5 2 2 3 2 2 5 3 2 2" xfId="41111" xr:uid="{BD9ACBD0-E578-4A36-8D62-6E65739357BD}"/>
    <cellStyle name="Normal 5 2 2 3 2 2 5 3 3" xfId="15770" xr:uid="{B0D778D5-BCB7-4386-A4FD-A099FA544A23}"/>
    <cellStyle name="Normal 5 2 2 3 2 2 5 3 4" xfId="32664" xr:uid="{07C85F65-750E-452E-93F5-CB19FEC2ED7F}"/>
    <cellStyle name="Normal 5 2 2 3 2 2 5 4" xfId="20000" xr:uid="{D7FFC193-84D4-4FB2-B8F5-63D512DD892D}"/>
    <cellStyle name="Normal 5 2 2 3 2 2 5 4 2" xfId="36894" xr:uid="{E7F9D919-09BE-4183-8334-64C7FE310712}"/>
    <cellStyle name="Normal 5 2 2 3 2 2 5 5" xfId="11553" xr:uid="{CC6C2EE2-3CAE-4C82-8174-5354C543D41E}"/>
    <cellStyle name="Normal 5 2 2 3 2 2 5 6" xfId="28447" xr:uid="{957C6542-AF4C-420B-BE18-688E42D1E5DA}"/>
    <cellStyle name="Normal 5 2 2 3 2 2 6" xfId="2574" xr:uid="{00000000-0005-0000-0000-0000A9170000}"/>
    <cellStyle name="Normal 5 2 2 3 2 2 6 2" xfId="6857" xr:uid="{00000000-0005-0000-0000-0000AA170000}"/>
    <cellStyle name="Normal 5 2 2 3 2 2 6 2 2" xfId="24630" xr:uid="{C6E88C5B-EC1D-40C4-947F-8BCF60EBE6B9}"/>
    <cellStyle name="Normal 5 2 2 3 2 2 6 2 2 2" xfId="41524" xr:uid="{CC09359A-7BD0-4B05-82AA-22FC94FDC663}"/>
    <cellStyle name="Normal 5 2 2 3 2 2 6 2 3" xfId="16183" xr:uid="{DAF37607-A765-4374-BF87-6977841D7E3C}"/>
    <cellStyle name="Normal 5 2 2 3 2 2 6 2 4" xfId="33077" xr:uid="{3DF19B1B-5611-4E70-BF19-44B84EDC9221}"/>
    <cellStyle name="Normal 5 2 2 3 2 2 6 3" xfId="20413" xr:uid="{9A2C835E-B84F-483F-8639-CB798B05B21B}"/>
    <cellStyle name="Normal 5 2 2 3 2 2 6 3 2" xfId="37307" xr:uid="{46A5BF7B-634F-45B7-BA15-7D70065B25BA}"/>
    <cellStyle name="Normal 5 2 2 3 2 2 6 4" xfId="11966" xr:uid="{035AF816-CD44-4FF8-A00F-8B5D69EFBA6A}"/>
    <cellStyle name="Normal 5 2 2 3 2 2 6 5" xfId="28860" xr:uid="{B568E60D-70EF-4847-B3F3-4885CF3DBAD6}"/>
    <cellStyle name="Normal 5 2 2 3 2 2 7" xfId="4792" xr:uid="{00000000-0005-0000-0000-0000AB170000}"/>
    <cellStyle name="Normal 5 2 2 3 2 2 7 2" xfId="22565" xr:uid="{CEBD6055-4661-4B13-9E62-EFCEF18E2805}"/>
    <cellStyle name="Normal 5 2 2 3 2 2 7 2 2" xfId="39459" xr:uid="{533369F9-296F-4A04-A898-8232682C2737}"/>
    <cellStyle name="Normal 5 2 2 3 2 2 7 3" xfId="14118" xr:uid="{47289149-450B-405E-A912-27A1CC5AE027}"/>
    <cellStyle name="Normal 5 2 2 3 2 2 7 4" xfId="31012" xr:uid="{73FA2CB2-4542-4585-9FF1-9F13E00F36C1}"/>
    <cellStyle name="Normal 5 2 2 3 2 2 8" xfId="9138" xr:uid="{BE73D583-3CAB-48A9-8A6F-E88EE69D1D1D}"/>
    <cellStyle name="Normal 5 2 2 3 2 2 8 2" xfId="18348" xr:uid="{7BB74E14-5AEE-43CA-8804-6469D6611230}"/>
    <cellStyle name="Normal 5 2 2 3 2 2 8 3" xfId="35242" xr:uid="{13677FA7-8D14-465C-A6C4-016F7FE0364F}"/>
    <cellStyle name="Normal 5 2 2 3 2 2 9" xfId="9901" xr:uid="{0F051D65-B3A4-4239-BE62-CAD00A499E2E}"/>
    <cellStyle name="Normal 5 2 2 3 2 3" xfId="892" xr:uid="{00000000-0005-0000-0000-0000AC170000}"/>
    <cellStyle name="Normal 5 2 2 3 2 3 2" xfId="3127" xr:uid="{00000000-0005-0000-0000-0000AD170000}"/>
    <cellStyle name="Normal 5 2 2 3 2 3 2 2" xfId="7349" xr:uid="{00000000-0005-0000-0000-0000AE170000}"/>
    <cellStyle name="Normal 5 2 2 3 2 3 2 2 2" xfId="25122" xr:uid="{DBDDDDED-5B71-4072-AA6E-2304750254AD}"/>
    <cellStyle name="Normal 5 2 2 3 2 3 2 2 2 2" xfId="42016" xr:uid="{79BDFE06-7A10-42CC-B91B-52FB488616CE}"/>
    <cellStyle name="Normal 5 2 2 3 2 3 2 2 3" xfId="16675" xr:uid="{B7B1D039-E119-4F7B-AB42-EDA86CCE7ABD}"/>
    <cellStyle name="Normal 5 2 2 3 2 3 2 2 4" xfId="33569" xr:uid="{4AE479F8-CD13-4558-BC9A-F3F12DDF76B5}"/>
    <cellStyle name="Normal 5 2 2 3 2 3 2 3" xfId="20905" xr:uid="{6C8B19BA-88AC-4AEE-ADC5-668B3CC30827}"/>
    <cellStyle name="Normal 5 2 2 3 2 3 2 3 2" xfId="37799" xr:uid="{31BC4745-B3F7-432D-80AA-1D61E1395F26}"/>
    <cellStyle name="Normal 5 2 2 3 2 3 2 4" xfId="12458" xr:uid="{47EFE514-F083-410D-9D07-7EEAB7749FFF}"/>
    <cellStyle name="Normal 5 2 2 3 2 3 2 5" xfId="29352" xr:uid="{FDF4ABF1-4DBC-4F6F-AF49-D84DA905368C}"/>
    <cellStyle name="Normal 5 2 2 3 2 3 3" xfId="5204" xr:uid="{00000000-0005-0000-0000-0000AF170000}"/>
    <cellStyle name="Normal 5 2 2 3 2 3 3 2" xfId="22977" xr:uid="{90F825D6-502C-44D7-ACCE-A07D23D0CAA0}"/>
    <cellStyle name="Normal 5 2 2 3 2 3 3 2 2" xfId="39871" xr:uid="{659A0803-3D61-4F7E-A0BA-7C9A35891184}"/>
    <cellStyle name="Normal 5 2 2 3 2 3 3 3" xfId="14530" xr:uid="{2B4C4575-69B5-4470-8E99-2BE146FDF7AD}"/>
    <cellStyle name="Normal 5 2 2 3 2 3 3 4" xfId="31424" xr:uid="{72E98699-DE4E-44C3-990D-C311F1E28275}"/>
    <cellStyle name="Normal 5 2 2 3 2 3 4" xfId="9356" xr:uid="{58BAA3B3-A7A2-4F6F-9929-D8BE9F0A557D}"/>
    <cellStyle name="Normal 5 2 2 3 2 3 4 2" xfId="18760" xr:uid="{FD30285E-5C52-4F26-A08A-834065F4EEAE}"/>
    <cellStyle name="Normal 5 2 2 3 2 3 4 3" xfId="35654" xr:uid="{13F6B95B-8399-4F2E-8349-8BC2239FA672}"/>
    <cellStyle name="Normal 5 2 2 3 2 3 5" xfId="10313" xr:uid="{12FD1F7A-3A2E-44B7-BC5A-133D3E380196}"/>
    <cellStyle name="Normal 5 2 2 3 2 3 6" xfId="27207" xr:uid="{9FE734A9-430A-49BC-8B3F-82810AF090F2}"/>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2 2 2" xfId="25535" xr:uid="{4EF8AFC7-96EE-4ED1-8232-1ACC8D5135A7}"/>
    <cellStyle name="Normal 5 2 2 3 2 4 2 2 2 2" xfId="42429" xr:uid="{9DEA1083-5D1F-4B74-B5C5-B1955F9FE134}"/>
    <cellStyle name="Normal 5 2 2 3 2 4 2 2 3" xfId="17088" xr:uid="{DC095E26-D43E-41A3-9C8D-035F2B9F3FA3}"/>
    <cellStyle name="Normal 5 2 2 3 2 4 2 2 4" xfId="33982" xr:uid="{3CE6D0C1-90B9-4898-A6D6-18D9772ABD29}"/>
    <cellStyle name="Normal 5 2 2 3 2 4 2 3" xfId="21318" xr:uid="{11B62180-5C9D-4380-822D-205815280642}"/>
    <cellStyle name="Normal 5 2 2 3 2 4 2 3 2" xfId="38212" xr:uid="{13A37465-4C70-410B-A613-82F1417D235D}"/>
    <cellStyle name="Normal 5 2 2 3 2 4 2 4" xfId="12871" xr:uid="{AA3013B7-A0D1-4FF4-8E4C-11CA6BC46DC7}"/>
    <cellStyle name="Normal 5 2 2 3 2 4 2 5" xfId="29765" xr:uid="{AB191C20-1E80-491D-8484-2BC28EC16FAE}"/>
    <cellStyle name="Normal 5 2 2 3 2 4 3" xfId="5617" xr:uid="{00000000-0005-0000-0000-0000B3170000}"/>
    <cellStyle name="Normal 5 2 2 3 2 4 3 2" xfId="23390" xr:uid="{6EDA8DAD-D035-4ADB-8F5A-C2BEBE613732}"/>
    <cellStyle name="Normal 5 2 2 3 2 4 3 2 2" xfId="40284" xr:uid="{0726E23F-E523-4889-AADD-ECE8E025364D}"/>
    <cellStyle name="Normal 5 2 2 3 2 4 3 3" xfId="14943" xr:uid="{EEF810EC-9AB1-47C5-8D3F-E17FCBA87DE6}"/>
    <cellStyle name="Normal 5 2 2 3 2 4 3 4" xfId="31837" xr:uid="{DFA5C7A5-DE92-4658-B623-57177AD7B53D}"/>
    <cellStyle name="Normal 5 2 2 3 2 4 4" xfId="19173" xr:uid="{6F04398B-7DBB-47F0-9EC5-93D2872D406E}"/>
    <cellStyle name="Normal 5 2 2 3 2 4 4 2" xfId="36067" xr:uid="{EC027D95-098C-4DBB-B489-FCC2A09507F2}"/>
    <cellStyle name="Normal 5 2 2 3 2 4 5" xfId="10726" xr:uid="{69AF8D10-E7D6-4518-B439-5B13AD4F19FA}"/>
    <cellStyle name="Normal 5 2 2 3 2 4 6" xfId="27620" xr:uid="{C24545D5-4387-43E5-926C-EF0459D90401}"/>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2 2 2" xfId="25948" xr:uid="{271C1406-0CBE-45F6-A6AE-375D16BCBD82}"/>
    <cellStyle name="Normal 5 2 2 3 2 5 2 2 2 2" xfId="42842" xr:uid="{77BC6B10-36C6-4D73-80CC-2919AA7BB683}"/>
    <cellStyle name="Normal 5 2 2 3 2 5 2 2 3" xfId="17501" xr:uid="{101AAE47-2C01-4339-9403-6A6C17E73199}"/>
    <cellStyle name="Normal 5 2 2 3 2 5 2 2 4" xfId="34395" xr:uid="{4016A2EA-4933-4BC6-899E-E83941A82659}"/>
    <cellStyle name="Normal 5 2 2 3 2 5 2 3" xfId="21731" xr:uid="{5BE43602-53B1-4DEA-9BC5-563053DF4F89}"/>
    <cellStyle name="Normal 5 2 2 3 2 5 2 3 2" xfId="38625" xr:uid="{10054CCE-B7BB-4F38-85CF-578400DA34AB}"/>
    <cellStyle name="Normal 5 2 2 3 2 5 2 4" xfId="13284" xr:uid="{7AD77D7F-1EAF-4895-B03C-719849224460}"/>
    <cellStyle name="Normal 5 2 2 3 2 5 2 5" xfId="30178" xr:uid="{72C47E12-FEF2-448F-A5DE-0E1CCB236D67}"/>
    <cellStyle name="Normal 5 2 2 3 2 5 3" xfId="6030" xr:uid="{00000000-0005-0000-0000-0000B7170000}"/>
    <cellStyle name="Normal 5 2 2 3 2 5 3 2" xfId="23803" xr:uid="{631BD0EE-8EC6-4E73-AE0E-2F5B2C392C3C}"/>
    <cellStyle name="Normal 5 2 2 3 2 5 3 2 2" xfId="40697" xr:uid="{3C639506-0B9E-4D87-8E9A-9726BC081071}"/>
    <cellStyle name="Normal 5 2 2 3 2 5 3 3" xfId="15356" xr:uid="{A1E64691-1EBA-402D-B0CA-FFEDC1FAB822}"/>
    <cellStyle name="Normal 5 2 2 3 2 5 3 4" xfId="32250" xr:uid="{CFE22E36-6B0E-4848-90E6-A8C96DBA4514}"/>
    <cellStyle name="Normal 5 2 2 3 2 5 4" xfId="19586" xr:uid="{E715AD82-D303-403B-B387-CFAA5F9F1E34}"/>
    <cellStyle name="Normal 5 2 2 3 2 5 4 2" xfId="36480" xr:uid="{8ACF22C6-8418-4F97-A647-6A4F82EDB408}"/>
    <cellStyle name="Normal 5 2 2 3 2 5 5" xfId="11139" xr:uid="{D3CF6135-B3F9-47C2-89F0-6C6B719041CE}"/>
    <cellStyle name="Normal 5 2 2 3 2 5 6" xfId="28033" xr:uid="{6F062F40-B18D-4ECE-A19A-15099A67DBE7}"/>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2 2 2" xfId="26361" xr:uid="{89EEFC47-51D2-4BDD-A043-6F0E74F9EDEF}"/>
    <cellStyle name="Normal 5 2 2 3 2 6 2 2 2 2" xfId="43255" xr:uid="{20B173CD-CE87-4DB4-AA54-FA5CEB03DADD}"/>
    <cellStyle name="Normal 5 2 2 3 2 6 2 2 3" xfId="17914" xr:uid="{FC9C8918-1F2E-4C07-A650-567412A173E7}"/>
    <cellStyle name="Normal 5 2 2 3 2 6 2 2 4" xfId="34808" xr:uid="{774BF60C-1C04-4802-AB85-022C96DACE45}"/>
    <cellStyle name="Normal 5 2 2 3 2 6 2 3" xfId="22144" xr:uid="{51B0DADD-EE43-4C2C-932F-4FEA603BEF2C}"/>
    <cellStyle name="Normal 5 2 2 3 2 6 2 3 2" xfId="39038" xr:uid="{8010AAA3-01A8-4E07-B670-297F069B70F8}"/>
    <cellStyle name="Normal 5 2 2 3 2 6 2 4" xfId="13697" xr:uid="{0EB1D946-33EB-4A6F-AA9D-B3E26D6AE1C2}"/>
    <cellStyle name="Normal 5 2 2 3 2 6 2 5" xfId="30591" xr:uid="{954C07D1-6C81-445F-AAD6-DC800C58EB9B}"/>
    <cellStyle name="Normal 5 2 2 3 2 6 3" xfId="6443" xr:uid="{00000000-0005-0000-0000-0000BB170000}"/>
    <cellStyle name="Normal 5 2 2 3 2 6 3 2" xfId="24216" xr:uid="{3981D4EE-098E-4214-B84B-7A251EF0F2B0}"/>
    <cellStyle name="Normal 5 2 2 3 2 6 3 2 2" xfId="41110" xr:uid="{77B47107-AF0C-4850-879D-43E2620F99BF}"/>
    <cellStyle name="Normal 5 2 2 3 2 6 3 3" xfId="15769" xr:uid="{FD503793-35CB-4D83-8341-E532487CF3A6}"/>
    <cellStyle name="Normal 5 2 2 3 2 6 3 4" xfId="32663" xr:uid="{BB4AB80C-CAC2-4140-9DD9-6F61B785A3C2}"/>
    <cellStyle name="Normal 5 2 2 3 2 6 4" xfId="19999" xr:uid="{6D69FC7B-AE79-4AAA-949E-4C6357ADE93F}"/>
    <cellStyle name="Normal 5 2 2 3 2 6 4 2" xfId="36893" xr:uid="{56706795-83F2-44DC-97F7-B8184012485C}"/>
    <cellStyle name="Normal 5 2 2 3 2 6 5" xfId="11552" xr:uid="{19A769FC-CB47-4C61-829D-857A2D1014CD}"/>
    <cellStyle name="Normal 5 2 2 3 2 6 6" xfId="28446" xr:uid="{89D4935B-C9B9-435F-9C81-8499850F8988}"/>
    <cellStyle name="Normal 5 2 2 3 2 7" xfId="2573" xr:uid="{00000000-0005-0000-0000-0000BC170000}"/>
    <cellStyle name="Normal 5 2 2 3 2 7 2" xfId="6856" xr:uid="{00000000-0005-0000-0000-0000BD170000}"/>
    <cellStyle name="Normal 5 2 2 3 2 7 2 2" xfId="24629" xr:uid="{D2A1A9B2-C605-43B3-83AB-D9D1FD8F9537}"/>
    <cellStyle name="Normal 5 2 2 3 2 7 2 2 2" xfId="41523" xr:uid="{C3354E47-91CA-46B7-A330-26E0A84E7B30}"/>
    <cellStyle name="Normal 5 2 2 3 2 7 2 3" xfId="16182" xr:uid="{07BC787C-9E50-4F82-9709-C18E1E27262D}"/>
    <cellStyle name="Normal 5 2 2 3 2 7 2 4" xfId="33076" xr:uid="{3DEFFFBC-2776-44E7-91C1-10FB8883ED66}"/>
    <cellStyle name="Normal 5 2 2 3 2 7 3" xfId="20412" xr:uid="{EE41E7DA-770D-4B37-A6D2-D23941F47833}"/>
    <cellStyle name="Normal 5 2 2 3 2 7 3 2" xfId="37306" xr:uid="{CAB776D7-B957-458E-A467-ADE309EF378D}"/>
    <cellStyle name="Normal 5 2 2 3 2 7 4" xfId="11965" xr:uid="{027DBC9D-FE45-4ECC-97DE-1B554FE4B724}"/>
    <cellStyle name="Normal 5 2 2 3 2 7 5" xfId="28859" xr:uid="{27CD6FFD-6D70-499D-B656-952EE7226776}"/>
    <cellStyle name="Normal 5 2 2 3 2 8" xfId="4791" xr:uid="{00000000-0005-0000-0000-0000BE170000}"/>
    <cellStyle name="Normal 5 2 2 3 2 8 2" xfId="22564" xr:uid="{F1FCA1CE-7F4C-4FD9-9AC7-F44767B6C6E9}"/>
    <cellStyle name="Normal 5 2 2 3 2 8 2 2" xfId="39458" xr:uid="{FEF8ED1D-AC2D-4C33-AD1B-F8D7D65EC18C}"/>
    <cellStyle name="Normal 5 2 2 3 2 8 3" xfId="14117" xr:uid="{04A97552-B852-460B-9DFB-C0020EE53F5A}"/>
    <cellStyle name="Normal 5 2 2 3 2 8 4" xfId="31011" xr:uid="{D36BA1C7-4BD6-49A3-9754-50A90CD8E6E0}"/>
    <cellStyle name="Normal 5 2 2 3 2 9" xfId="8931" xr:uid="{E27E09D3-2564-4B82-8EA4-A27330B6B436}"/>
    <cellStyle name="Normal 5 2 2 3 2 9 2" xfId="18347" xr:uid="{345AAF26-B53C-4E4D-ADF3-0887B89EF21C}"/>
    <cellStyle name="Normal 5 2 2 3 2 9 3" xfId="35241" xr:uid="{48B083F0-3090-4458-99E0-7CFCCA7ED30D}"/>
    <cellStyle name="Normal 5 2 2 3 3" xfId="420" xr:uid="{00000000-0005-0000-0000-0000BF170000}"/>
    <cellStyle name="Normal 5 2 2 3 3 10" xfId="26796" xr:uid="{48E1F906-8C7F-4B7B-9AF4-8DF840184D94}"/>
    <cellStyle name="Normal 5 2 2 3 3 2" xfId="894" xr:uid="{00000000-0005-0000-0000-0000C0170000}"/>
    <cellStyle name="Normal 5 2 2 3 3 2 2" xfId="3129" xr:uid="{00000000-0005-0000-0000-0000C1170000}"/>
    <cellStyle name="Normal 5 2 2 3 3 2 2 2" xfId="7351" xr:uid="{00000000-0005-0000-0000-0000C2170000}"/>
    <cellStyle name="Normal 5 2 2 3 3 2 2 2 2" xfId="25124" xr:uid="{B5177D2F-77C5-4AA9-A645-8E4789B3AA48}"/>
    <cellStyle name="Normal 5 2 2 3 3 2 2 2 2 2" xfId="42018" xr:uid="{6DBF4F5F-D071-4BAE-853D-99B437E39D0E}"/>
    <cellStyle name="Normal 5 2 2 3 3 2 2 2 3" xfId="16677" xr:uid="{B1BBB65B-8345-48A3-9515-66E9DF306BD3}"/>
    <cellStyle name="Normal 5 2 2 3 3 2 2 2 4" xfId="33571" xr:uid="{77377BBC-6794-4AE9-81BA-439D0F11B8BF}"/>
    <cellStyle name="Normal 5 2 2 3 3 2 2 3" xfId="20907" xr:uid="{2BA565CE-6399-4993-9AA6-8F39EF79789F}"/>
    <cellStyle name="Normal 5 2 2 3 3 2 2 3 2" xfId="37801" xr:uid="{5B6D9F76-461D-4F9C-BF3D-4F565A40858E}"/>
    <cellStyle name="Normal 5 2 2 3 3 2 2 4" xfId="12460" xr:uid="{84870A0D-A868-40C9-83A3-FB4F7DDD8168}"/>
    <cellStyle name="Normal 5 2 2 3 3 2 2 5" xfId="29354" xr:uid="{392ECDB5-A6A7-4E19-813E-3E1080D7DBAC}"/>
    <cellStyle name="Normal 5 2 2 3 3 2 3" xfId="5206" xr:uid="{00000000-0005-0000-0000-0000C3170000}"/>
    <cellStyle name="Normal 5 2 2 3 3 2 3 2" xfId="22979" xr:uid="{2D7312E9-FE86-43BD-AD3E-5F403C5FC615}"/>
    <cellStyle name="Normal 5 2 2 3 3 2 3 2 2" xfId="39873" xr:uid="{0AAA952E-8949-4952-831D-BA9AE6B5D533}"/>
    <cellStyle name="Normal 5 2 2 3 3 2 3 3" xfId="14532" xr:uid="{DAE1BEDE-CF37-4304-A4F2-134F02D6623A}"/>
    <cellStyle name="Normal 5 2 2 3 3 2 3 4" xfId="31426" xr:uid="{F4F1CF72-F547-4B1D-8E16-078B5E9D8641}"/>
    <cellStyle name="Normal 5 2 2 3 3 2 4" xfId="9460" xr:uid="{423E0BE9-24F3-4EF0-8962-2565594BF831}"/>
    <cellStyle name="Normal 5 2 2 3 3 2 4 2" xfId="18762" xr:uid="{08DEB326-B14A-4D37-B519-A374A4F7B360}"/>
    <cellStyle name="Normal 5 2 2 3 3 2 4 3" xfId="35656" xr:uid="{AE66BFE9-B18D-4431-9069-D73DF21ADF1D}"/>
    <cellStyle name="Normal 5 2 2 3 3 2 5" xfId="10315" xr:uid="{EC8B4560-6325-4C48-B4CB-4B5B4A2414E5}"/>
    <cellStyle name="Normal 5 2 2 3 3 2 6" xfId="27209" xr:uid="{4D4D50C3-889C-4D6F-BAC6-4DDBAFFBCC5D}"/>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2 2 2" xfId="25537" xr:uid="{3BCE99A7-5716-48EF-B62C-134432F7E6D4}"/>
    <cellStyle name="Normal 5 2 2 3 3 3 2 2 2 2" xfId="42431" xr:uid="{7B56DEA5-A55C-47E3-A62D-DA26274E47A8}"/>
    <cellStyle name="Normal 5 2 2 3 3 3 2 2 3" xfId="17090" xr:uid="{54701370-080E-40D8-A3DA-7B8062AAFD3B}"/>
    <cellStyle name="Normal 5 2 2 3 3 3 2 2 4" xfId="33984" xr:uid="{EDD6F2F8-FE39-48BB-B758-460B059B6301}"/>
    <cellStyle name="Normal 5 2 2 3 3 3 2 3" xfId="21320" xr:uid="{7C33222D-6E9C-4A18-AC4F-5D2C35EF8DEE}"/>
    <cellStyle name="Normal 5 2 2 3 3 3 2 3 2" xfId="38214" xr:uid="{FE0866F0-AE3D-43B6-8A13-10C39220705E}"/>
    <cellStyle name="Normal 5 2 2 3 3 3 2 4" xfId="12873" xr:uid="{A7CB5B80-DF00-4473-A400-D70559731BC4}"/>
    <cellStyle name="Normal 5 2 2 3 3 3 2 5" xfId="29767" xr:uid="{F19F5BBE-0139-45C8-97EF-A8FF76081D0C}"/>
    <cellStyle name="Normal 5 2 2 3 3 3 3" xfId="5619" xr:uid="{00000000-0005-0000-0000-0000C7170000}"/>
    <cellStyle name="Normal 5 2 2 3 3 3 3 2" xfId="23392" xr:uid="{6E22D905-09A2-45FD-804A-F82A59FDEDF3}"/>
    <cellStyle name="Normal 5 2 2 3 3 3 3 2 2" xfId="40286" xr:uid="{3493043C-5D55-4668-8D82-103350FED207}"/>
    <cellStyle name="Normal 5 2 2 3 3 3 3 3" xfId="14945" xr:uid="{7CA40F90-AE96-4CE9-916E-1BC6BA585EE0}"/>
    <cellStyle name="Normal 5 2 2 3 3 3 3 4" xfId="31839" xr:uid="{12916D0A-2C7D-4FA1-8096-B5AFFD765BB7}"/>
    <cellStyle name="Normal 5 2 2 3 3 3 4" xfId="19175" xr:uid="{EC582E9B-0934-49D3-94F3-C861F121DFF1}"/>
    <cellStyle name="Normal 5 2 2 3 3 3 4 2" xfId="36069" xr:uid="{1B2E47F4-1C90-4D1D-AC01-50420098CB81}"/>
    <cellStyle name="Normal 5 2 2 3 3 3 5" xfId="10728" xr:uid="{A503EEC6-5DC4-400E-9844-C7C63D5BA7B2}"/>
    <cellStyle name="Normal 5 2 2 3 3 3 6" xfId="27622" xr:uid="{725A1A50-070D-4407-9EE2-70475B5256F1}"/>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2 2 2" xfId="25950" xr:uid="{DBC283B0-0C87-4874-A420-DC29647AEFC2}"/>
    <cellStyle name="Normal 5 2 2 3 3 4 2 2 2 2" xfId="42844" xr:uid="{33D2B473-1C42-4B65-B321-B37E053380CA}"/>
    <cellStyle name="Normal 5 2 2 3 3 4 2 2 3" xfId="17503" xr:uid="{8BEB810E-CA2B-45C0-B431-C2B51979BB59}"/>
    <cellStyle name="Normal 5 2 2 3 3 4 2 2 4" xfId="34397" xr:uid="{2B9CE9A1-3E5E-4E31-9C05-C93271ECA005}"/>
    <cellStyle name="Normal 5 2 2 3 3 4 2 3" xfId="21733" xr:uid="{48F0C240-D75C-4C51-BA3C-A6CCD2078DFC}"/>
    <cellStyle name="Normal 5 2 2 3 3 4 2 3 2" xfId="38627" xr:uid="{71484526-1C47-4989-8D38-F3092723A5A3}"/>
    <cellStyle name="Normal 5 2 2 3 3 4 2 4" xfId="13286" xr:uid="{FFB87EB2-F9AD-48F1-96C7-D60A765B5028}"/>
    <cellStyle name="Normal 5 2 2 3 3 4 2 5" xfId="30180" xr:uid="{BFDC3947-5DAC-4A04-8E6E-CCFECD0EA3DE}"/>
    <cellStyle name="Normal 5 2 2 3 3 4 3" xfId="6032" xr:uid="{00000000-0005-0000-0000-0000CB170000}"/>
    <cellStyle name="Normal 5 2 2 3 3 4 3 2" xfId="23805" xr:uid="{62DFCC8D-A529-43C3-87BC-0353E9E4201E}"/>
    <cellStyle name="Normal 5 2 2 3 3 4 3 2 2" xfId="40699" xr:uid="{B91B7167-94F1-404F-BEE2-90B87A512E00}"/>
    <cellStyle name="Normal 5 2 2 3 3 4 3 3" xfId="15358" xr:uid="{9E1D2610-2B94-4210-8F3E-37E0A5125766}"/>
    <cellStyle name="Normal 5 2 2 3 3 4 3 4" xfId="32252" xr:uid="{F0C93EC1-DE68-4ECB-A53E-43C386657C7D}"/>
    <cellStyle name="Normal 5 2 2 3 3 4 4" xfId="19588" xr:uid="{2EEA574F-29A0-450B-BCD7-141BCDC4962C}"/>
    <cellStyle name="Normal 5 2 2 3 3 4 4 2" xfId="36482" xr:uid="{2CDD0B23-2FD4-496E-B51D-FAA28BDA1261}"/>
    <cellStyle name="Normal 5 2 2 3 3 4 5" xfId="11141" xr:uid="{207B4E78-FBA6-46E7-800D-544D244E0927}"/>
    <cellStyle name="Normal 5 2 2 3 3 4 6" xfId="28035" xr:uid="{9486E491-C9AD-43A0-8B0F-36B0678A5437}"/>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2 2 2" xfId="26363" xr:uid="{074744AD-EE81-4B4A-8406-33794971399D}"/>
    <cellStyle name="Normal 5 2 2 3 3 5 2 2 2 2" xfId="43257" xr:uid="{8CC11098-09DC-4735-916F-C52070275B48}"/>
    <cellStyle name="Normal 5 2 2 3 3 5 2 2 3" xfId="17916" xr:uid="{6FEC45D9-638E-4A82-BF82-0F1B6773B3F9}"/>
    <cellStyle name="Normal 5 2 2 3 3 5 2 2 4" xfId="34810" xr:uid="{59C728AB-1D4A-4D44-A107-6C2F825D5602}"/>
    <cellStyle name="Normal 5 2 2 3 3 5 2 3" xfId="22146" xr:uid="{12CE6C46-2CD0-43CA-B666-175112BA9E90}"/>
    <cellStyle name="Normal 5 2 2 3 3 5 2 3 2" xfId="39040" xr:uid="{B6737F0A-5DBF-463F-85DE-D294F6B79EC1}"/>
    <cellStyle name="Normal 5 2 2 3 3 5 2 4" xfId="13699" xr:uid="{C1ACDC06-A9C5-4D8B-BECA-6F13C944DDF9}"/>
    <cellStyle name="Normal 5 2 2 3 3 5 2 5" xfId="30593" xr:uid="{C962FD86-C194-46F1-884C-95377868A036}"/>
    <cellStyle name="Normal 5 2 2 3 3 5 3" xfId="6445" xr:uid="{00000000-0005-0000-0000-0000CF170000}"/>
    <cellStyle name="Normal 5 2 2 3 3 5 3 2" xfId="24218" xr:uid="{B15A6B98-4BC8-402C-98BA-F384785AEE3D}"/>
    <cellStyle name="Normal 5 2 2 3 3 5 3 2 2" xfId="41112" xr:uid="{535FF5C6-FE75-4219-8180-10C10E07CDA8}"/>
    <cellStyle name="Normal 5 2 2 3 3 5 3 3" xfId="15771" xr:uid="{6AA13775-FE7E-4BBF-A464-F5ABCA687363}"/>
    <cellStyle name="Normal 5 2 2 3 3 5 3 4" xfId="32665" xr:uid="{236650A8-3845-4659-8E46-126725A81AC1}"/>
    <cellStyle name="Normal 5 2 2 3 3 5 4" xfId="20001" xr:uid="{DDB24D28-8D9E-402D-8718-07FC28BD1822}"/>
    <cellStyle name="Normal 5 2 2 3 3 5 4 2" xfId="36895" xr:uid="{FFDE92FB-91EF-47C6-A037-1D97E8BAC50A}"/>
    <cellStyle name="Normal 5 2 2 3 3 5 5" xfId="11554" xr:uid="{11541CB3-583B-45CD-9B25-333DBA8289B9}"/>
    <cellStyle name="Normal 5 2 2 3 3 5 6" xfId="28448" xr:uid="{69FCE1F6-F7E7-4E9B-BB3E-D3C8DEC0FB7C}"/>
    <cellStyle name="Normal 5 2 2 3 3 6" xfId="2575" xr:uid="{00000000-0005-0000-0000-0000D0170000}"/>
    <cellStyle name="Normal 5 2 2 3 3 6 2" xfId="6858" xr:uid="{00000000-0005-0000-0000-0000D1170000}"/>
    <cellStyle name="Normal 5 2 2 3 3 6 2 2" xfId="24631" xr:uid="{C8A1CE40-DB25-46AC-9F00-50C715411F4A}"/>
    <cellStyle name="Normal 5 2 2 3 3 6 2 2 2" xfId="41525" xr:uid="{925283FD-B257-4563-8973-2057FD376406}"/>
    <cellStyle name="Normal 5 2 2 3 3 6 2 3" xfId="16184" xr:uid="{DBA5B20F-2138-41A5-8F62-9723FB01F1FF}"/>
    <cellStyle name="Normal 5 2 2 3 3 6 2 4" xfId="33078" xr:uid="{BE54465C-D4F7-48A6-B11F-FB322D39D48B}"/>
    <cellStyle name="Normal 5 2 2 3 3 6 3" xfId="20414" xr:uid="{740196B6-3070-40E7-B830-9027AFC04838}"/>
    <cellStyle name="Normal 5 2 2 3 3 6 3 2" xfId="37308" xr:uid="{F3F88FA1-BE95-4E6D-A35A-99C5647510F1}"/>
    <cellStyle name="Normal 5 2 2 3 3 6 4" xfId="11967" xr:uid="{3B8B2BCB-0F59-4475-87C4-B8986C1E1761}"/>
    <cellStyle name="Normal 5 2 2 3 3 6 5" xfId="28861" xr:uid="{1B27A8D9-6E6F-4BBF-A8C7-A50DBCD2E14D}"/>
    <cellStyle name="Normal 5 2 2 3 3 7" xfId="4793" xr:uid="{00000000-0005-0000-0000-0000D2170000}"/>
    <cellStyle name="Normal 5 2 2 3 3 7 2" xfId="22566" xr:uid="{99831296-5838-4703-89A8-749E08A38406}"/>
    <cellStyle name="Normal 5 2 2 3 3 7 2 2" xfId="39460" xr:uid="{21254AAC-0F03-4816-B8C7-1561025E9A8A}"/>
    <cellStyle name="Normal 5 2 2 3 3 7 3" xfId="14119" xr:uid="{0458D0AA-5651-417F-9126-7971FC23AD65}"/>
    <cellStyle name="Normal 5 2 2 3 3 7 4" xfId="31013" xr:uid="{DEF91469-B424-430C-B74A-12B243ADE9CE}"/>
    <cellStyle name="Normal 5 2 2 3 3 8" xfId="9035" xr:uid="{6AC57173-16AF-4847-A277-E4254AACDA36}"/>
    <cellStyle name="Normal 5 2 2 3 3 8 2" xfId="18349" xr:uid="{56C6B087-6FE8-4ECD-AB21-CE050EA5E409}"/>
    <cellStyle name="Normal 5 2 2 3 3 8 3" xfId="35243" xr:uid="{7EA2A9FA-5893-4B02-80C0-7810E863CFF2}"/>
    <cellStyle name="Normal 5 2 2 3 3 9" xfId="9902" xr:uid="{0751C9EB-D0F1-4FDE-9041-1F66CD18D1AF}"/>
    <cellStyle name="Normal 5 2 2 3 4" xfId="891" xr:uid="{00000000-0005-0000-0000-0000D3170000}"/>
    <cellStyle name="Normal 5 2 2 3 4 2" xfId="3126" xr:uid="{00000000-0005-0000-0000-0000D4170000}"/>
    <cellStyle name="Normal 5 2 2 3 4 2 2" xfId="7348" xr:uid="{00000000-0005-0000-0000-0000D5170000}"/>
    <cellStyle name="Normal 5 2 2 3 4 2 2 2" xfId="25121" xr:uid="{BCCFE0B3-84DE-41AB-9876-C6D94C1EB4DF}"/>
    <cellStyle name="Normal 5 2 2 3 4 2 2 2 2" xfId="42015" xr:uid="{0EEF5742-1B78-4F98-8099-8B85B745F334}"/>
    <cellStyle name="Normal 5 2 2 3 4 2 2 3" xfId="16674" xr:uid="{94762E1E-E633-4E62-9EE3-5161EA27EC69}"/>
    <cellStyle name="Normal 5 2 2 3 4 2 2 4" xfId="33568" xr:uid="{434D0BE3-B5A6-4B6B-BE9B-431A3D957F85}"/>
    <cellStyle name="Normal 5 2 2 3 4 2 3" xfId="20904" xr:uid="{8619A555-88D5-4E4D-8D2F-43A18DC8AEC8}"/>
    <cellStyle name="Normal 5 2 2 3 4 2 3 2" xfId="37798" xr:uid="{FA0DFE4A-21C1-42F3-BE29-11ADBA111B3A}"/>
    <cellStyle name="Normal 5 2 2 3 4 2 4" xfId="12457" xr:uid="{78EBD19E-3E27-401E-AB67-C5B695CCB81D}"/>
    <cellStyle name="Normal 5 2 2 3 4 2 5" xfId="29351" xr:uid="{4BB01B10-469E-4061-8CA3-B336143A1DA4}"/>
    <cellStyle name="Normal 5 2 2 3 4 3" xfId="5203" xr:uid="{00000000-0005-0000-0000-0000D6170000}"/>
    <cellStyle name="Normal 5 2 2 3 4 3 2" xfId="22976" xr:uid="{0449E8A3-269F-4594-A204-AFD7BC4039AA}"/>
    <cellStyle name="Normal 5 2 2 3 4 3 2 2" xfId="39870" xr:uid="{1F1090F0-12FE-41FF-9C64-F680837B4214}"/>
    <cellStyle name="Normal 5 2 2 3 4 3 3" xfId="14529" xr:uid="{B74FF035-1C9C-4717-A495-BBCB503EA1B6}"/>
    <cellStyle name="Normal 5 2 2 3 4 3 4" xfId="31423" xr:uid="{B0E2D5DD-6E33-45D9-B82E-C7149F60CE0E}"/>
    <cellStyle name="Normal 5 2 2 3 4 4" xfId="9253" xr:uid="{A5C3AAF9-67DD-41B1-A0BF-05B69F588F71}"/>
    <cellStyle name="Normal 5 2 2 3 4 4 2" xfId="18759" xr:uid="{7A91A28F-C867-402F-BDC2-B0F2B6575775}"/>
    <cellStyle name="Normal 5 2 2 3 4 4 3" xfId="35653" xr:uid="{96A2D8F7-3A8C-444C-AE5D-A2637DC366EC}"/>
    <cellStyle name="Normal 5 2 2 3 4 5" xfId="10312" xr:uid="{CA9BFB9D-367A-4C7E-93A4-15486A8CE647}"/>
    <cellStyle name="Normal 5 2 2 3 4 6" xfId="27206" xr:uid="{DD274C1B-CFE9-47AD-B1AC-41BFFF66CADF}"/>
    <cellStyle name="Normal 5 2 2 3 5" xfId="1309" xr:uid="{00000000-0005-0000-0000-0000D7170000}"/>
    <cellStyle name="Normal 5 2 2 3 5 2" xfId="3539" xr:uid="{00000000-0005-0000-0000-0000D8170000}"/>
    <cellStyle name="Normal 5 2 2 3 5 2 2" xfId="7761" xr:uid="{00000000-0005-0000-0000-0000D9170000}"/>
    <cellStyle name="Normal 5 2 2 3 5 2 2 2" xfId="25534" xr:uid="{A8347AAD-C2D9-4370-8836-31204AC62B6E}"/>
    <cellStyle name="Normal 5 2 2 3 5 2 2 2 2" xfId="42428" xr:uid="{1EDBB636-7185-4E20-8AE3-D83445D25176}"/>
    <cellStyle name="Normal 5 2 2 3 5 2 2 3" xfId="17087" xr:uid="{4BDC153B-CA3E-4F5E-8157-3D72259F9DA9}"/>
    <cellStyle name="Normal 5 2 2 3 5 2 2 4" xfId="33981" xr:uid="{CC176D58-CA27-4C86-8600-FB37496838DD}"/>
    <cellStyle name="Normal 5 2 2 3 5 2 3" xfId="21317" xr:uid="{98ED188E-F429-4EAA-81ED-D842037CEFA1}"/>
    <cellStyle name="Normal 5 2 2 3 5 2 3 2" xfId="38211" xr:uid="{3BD67A9B-CAD0-418A-81CD-6EBAEF36F7FF}"/>
    <cellStyle name="Normal 5 2 2 3 5 2 4" xfId="12870" xr:uid="{FC27F811-D776-4CF7-A976-D7DF4BD5930A}"/>
    <cellStyle name="Normal 5 2 2 3 5 2 5" xfId="29764" xr:uid="{7DE386AC-B388-47AF-8921-67CB26F980AC}"/>
    <cellStyle name="Normal 5 2 2 3 5 3" xfId="5616" xr:uid="{00000000-0005-0000-0000-0000DA170000}"/>
    <cellStyle name="Normal 5 2 2 3 5 3 2" xfId="23389" xr:uid="{AC56A6A0-5CD1-46C4-A7B0-5EC857DFFC9C}"/>
    <cellStyle name="Normal 5 2 2 3 5 3 2 2" xfId="40283" xr:uid="{850580CC-AF10-4CDA-A3C2-95F68727AB18}"/>
    <cellStyle name="Normal 5 2 2 3 5 3 3" xfId="14942" xr:uid="{309E5F1D-BBAA-4F0D-817E-CB143B878BB0}"/>
    <cellStyle name="Normal 5 2 2 3 5 3 4" xfId="31836" xr:uid="{E6419415-6A79-4EA6-B3B8-712FADBF55C4}"/>
    <cellStyle name="Normal 5 2 2 3 5 4" xfId="19172" xr:uid="{CF44D03B-EDDB-43FB-8B19-5723CBBBFDE7}"/>
    <cellStyle name="Normal 5 2 2 3 5 4 2" xfId="36066" xr:uid="{F8AAF0E4-5CC2-445A-A525-1BD8F774620B}"/>
    <cellStyle name="Normal 5 2 2 3 5 5" xfId="10725" xr:uid="{DBA55FA6-2F83-4CEE-BD62-B404DD305E77}"/>
    <cellStyle name="Normal 5 2 2 3 5 6" xfId="27619" xr:uid="{17419B44-1537-40BD-8017-D4044E935005}"/>
    <cellStyle name="Normal 5 2 2 3 6" xfId="1722" xr:uid="{00000000-0005-0000-0000-0000DB170000}"/>
    <cellStyle name="Normal 5 2 2 3 6 2" xfId="3952" xr:uid="{00000000-0005-0000-0000-0000DC170000}"/>
    <cellStyle name="Normal 5 2 2 3 6 2 2" xfId="8174" xr:uid="{00000000-0005-0000-0000-0000DD170000}"/>
    <cellStyle name="Normal 5 2 2 3 6 2 2 2" xfId="25947" xr:uid="{EB385850-CC28-4D1E-98D1-3FC2B285AF48}"/>
    <cellStyle name="Normal 5 2 2 3 6 2 2 2 2" xfId="42841" xr:uid="{75A7BD6C-3EAC-4603-9685-0E6532310336}"/>
    <cellStyle name="Normal 5 2 2 3 6 2 2 3" xfId="17500" xr:uid="{D1A7706A-37EC-49E9-8636-37D84FADAD5E}"/>
    <cellStyle name="Normal 5 2 2 3 6 2 2 4" xfId="34394" xr:uid="{37DD0077-402E-4C3B-B8B9-24C25D209F26}"/>
    <cellStyle name="Normal 5 2 2 3 6 2 3" xfId="21730" xr:uid="{029B825D-DA5E-41BF-B6B8-28AA14DED14A}"/>
    <cellStyle name="Normal 5 2 2 3 6 2 3 2" xfId="38624" xr:uid="{BA0F1CC2-B238-4D61-9C43-26A390F6F6AF}"/>
    <cellStyle name="Normal 5 2 2 3 6 2 4" xfId="13283" xr:uid="{6EFA9B43-D106-4F81-8B51-72D421B32366}"/>
    <cellStyle name="Normal 5 2 2 3 6 2 5" xfId="30177" xr:uid="{9068847F-6F26-4353-A0B5-8BB8DA5BCC4A}"/>
    <cellStyle name="Normal 5 2 2 3 6 3" xfId="6029" xr:uid="{00000000-0005-0000-0000-0000DE170000}"/>
    <cellStyle name="Normal 5 2 2 3 6 3 2" xfId="23802" xr:uid="{D02954E6-BAC8-4774-B0FB-7CE090BB2647}"/>
    <cellStyle name="Normal 5 2 2 3 6 3 2 2" xfId="40696" xr:uid="{B53E9323-E9B1-48D6-A45A-6AC599F9D35E}"/>
    <cellStyle name="Normal 5 2 2 3 6 3 3" xfId="15355" xr:uid="{E3FC0CCF-B968-4D60-9F97-5AA5547EFEF6}"/>
    <cellStyle name="Normal 5 2 2 3 6 3 4" xfId="32249" xr:uid="{47615FA5-3D71-442E-92AE-21ABE3FD1F44}"/>
    <cellStyle name="Normal 5 2 2 3 6 4" xfId="19585" xr:uid="{A131C1B4-3372-4F28-A33B-067F0EE92B2C}"/>
    <cellStyle name="Normal 5 2 2 3 6 4 2" xfId="36479" xr:uid="{A1510C12-8EF8-47C6-8BEB-7FD4501C9508}"/>
    <cellStyle name="Normal 5 2 2 3 6 5" xfId="11138" xr:uid="{4FD291E4-EB57-4465-8DCF-01CC517A44A1}"/>
    <cellStyle name="Normal 5 2 2 3 6 6" xfId="28032" xr:uid="{53B44FDB-35E4-4E16-8245-80550B4FCCF8}"/>
    <cellStyle name="Normal 5 2 2 3 7" xfId="2136" xr:uid="{00000000-0005-0000-0000-0000DF170000}"/>
    <cellStyle name="Normal 5 2 2 3 7 2" xfId="4365" xr:uid="{00000000-0005-0000-0000-0000E0170000}"/>
    <cellStyle name="Normal 5 2 2 3 7 2 2" xfId="8587" xr:uid="{00000000-0005-0000-0000-0000E1170000}"/>
    <cellStyle name="Normal 5 2 2 3 7 2 2 2" xfId="26360" xr:uid="{E0767632-6B98-4DFD-BC99-155957A57749}"/>
    <cellStyle name="Normal 5 2 2 3 7 2 2 2 2" xfId="43254" xr:uid="{145AF685-0894-4053-8DFE-A001FC444E71}"/>
    <cellStyle name="Normal 5 2 2 3 7 2 2 3" xfId="17913" xr:uid="{990D7A5C-3DE6-46A5-9509-8184604FCC89}"/>
    <cellStyle name="Normal 5 2 2 3 7 2 2 4" xfId="34807" xr:uid="{59404B85-0F54-4649-AE55-A4D19664C5D7}"/>
    <cellStyle name="Normal 5 2 2 3 7 2 3" xfId="22143" xr:uid="{680CC585-C96B-4C2E-9C06-D18E54CDAAE7}"/>
    <cellStyle name="Normal 5 2 2 3 7 2 3 2" xfId="39037" xr:uid="{9D6BD9B9-29F3-40AA-9078-48D538C49DF9}"/>
    <cellStyle name="Normal 5 2 2 3 7 2 4" xfId="13696" xr:uid="{DEF0AC24-E4FC-41FB-8802-8FDEBABC49A5}"/>
    <cellStyle name="Normal 5 2 2 3 7 2 5" xfId="30590" xr:uid="{9BC9E4FC-ABFA-4307-A9BC-CB43ECF3FE78}"/>
    <cellStyle name="Normal 5 2 2 3 7 3" xfId="6442" xr:uid="{00000000-0005-0000-0000-0000E2170000}"/>
    <cellStyle name="Normal 5 2 2 3 7 3 2" xfId="24215" xr:uid="{C4A42A96-952A-424C-8191-C548F4CCE757}"/>
    <cellStyle name="Normal 5 2 2 3 7 3 2 2" xfId="41109" xr:uid="{5FFAB56A-C9C8-4D65-9E78-F6DA00A6A74D}"/>
    <cellStyle name="Normal 5 2 2 3 7 3 3" xfId="15768" xr:uid="{54B86929-A162-472C-AF2F-94D835C3EB1C}"/>
    <cellStyle name="Normal 5 2 2 3 7 3 4" xfId="32662" xr:uid="{D6543F2B-C303-4812-AE66-358FBDCE5980}"/>
    <cellStyle name="Normal 5 2 2 3 7 4" xfId="19998" xr:uid="{F4F47EE6-99D4-448F-943E-B1AE78FC62D0}"/>
    <cellStyle name="Normal 5 2 2 3 7 4 2" xfId="36892" xr:uid="{FBDECE56-0F7B-40A2-AA4E-577C3C7354FF}"/>
    <cellStyle name="Normal 5 2 2 3 7 5" xfId="11551" xr:uid="{E2DDDFF5-8385-4E2E-9F85-C1B6CA4A655A}"/>
    <cellStyle name="Normal 5 2 2 3 7 6" xfId="28445" xr:uid="{EC13A40C-00D3-42CC-9C62-4A48C0BFE3CF}"/>
    <cellStyle name="Normal 5 2 2 3 8" xfId="2572" xr:uid="{00000000-0005-0000-0000-0000E3170000}"/>
    <cellStyle name="Normal 5 2 2 3 8 2" xfId="6855" xr:uid="{00000000-0005-0000-0000-0000E4170000}"/>
    <cellStyle name="Normal 5 2 2 3 8 2 2" xfId="24628" xr:uid="{DD5BF2A5-C481-4CA8-8562-9440DE4778DD}"/>
    <cellStyle name="Normal 5 2 2 3 8 2 2 2" xfId="41522" xr:uid="{8D6A19B0-8128-4CF0-A2CE-D4993CB9E849}"/>
    <cellStyle name="Normal 5 2 2 3 8 2 3" xfId="16181" xr:uid="{0DE7A3CE-2FB4-4623-9489-036B2596CCDB}"/>
    <cellStyle name="Normal 5 2 2 3 8 2 4" xfId="33075" xr:uid="{D4D48F07-9E75-4045-811C-3638E7C91F1A}"/>
    <cellStyle name="Normal 5 2 2 3 8 3" xfId="20411" xr:uid="{A4351E67-B7D5-46FE-A7DE-900CD5ED6FF2}"/>
    <cellStyle name="Normal 5 2 2 3 8 3 2" xfId="37305" xr:uid="{68EFD3FF-1A06-44F4-B014-2051260ED451}"/>
    <cellStyle name="Normal 5 2 2 3 8 4" xfId="11964" xr:uid="{F6F31BFF-9A87-46A5-9C3D-FE6A78B68936}"/>
    <cellStyle name="Normal 5 2 2 3 8 5" xfId="28858" xr:uid="{9BA3983D-1ED5-4F18-8929-172A6C0AD5DB}"/>
    <cellStyle name="Normal 5 2 2 3 9" xfId="4790" xr:uid="{00000000-0005-0000-0000-0000E5170000}"/>
    <cellStyle name="Normal 5 2 2 3 9 2" xfId="22563" xr:uid="{02DA9325-2A5C-4CD8-997C-25F205BE09BA}"/>
    <cellStyle name="Normal 5 2 2 3 9 2 2" xfId="39457" xr:uid="{FEFB0301-778D-4AA4-9C12-7934822F72B8}"/>
    <cellStyle name="Normal 5 2 2 3 9 3" xfId="14116" xr:uid="{D55EBB6D-C7B6-46C5-B02C-4F05104707A4}"/>
    <cellStyle name="Normal 5 2 2 3 9 4" xfId="31010" xr:uid="{1B05CE9B-75C9-4D8E-B868-C6C865082EBA}"/>
    <cellStyle name="Normal 5 2 2 4" xfId="421" xr:uid="{00000000-0005-0000-0000-0000E6170000}"/>
    <cellStyle name="Normal 5 2 2 4 10" xfId="9903" xr:uid="{C426900E-507F-4F85-BDA2-3EA7FEEEEC99}"/>
    <cellStyle name="Normal 5 2 2 4 11" xfId="26797" xr:uid="{D4F3B0E5-329D-40E0-BD58-41D3E1745F63}"/>
    <cellStyle name="Normal 5 2 2 4 2" xfId="422" xr:uid="{00000000-0005-0000-0000-0000E7170000}"/>
    <cellStyle name="Normal 5 2 2 4 2 10" xfId="26798" xr:uid="{2CC96A0D-3248-4EFD-9DE3-1542DCF9E226}"/>
    <cellStyle name="Normal 5 2 2 4 2 2" xfId="896" xr:uid="{00000000-0005-0000-0000-0000E8170000}"/>
    <cellStyle name="Normal 5 2 2 4 2 2 2" xfId="3131" xr:uid="{00000000-0005-0000-0000-0000E9170000}"/>
    <cellStyle name="Normal 5 2 2 4 2 2 2 2" xfId="7353" xr:uid="{00000000-0005-0000-0000-0000EA170000}"/>
    <cellStyle name="Normal 5 2 2 4 2 2 2 2 2" xfId="25126" xr:uid="{76E6DFE9-F281-4211-BC4F-8480FADE9DFA}"/>
    <cellStyle name="Normal 5 2 2 4 2 2 2 2 2 2" xfId="42020" xr:uid="{E79850A8-1CA0-40A9-A95F-82FFC32AD5F9}"/>
    <cellStyle name="Normal 5 2 2 4 2 2 2 2 3" xfId="16679" xr:uid="{3C75F8D9-58F9-47A3-A4CB-C9B3BFCCC41C}"/>
    <cellStyle name="Normal 5 2 2 4 2 2 2 2 4" xfId="33573" xr:uid="{3BC9FB4F-CAEA-4289-818F-03CACBAC5024}"/>
    <cellStyle name="Normal 5 2 2 4 2 2 2 3" xfId="20909" xr:uid="{B237626F-2D0B-4809-B4DB-81CC190F23DE}"/>
    <cellStyle name="Normal 5 2 2 4 2 2 2 3 2" xfId="37803" xr:uid="{EBA967E8-FCEB-4820-B768-DAA77136A422}"/>
    <cellStyle name="Normal 5 2 2 4 2 2 2 4" xfId="12462" xr:uid="{5393586F-A432-4FAC-ADA8-022DD92695B8}"/>
    <cellStyle name="Normal 5 2 2 4 2 2 2 5" xfId="29356" xr:uid="{D9C21EB3-E1E8-4F90-A9F7-2631C6E77D88}"/>
    <cellStyle name="Normal 5 2 2 4 2 2 3" xfId="5208" xr:uid="{00000000-0005-0000-0000-0000EB170000}"/>
    <cellStyle name="Normal 5 2 2 4 2 2 3 2" xfId="22981" xr:uid="{19A95D18-53F5-483E-872F-81BADF1920CC}"/>
    <cellStyle name="Normal 5 2 2 4 2 2 3 2 2" xfId="39875" xr:uid="{BC709C40-A683-4ACB-8F6A-D35280258329}"/>
    <cellStyle name="Normal 5 2 2 4 2 2 3 3" xfId="14534" xr:uid="{807BCAD0-FC90-4907-A8D5-B58AA1ED282C}"/>
    <cellStyle name="Normal 5 2 2 4 2 2 3 4" xfId="31428" xr:uid="{C9C0E547-B10A-4768-89E5-08EB55C94A48}"/>
    <cellStyle name="Normal 5 2 2 4 2 2 4" xfId="9488" xr:uid="{2997B11D-E810-48A4-BD3C-4498479B295E}"/>
    <cellStyle name="Normal 5 2 2 4 2 2 4 2" xfId="18764" xr:uid="{1A7FAA01-69B2-4259-B0E8-A652A8FCBD70}"/>
    <cellStyle name="Normal 5 2 2 4 2 2 4 3" xfId="35658" xr:uid="{9BCAF451-7BCE-42F0-A3A2-568AE206860B}"/>
    <cellStyle name="Normal 5 2 2 4 2 2 5" xfId="10317" xr:uid="{EA64531A-5EA4-4EC0-939B-DFF508124E0C}"/>
    <cellStyle name="Normal 5 2 2 4 2 2 6" xfId="27211" xr:uid="{A29FC96B-955D-4536-A429-AFC89D36C49F}"/>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2 2 2" xfId="25539" xr:uid="{341EA793-C2B2-406A-AC59-CE73A5DC8A48}"/>
    <cellStyle name="Normal 5 2 2 4 2 3 2 2 2 2" xfId="42433" xr:uid="{FA5D9A16-5083-4D96-A740-EC4EBA6E1549}"/>
    <cellStyle name="Normal 5 2 2 4 2 3 2 2 3" xfId="17092" xr:uid="{8D18CC40-14DA-4A5E-8B4E-BF65D28F0761}"/>
    <cellStyle name="Normal 5 2 2 4 2 3 2 2 4" xfId="33986" xr:uid="{457048B3-BED3-45EE-A3FD-D70D48A61544}"/>
    <cellStyle name="Normal 5 2 2 4 2 3 2 3" xfId="21322" xr:uid="{6A717F97-9DA8-4707-AAFD-E42CCABE2B6F}"/>
    <cellStyle name="Normal 5 2 2 4 2 3 2 3 2" xfId="38216" xr:uid="{5A18A68A-269C-4CE9-815B-F6A7DD225437}"/>
    <cellStyle name="Normal 5 2 2 4 2 3 2 4" xfId="12875" xr:uid="{D86411BA-A0CE-42CC-880E-C9664A168FAB}"/>
    <cellStyle name="Normal 5 2 2 4 2 3 2 5" xfId="29769" xr:uid="{1E359F04-3CF0-432F-97F9-3292D70F2A12}"/>
    <cellStyle name="Normal 5 2 2 4 2 3 3" xfId="5621" xr:uid="{00000000-0005-0000-0000-0000EF170000}"/>
    <cellStyle name="Normal 5 2 2 4 2 3 3 2" xfId="23394" xr:uid="{AA2C14F4-FA76-41DA-8235-19B011638978}"/>
    <cellStyle name="Normal 5 2 2 4 2 3 3 2 2" xfId="40288" xr:uid="{4344BA62-8195-40F7-9613-2D669B63E68E}"/>
    <cellStyle name="Normal 5 2 2 4 2 3 3 3" xfId="14947" xr:uid="{E63632EE-EE92-455B-8674-59DEC827D398}"/>
    <cellStyle name="Normal 5 2 2 4 2 3 3 4" xfId="31841" xr:uid="{35E289B3-766B-474F-BFFF-8ABA318593C0}"/>
    <cellStyle name="Normal 5 2 2 4 2 3 4" xfId="19177" xr:uid="{A4739AC2-2CB2-4F2D-8902-37E8CFC218B4}"/>
    <cellStyle name="Normal 5 2 2 4 2 3 4 2" xfId="36071" xr:uid="{47149BE6-D88E-486C-8906-DA3EEB28F3DA}"/>
    <cellStyle name="Normal 5 2 2 4 2 3 5" xfId="10730" xr:uid="{04612FBC-5C83-41F2-9B85-031D21B19060}"/>
    <cellStyle name="Normal 5 2 2 4 2 3 6" xfId="27624" xr:uid="{B8E2B1F3-E2C4-4A68-872B-C51A50B5DAEB}"/>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2 2 2" xfId="25952" xr:uid="{A6E762ED-D963-4331-9D33-5E44DE5D9E4A}"/>
    <cellStyle name="Normal 5 2 2 4 2 4 2 2 2 2" xfId="42846" xr:uid="{35E936BD-0408-4FEA-8C6C-F4E2C63867DF}"/>
    <cellStyle name="Normal 5 2 2 4 2 4 2 2 3" xfId="17505" xr:uid="{EB49A07B-5CC1-46B2-BC6B-3770B9035169}"/>
    <cellStyle name="Normal 5 2 2 4 2 4 2 2 4" xfId="34399" xr:uid="{BD05EF0B-A47E-41B1-ADF2-CF367050A864}"/>
    <cellStyle name="Normal 5 2 2 4 2 4 2 3" xfId="21735" xr:uid="{C14B4131-6736-4058-80DF-8EDA64C82D92}"/>
    <cellStyle name="Normal 5 2 2 4 2 4 2 3 2" xfId="38629" xr:uid="{FC63BD8F-4165-49F3-A138-2EF6A7B09C9B}"/>
    <cellStyle name="Normal 5 2 2 4 2 4 2 4" xfId="13288" xr:uid="{4BDACD4F-C593-48F0-AEB0-0AE36D690929}"/>
    <cellStyle name="Normal 5 2 2 4 2 4 2 5" xfId="30182" xr:uid="{04E8AB5A-1C8D-431F-B2ED-B68CC7094569}"/>
    <cellStyle name="Normal 5 2 2 4 2 4 3" xfId="6034" xr:uid="{00000000-0005-0000-0000-0000F3170000}"/>
    <cellStyle name="Normal 5 2 2 4 2 4 3 2" xfId="23807" xr:uid="{024A7EF6-7DB9-4250-BAF8-F895C8CD6266}"/>
    <cellStyle name="Normal 5 2 2 4 2 4 3 2 2" xfId="40701" xr:uid="{C854193F-322C-47E3-AB63-24627809C248}"/>
    <cellStyle name="Normal 5 2 2 4 2 4 3 3" xfId="15360" xr:uid="{8402ED1B-F8C3-4073-96D5-E7328A1375D0}"/>
    <cellStyle name="Normal 5 2 2 4 2 4 3 4" xfId="32254" xr:uid="{5E05B173-7B57-4C4A-AD2D-E36871326426}"/>
    <cellStyle name="Normal 5 2 2 4 2 4 4" xfId="19590" xr:uid="{9F9AEF0B-36E1-41FC-AC3E-01550795C544}"/>
    <cellStyle name="Normal 5 2 2 4 2 4 4 2" xfId="36484" xr:uid="{DA9A0326-D357-4958-9C23-FA684692F643}"/>
    <cellStyle name="Normal 5 2 2 4 2 4 5" xfId="11143" xr:uid="{EDB9A1AF-5713-4C0A-950F-3CD0909EBF1E}"/>
    <cellStyle name="Normal 5 2 2 4 2 4 6" xfId="28037" xr:uid="{ED7E1E7A-C49F-4097-A24A-262A7F29C74A}"/>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2 2 2" xfId="26365" xr:uid="{1289859A-2E13-4AE7-BECE-1A6C0A3C116D}"/>
    <cellStyle name="Normal 5 2 2 4 2 5 2 2 2 2" xfId="43259" xr:uid="{6189CB8D-C912-4B37-B0DC-2BA437C57B6E}"/>
    <cellStyle name="Normal 5 2 2 4 2 5 2 2 3" xfId="17918" xr:uid="{80D1B4A7-35FF-4489-B445-5B0A0A62734E}"/>
    <cellStyle name="Normal 5 2 2 4 2 5 2 2 4" xfId="34812" xr:uid="{BB0E5A5A-ADED-40D3-AF1B-50A52B8DA43B}"/>
    <cellStyle name="Normal 5 2 2 4 2 5 2 3" xfId="22148" xr:uid="{F193E43B-C74B-421F-98E2-EC6B53D3C687}"/>
    <cellStyle name="Normal 5 2 2 4 2 5 2 3 2" xfId="39042" xr:uid="{67925ED6-7BCE-441A-81CA-532098B8CADE}"/>
    <cellStyle name="Normal 5 2 2 4 2 5 2 4" xfId="13701" xr:uid="{B452EDAB-BE86-4363-BD82-C0F85B4B996F}"/>
    <cellStyle name="Normal 5 2 2 4 2 5 2 5" xfId="30595" xr:uid="{D01565DB-72E8-466B-BFE6-1D7BA48CC468}"/>
    <cellStyle name="Normal 5 2 2 4 2 5 3" xfId="6447" xr:uid="{00000000-0005-0000-0000-0000F7170000}"/>
    <cellStyle name="Normal 5 2 2 4 2 5 3 2" xfId="24220" xr:uid="{B34CFB81-34BB-4EE9-9E68-3D026720746B}"/>
    <cellStyle name="Normal 5 2 2 4 2 5 3 2 2" xfId="41114" xr:uid="{ED90A604-FBA4-45E4-AFE6-1C6E028BCCD0}"/>
    <cellStyle name="Normal 5 2 2 4 2 5 3 3" xfId="15773" xr:uid="{E0DBAA8C-DBC1-4798-9523-1966FD689C99}"/>
    <cellStyle name="Normal 5 2 2 4 2 5 3 4" xfId="32667" xr:uid="{0C17D23E-379C-47D0-82CF-048EFFE47D46}"/>
    <cellStyle name="Normal 5 2 2 4 2 5 4" xfId="20003" xr:uid="{D259CDFB-327F-45D4-A392-A11BF828918D}"/>
    <cellStyle name="Normal 5 2 2 4 2 5 4 2" xfId="36897" xr:uid="{4701DE20-3257-4F74-B3AF-00A15B9AAE78}"/>
    <cellStyle name="Normal 5 2 2 4 2 5 5" xfId="11556" xr:uid="{A6B8A51D-0B4F-4BF3-B6E9-2E87621EFA16}"/>
    <cellStyle name="Normal 5 2 2 4 2 5 6" xfId="28450" xr:uid="{6CBB9400-92B1-4DC9-AA87-BC2C16EAAD0D}"/>
    <cellStyle name="Normal 5 2 2 4 2 6" xfId="2577" xr:uid="{00000000-0005-0000-0000-0000F8170000}"/>
    <cellStyle name="Normal 5 2 2 4 2 6 2" xfId="6860" xr:uid="{00000000-0005-0000-0000-0000F9170000}"/>
    <cellStyle name="Normal 5 2 2 4 2 6 2 2" xfId="24633" xr:uid="{0BE01282-015C-4A48-8183-5A29167AE3CB}"/>
    <cellStyle name="Normal 5 2 2 4 2 6 2 2 2" xfId="41527" xr:uid="{CC39A88E-16AD-4413-BADD-E75316400D1C}"/>
    <cellStyle name="Normal 5 2 2 4 2 6 2 3" xfId="16186" xr:uid="{2B7C31DF-D38B-4C38-A200-D5EE28C15C2B}"/>
    <cellStyle name="Normal 5 2 2 4 2 6 2 4" xfId="33080" xr:uid="{8A1402CE-A7F4-4AD9-ABB7-B4E066E3AD4B}"/>
    <cellStyle name="Normal 5 2 2 4 2 6 3" xfId="20416" xr:uid="{BC17D613-3ED2-4A09-B894-495F5576E606}"/>
    <cellStyle name="Normal 5 2 2 4 2 6 3 2" xfId="37310" xr:uid="{E5A7EEAD-7C4A-4B0E-97B3-A31FB435B1C1}"/>
    <cellStyle name="Normal 5 2 2 4 2 6 4" xfId="11969" xr:uid="{2FE07CB7-D7F9-4382-B898-FFCB689479C2}"/>
    <cellStyle name="Normal 5 2 2 4 2 6 5" xfId="28863" xr:uid="{3D907A24-C4D7-4E83-B635-F062494AAAF5}"/>
    <cellStyle name="Normal 5 2 2 4 2 7" xfId="4795" xr:uid="{00000000-0005-0000-0000-0000FA170000}"/>
    <cellStyle name="Normal 5 2 2 4 2 7 2" xfId="22568" xr:uid="{3D730CDF-5D36-43F4-961B-C96DD7F3FC23}"/>
    <cellStyle name="Normal 5 2 2 4 2 7 2 2" xfId="39462" xr:uid="{47B9CBAA-273F-4EBF-A27D-13CFDA6F5E77}"/>
    <cellStyle name="Normal 5 2 2 4 2 7 3" xfId="14121" xr:uid="{651BF3EA-F3C9-44A8-8231-DF721200106F}"/>
    <cellStyle name="Normal 5 2 2 4 2 7 4" xfId="31015" xr:uid="{3E4D846E-216C-4F8C-8838-D0ED31D2AF77}"/>
    <cellStyle name="Normal 5 2 2 4 2 8" xfId="9063" xr:uid="{3B1AA107-8D7F-4938-A60C-EED41E9B9A2A}"/>
    <cellStyle name="Normal 5 2 2 4 2 8 2" xfId="18351" xr:uid="{220842F3-C5C2-4E0F-A036-DABE5D2459A3}"/>
    <cellStyle name="Normal 5 2 2 4 2 8 3" xfId="35245" xr:uid="{DDCC2812-4023-401D-9F26-D2ECED5132C6}"/>
    <cellStyle name="Normal 5 2 2 4 2 9" xfId="9904" xr:uid="{89F1ADE0-39D0-4B92-8BA3-259C4036BFC2}"/>
    <cellStyle name="Normal 5 2 2 4 3" xfId="895" xr:uid="{00000000-0005-0000-0000-0000FB170000}"/>
    <cellStyle name="Normal 5 2 2 4 3 2" xfId="3130" xr:uid="{00000000-0005-0000-0000-0000FC170000}"/>
    <cellStyle name="Normal 5 2 2 4 3 2 2" xfId="7352" xr:uid="{00000000-0005-0000-0000-0000FD170000}"/>
    <cellStyle name="Normal 5 2 2 4 3 2 2 2" xfId="25125" xr:uid="{65C94944-84AD-4F8B-8CA4-BF79CE43BE01}"/>
    <cellStyle name="Normal 5 2 2 4 3 2 2 2 2" xfId="42019" xr:uid="{03E98221-095D-4CE5-B1FF-1D7725C31CC6}"/>
    <cellStyle name="Normal 5 2 2 4 3 2 2 3" xfId="16678" xr:uid="{B9A6F428-9704-4FE9-AB45-50E3817C1671}"/>
    <cellStyle name="Normal 5 2 2 4 3 2 2 4" xfId="33572" xr:uid="{5102FC88-3AE5-4C44-9CCC-A6D3E9FA13E6}"/>
    <cellStyle name="Normal 5 2 2 4 3 2 3" xfId="20908" xr:uid="{B1DD4B38-3892-404F-8C0E-BB37AE2F57AF}"/>
    <cellStyle name="Normal 5 2 2 4 3 2 3 2" xfId="37802" xr:uid="{8BBFEC0D-1E05-4B73-8A03-0A3D03089AE7}"/>
    <cellStyle name="Normal 5 2 2 4 3 2 4" xfId="12461" xr:uid="{FE5AB5D7-A8BF-4BB1-983F-282AB404F580}"/>
    <cellStyle name="Normal 5 2 2 4 3 2 5" xfId="29355" xr:uid="{F88F295F-ED79-4034-BBCE-92E2BE9693DB}"/>
    <cellStyle name="Normal 5 2 2 4 3 3" xfId="5207" xr:uid="{00000000-0005-0000-0000-0000FE170000}"/>
    <cellStyle name="Normal 5 2 2 4 3 3 2" xfId="22980" xr:uid="{78772BE9-F5C7-4F25-B4A1-3A7CE0667782}"/>
    <cellStyle name="Normal 5 2 2 4 3 3 2 2" xfId="39874" xr:uid="{C42530D6-6750-4C7F-8EB8-67AA0274ECDD}"/>
    <cellStyle name="Normal 5 2 2 4 3 3 3" xfId="14533" xr:uid="{CE756A25-7C49-45F6-A3E6-1408F2706D8B}"/>
    <cellStyle name="Normal 5 2 2 4 3 3 4" xfId="31427" xr:uid="{9D7DED49-C877-41A2-A87F-EF01693E2FC2}"/>
    <cellStyle name="Normal 5 2 2 4 3 4" xfId="9281" xr:uid="{9304050F-95A7-4BE3-AD21-FEBB7D0875B2}"/>
    <cellStyle name="Normal 5 2 2 4 3 4 2" xfId="18763" xr:uid="{E035C9A9-BED8-4111-8A5F-BE727BAE57E5}"/>
    <cellStyle name="Normal 5 2 2 4 3 4 3" xfId="35657" xr:uid="{6AE8876A-5480-4D0C-9577-E369D9B2EA0B}"/>
    <cellStyle name="Normal 5 2 2 4 3 5" xfId="10316" xr:uid="{BE63CF33-E31C-4192-964A-808BC26F2DA2}"/>
    <cellStyle name="Normal 5 2 2 4 3 6" xfId="27210" xr:uid="{BFADC35B-49DD-494B-AC2F-39037E297C33}"/>
    <cellStyle name="Normal 5 2 2 4 4" xfId="1313" xr:uid="{00000000-0005-0000-0000-0000FF170000}"/>
    <cellStyle name="Normal 5 2 2 4 4 2" xfId="3543" xr:uid="{00000000-0005-0000-0000-000000180000}"/>
    <cellStyle name="Normal 5 2 2 4 4 2 2" xfId="7765" xr:uid="{00000000-0005-0000-0000-000001180000}"/>
    <cellStyle name="Normal 5 2 2 4 4 2 2 2" xfId="25538" xr:uid="{25551551-447B-43A0-AB78-16EE7A4DEF31}"/>
    <cellStyle name="Normal 5 2 2 4 4 2 2 2 2" xfId="42432" xr:uid="{0C62FC6A-62C9-49ED-ADDA-9B7CAD7361A1}"/>
    <cellStyle name="Normal 5 2 2 4 4 2 2 3" xfId="17091" xr:uid="{4517D939-AF3F-4D6A-9A54-E22EA348ED1B}"/>
    <cellStyle name="Normal 5 2 2 4 4 2 2 4" xfId="33985" xr:uid="{F079C36C-46A6-4E61-8DB4-BFE36383A7BA}"/>
    <cellStyle name="Normal 5 2 2 4 4 2 3" xfId="21321" xr:uid="{9929EE74-0129-4CA8-97E4-3C1207C764E9}"/>
    <cellStyle name="Normal 5 2 2 4 4 2 3 2" xfId="38215" xr:uid="{F1E3847E-604D-4712-920C-81E59C1F2CE2}"/>
    <cellStyle name="Normal 5 2 2 4 4 2 4" xfId="12874" xr:uid="{8C2ED422-AE2D-406D-A94C-36792E71B3B6}"/>
    <cellStyle name="Normal 5 2 2 4 4 2 5" xfId="29768" xr:uid="{0AEC7F74-3A33-4F06-BABA-EF728C96541D}"/>
    <cellStyle name="Normal 5 2 2 4 4 3" xfId="5620" xr:uid="{00000000-0005-0000-0000-000002180000}"/>
    <cellStyle name="Normal 5 2 2 4 4 3 2" xfId="23393" xr:uid="{8DB05DAA-B30B-4CAF-B5E6-1E51AB5B89A0}"/>
    <cellStyle name="Normal 5 2 2 4 4 3 2 2" xfId="40287" xr:uid="{C174EBA0-FE13-43E6-9604-0D38DE14488B}"/>
    <cellStyle name="Normal 5 2 2 4 4 3 3" xfId="14946" xr:uid="{6A2FE6C2-33E7-4B82-B7DF-31150643AC1F}"/>
    <cellStyle name="Normal 5 2 2 4 4 3 4" xfId="31840" xr:uid="{76ABD4FE-19A6-46FA-8FE9-57EC8810645C}"/>
    <cellStyle name="Normal 5 2 2 4 4 4" xfId="19176" xr:uid="{6A7722C2-2FBF-4ED7-AC6F-A40AAACEF863}"/>
    <cellStyle name="Normal 5 2 2 4 4 4 2" xfId="36070" xr:uid="{D932524B-3A26-4F0B-B159-CBB9D4A05D81}"/>
    <cellStyle name="Normal 5 2 2 4 4 5" xfId="10729" xr:uid="{C3EEE76E-C2DB-4C7B-A05A-FA96C2672AF6}"/>
    <cellStyle name="Normal 5 2 2 4 4 6" xfId="27623" xr:uid="{3EAF4AF3-E4A2-4886-ABD3-3FDC5771A128}"/>
    <cellStyle name="Normal 5 2 2 4 5" xfId="1726" xr:uid="{00000000-0005-0000-0000-000003180000}"/>
    <cellStyle name="Normal 5 2 2 4 5 2" xfId="3956" xr:uid="{00000000-0005-0000-0000-000004180000}"/>
    <cellStyle name="Normal 5 2 2 4 5 2 2" xfId="8178" xr:uid="{00000000-0005-0000-0000-000005180000}"/>
    <cellStyle name="Normal 5 2 2 4 5 2 2 2" xfId="25951" xr:uid="{E8D15BD7-7710-498B-B161-5310DFD654FA}"/>
    <cellStyle name="Normal 5 2 2 4 5 2 2 2 2" xfId="42845" xr:uid="{E899B738-5B2E-4ECA-9954-457213227658}"/>
    <cellStyle name="Normal 5 2 2 4 5 2 2 3" xfId="17504" xr:uid="{EAA7053A-766B-4FFF-8930-587FDB647E56}"/>
    <cellStyle name="Normal 5 2 2 4 5 2 2 4" xfId="34398" xr:uid="{9C78518B-7E3C-4277-A2C6-F9352783BF73}"/>
    <cellStyle name="Normal 5 2 2 4 5 2 3" xfId="21734" xr:uid="{32BAD60D-F67B-411C-B564-41ABCD3F07B0}"/>
    <cellStyle name="Normal 5 2 2 4 5 2 3 2" xfId="38628" xr:uid="{8756ABA8-480D-4E10-9ACD-F4F74B9B0AB7}"/>
    <cellStyle name="Normal 5 2 2 4 5 2 4" xfId="13287" xr:uid="{19B94581-CADE-4979-BAB3-49093BEB79C9}"/>
    <cellStyle name="Normal 5 2 2 4 5 2 5" xfId="30181" xr:uid="{EB1D45E2-F9A3-4DB6-B92C-7DAAE2FBEFBE}"/>
    <cellStyle name="Normal 5 2 2 4 5 3" xfId="6033" xr:uid="{00000000-0005-0000-0000-000006180000}"/>
    <cellStyle name="Normal 5 2 2 4 5 3 2" xfId="23806" xr:uid="{DC7E6182-80EE-42BC-97C8-222A7558074E}"/>
    <cellStyle name="Normal 5 2 2 4 5 3 2 2" xfId="40700" xr:uid="{24332A8C-A88F-43C9-BCB7-2A15329E9205}"/>
    <cellStyle name="Normal 5 2 2 4 5 3 3" xfId="15359" xr:uid="{7EF63651-93CE-4297-80B5-7F97E9C87B4A}"/>
    <cellStyle name="Normal 5 2 2 4 5 3 4" xfId="32253" xr:uid="{6641F80A-78FE-4467-BB60-C4D74D732D4F}"/>
    <cellStyle name="Normal 5 2 2 4 5 4" xfId="19589" xr:uid="{EC438AE2-5A42-4C84-87EA-B109A5CBB6B6}"/>
    <cellStyle name="Normal 5 2 2 4 5 4 2" xfId="36483" xr:uid="{7BA10BB7-C7A7-41FC-9F3A-63DEA2A78A39}"/>
    <cellStyle name="Normal 5 2 2 4 5 5" xfId="11142" xr:uid="{77AA9CF2-278C-4DB5-AA0B-A1AE0061E7B6}"/>
    <cellStyle name="Normal 5 2 2 4 5 6" xfId="28036" xr:uid="{A7C0F392-F683-4AA1-B01D-4D51FBB1C944}"/>
    <cellStyle name="Normal 5 2 2 4 6" xfId="2140" xr:uid="{00000000-0005-0000-0000-000007180000}"/>
    <cellStyle name="Normal 5 2 2 4 6 2" xfId="4369" xr:uid="{00000000-0005-0000-0000-000008180000}"/>
    <cellStyle name="Normal 5 2 2 4 6 2 2" xfId="8591" xr:uid="{00000000-0005-0000-0000-000009180000}"/>
    <cellStyle name="Normal 5 2 2 4 6 2 2 2" xfId="26364" xr:uid="{06BFC001-CF62-4FF0-B954-E715534F4DF9}"/>
    <cellStyle name="Normal 5 2 2 4 6 2 2 2 2" xfId="43258" xr:uid="{08B898E9-6AF3-4269-8423-D4DECB265FE3}"/>
    <cellStyle name="Normal 5 2 2 4 6 2 2 3" xfId="17917" xr:uid="{2E5DFB45-09BE-4A84-8ED9-E892468FBD54}"/>
    <cellStyle name="Normal 5 2 2 4 6 2 2 4" xfId="34811" xr:uid="{4AB375A8-E7B1-4ED0-B8EE-278B9F581BFE}"/>
    <cellStyle name="Normal 5 2 2 4 6 2 3" xfId="22147" xr:uid="{D884A868-3915-477C-8C21-B8AC44900435}"/>
    <cellStyle name="Normal 5 2 2 4 6 2 3 2" xfId="39041" xr:uid="{BBE4190D-144F-4E43-B732-6364383296A4}"/>
    <cellStyle name="Normal 5 2 2 4 6 2 4" xfId="13700" xr:uid="{B8E7F619-A0CF-4C4F-A2D0-6F3027CA0CE8}"/>
    <cellStyle name="Normal 5 2 2 4 6 2 5" xfId="30594" xr:uid="{EFE726C9-0A3E-4DF2-8722-08628970F16D}"/>
    <cellStyle name="Normal 5 2 2 4 6 3" xfId="6446" xr:uid="{00000000-0005-0000-0000-00000A180000}"/>
    <cellStyle name="Normal 5 2 2 4 6 3 2" xfId="24219" xr:uid="{5A35A81C-7A2A-43B5-AB57-A6C099BBD3F5}"/>
    <cellStyle name="Normal 5 2 2 4 6 3 2 2" xfId="41113" xr:uid="{C7423574-2DB7-4273-A2EB-803791486988}"/>
    <cellStyle name="Normal 5 2 2 4 6 3 3" xfId="15772" xr:uid="{4BB44A4E-18CB-47BA-9E66-7CFECA54CEB3}"/>
    <cellStyle name="Normal 5 2 2 4 6 3 4" xfId="32666" xr:uid="{BB52A207-BE83-447E-864A-0F6FD039AC77}"/>
    <cellStyle name="Normal 5 2 2 4 6 4" xfId="20002" xr:uid="{CA4220D9-43DF-4847-A18B-EBDD0C5FB2F0}"/>
    <cellStyle name="Normal 5 2 2 4 6 4 2" xfId="36896" xr:uid="{15D26831-D955-4D1F-851D-BC6E139F5A34}"/>
    <cellStyle name="Normal 5 2 2 4 6 5" xfId="11555" xr:uid="{819BDF5C-D0B8-4EC5-9F83-60826230A9DB}"/>
    <cellStyle name="Normal 5 2 2 4 6 6" xfId="28449" xr:uid="{0A0CEA3D-5A7B-497C-82F5-59F090D2F72D}"/>
    <cellStyle name="Normal 5 2 2 4 7" xfId="2576" xr:uid="{00000000-0005-0000-0000-00000B180000}"/>
    <cellStyle name="Normal 5 2 2 4 7 2" xfId="6859" xr:uid="{00000000-0005-0000-0000-00000C180000}"/>
    <cellStyle name="Normal 5 2 2 4 7 2 2" xfId="24632" xr:uid="{D15B4284-9E1E-4493-864A-2D89C2388AFA}"/>
    <cellStyle name="Normal 5 2 2 4 7 2 2 2" xfId="41526" xr:uid="{D8E4FB82-C20D-42B2-B9CF-0F580D54495D}"/>
    <cellStyle name="Normal 5 2 2 4 7 2 3" xfId="16185" xr:uid="{08B71C0D-A429-42B4-9BB9-7E083964770C}"/>
    <cellStyle name="Normal 5 2 2 4 7 2 4" xfId="33079" xr:uid="{016A5018-FC64-4246-A418-CBE55025CDC4}"/>
    <cellStyle name="Normal 5 2 2 4 7 3" xfId="20415" xr:uid="{01EFA676-623A-4D28-8452-7F8A58CAEFFD}"/>
    <cellStyle name="Normal 5 2 2 4 7 3 2" xfId="37309" xr:uid="{0389EF46-DDCA-4FE8-88D3-5699E107B8C7}"/>
    <cellStyle name="Normal 5 2 2 4 7 4" xfId="11968" xr:uid="{66E0A767-ADDA-4C42-AC91-78501E73C25D}"/>
    <cellStyle name="Normal 5 2 2 4 7 5" xfId="28862" xr:uid="{AE49AB3E-496D-41D6-BC7D-F77C51F61B6F}"/>
    <cellStyle name="Normal 5 2 2 4 8" xfId="4794" xr:uid="{00000000-0005-0000-0000-00000D180000}"/>
    <cellStyle name="Normal 5 2 2 4 8 2" xfId="22567" xr:uid="{CADAE49E-B547-4964-8A54-C2E13F09901E}"/>
    <cellStyle name="Normal 5 2 2 4 8 2 2" xfId="39461" xr:uid="{283D217D-580B-4EB8-9CE8-AAC658DD6A73}"/>
    <cellStyle name="Normal 5 2 2 4 8 3" xfId="14120" xr:uid="{F19A37D1-E3BC-4B25-A0F8-BABF0A4DCE61}"/>
    <cellStyle name="Normal 5 2 2 4 8 4" xfId="31014" xr:uid="{C13B1F2A-BAD4-4911-B071-8333B2CB4B78}"/>
    <cellStyle name="Normal 5 2 2 4 9" xfId="8856" xr:uid="{8A537EF5-BE1D-4B82-9546-B2DC1F74308F}"/>
    <cellStyle name="Normal 5 2 2 4 9 2" xfId="18350" xr:uid="{9042F353-DFF2-4737-AD05-CC54486A2D1E}"/>
    <cellStyle name="Normal 5 2 2 4 9 3" xfId="35244" xr:uid="{E5BEB1F4-572C-4536-908F-097DAD5E6897}"/>
    <cellStyle name="Normal 5 2 2 5" xfId="423" xr:uid="{00000000-0005-0000-0000-00000E180000}"/>
    <cellStyle name="Normal 5 2 2 5 10" xfId="26799" xr:uid="{EF6C58E2-3D45-4C04-8487-D61D89512512}"/>
    <cellStyle name="Normal 5 2 2 5 2" xfId="897" xr:uid="{00000000-0005-0000-0000-00000F180000}"/>
    <cellStyle name="Normal 5 2 2 5 2 2" xfId="3132" xr:uid="{00000000-0005-0000-0000-000010180000}"/>
    <cellStyle name="Normal 5 2 2 5 2 2 2" xfId="7354" xr:uid="{00000000-0005-0000-0000-000011180000}"/>
    <cellStyle name="Normal 5 2 2 5 2 2 2 2" xfId="25127" xr:uid="{C6E5CD3E-AB62-47A6-A11E-2C96D20861AE}"/>
    <cellStyle name="Normal 5 2 2 5 2 2 2 2 2" xfId="42021" xr:uid="{35ED0A94-5569-464B-8FE8-08A3F2F975FB}"/>
    <cellStyle name="Normal 5 2 2 5 2 2 2 3" xfId="16680" xr:uid="{FC9CB4F3-5FEA-4CEE-8384-DC9A38538DC5}"/>
    <cellStyle name="Normal 5 2 2 5 2 2 2 4" xfId="33574" xr:uid="{30340E24-F8FE-4976-B204-F4E0A63D4259}"/>
    <cellStyle name="Normal 5 2 2 5 2 2 3" xfId="20910" xr:uid="{9CE76EE3-22D5-4CC1-84CE-6FD27B617212}"/>
    <cellStyle name="Normal 5 2 2 5 2 2 3 2" xfId="37804" xr:uid="{6EE9ABEF-E22D-48A8-83D6-E3DAFEE40429}"/>
    <cellStyle name="Normal 5 2 2 5 2 2 4" xfId="12463" xr:uid="{E79919BF-E5FC-45AF-AC4B-A95EECD7473A}"/>
    <cellStyle name="Normal 5 2 2 5 2 2 5" xfId="29357" xr:uid="{0FD11B81-86F2-447E-BD93-7CE4AFF42445}"/>
    <cellStyle name="Normal 5 2 2 5 2 3" xfId="5209" xr:uid="{00000000-0005-0000-0000-000012180000}"/>
    <cellStyle name="Normal 5 2 2 5 2 3 2" xfId="22982" xr:uid="{B6AB9F96-FABF-4991-BCD1-9335E362DE21}"/>
    <cellStyle name="Normal 5 2 2 5 2 3 2 2" xfId="39876" xr:uid="{57E5A341-A640-405E-A68F-1A2899398E1D}"/>
    <cellStyle name="Normal 5 2 2 5 2 3 3" xfId="14535" xr:uid="{F1403D55-AE2E-469F-9339-42F8377B4187}"/>
    <cellStyle name="Normal 5 2 2 5 2 3 4" xfId="31429" xr:uid="{4AB5ABE3-7110-4A06-BAA3-F4903DF05AF9}"/>
    <cellStyle name="Normal 5 2 2 5 2 4" xfId="9397" xr:uid="{3CB0B9A4-F907-4F52-ACFC-7970F7AF9B13}"/>
    <cellStyle name="Normal 5 2 2 5 2 4 2" xfId="18765" xr:uid="{8C78FC28-DEA1-4775-A677-83905EE1FE79}"/>
    <cellStyle name="Normal 5 2 2 5 2 4 3" xfId="35659" xr:uid="{72BB3C09-1BEB-4731-A561-C4715CD289CF}"/>
    <cellStyle name="Normal 5 2 2 5 2 5" xfId="10318" xr:uid="{BB8BCC52-70D7-4094-978F-55900EC87899}"/>
    <cellStyle name="Normal 5 2 2 5 2 6" xfId="27212" xr:uid="{5F717971-D416-40B3-ABDC-B21FF279ABEA}"/>
    <cellStyle name="Normal 5 2 2 5 3" xfId="1315" xr:uid="{00000000-0005-0000-0000-000013180000}"/>
    <cellStyle name="Normal 5 2 2 5 3 2" xfId="3545" xr:uid="{00000000-0005-0000-0000-000014180000}"/>
    <cellStyle name="Normal 5 2 2 5 3 2 2" xfId="7767" xr:uid="{00000000-0005-0000-0000-000015180000}"/>
    <cellStyle name="Normal 5 2 2 5 3 2 2 2" xfId="25540" xr:uid="{8AC9C8D3-15B9-49F3-8C4B-BF0954768AA0}"/>
    <cellStyle name="Normal 5 2 2 5 3 2 2 2 2" xfId="42434" xr:uid="{26CA5B47-2567-4022-8C8B-A1CE226F8C56}"/>
    <cellStyle name="Normal 5 2 2 5 3 2 2 3" xfId="17093" xr:uid="{C681409C-A4E1-41F8-ACCD-C27A4E4B00DD}"/>
    <cellStyle name="Normal 5 2 2 5 3 2 2 4" xfId="33987" xr:uid="{588B7408-9E29-420E-8E59-7F3FD02E5655}"/>
    <cellStyle name="Normal 5 2 2 5 3 2 3" xfId="21323" xr:uid="{1E666A2F-A719-4D48-8634-48069515B423}"/>
    <cellStyle name="Normal 5 2 2 5 3 2 3 2" xfId="38217" xr:uid="{23E0F4C0-50C4-413A-98A3-F08CEC36307A}"/>
    <cellStyle name="Normal 5 2 2 5 3 2 4" xfId="12876" xr:uid="{9C6EB63C-391F-4C74-B108-75648FA98A73}"/>
    <cellStyle name="Normal 5 2 2 5 3 2 5" xfId="29770" xr:uid="{DE7E6754-22AB-495B-875A-3D0D940C855A}"/>
    <cellStyle name="Normal 5 2 2 5 3 3" xfId="5622" xr:uid="{00000000-0005-0000-0000-000016180000}"/>
    <cellStyle name="Normal 5 2 2 5 3 3 2" xfId="23395" xr:uid="{6571F876-7668-48FA-AE9A-52CE026A2337}"/>
    <cellStyle name="Normal 5 2 2 5 3 3 2 2" xfId="40289" xr:uid="{44055734-AA98-49BF-8C08-BD617C7B1F3D}"/>
    <cellStyle name="Normal 5 2 2 5 3 3 3" xfId="14948" xr:uid="{F0310262-5E24-4DA5-B230-328468E1D9CD}"/>
    <cellStyle name="Normal 5 2 2 5 3 3 4" xfId="31842" xr:uid="{D6D9FDEB-F00E-4561-8F52-2F4F9CD4A21E}"/>
    <cellStyle name="Normal 5 2 2 5 3 4" xfId="19178" xr:uid="{86C792A2-103A-46AE-B1BF-69A1FAAF21FA}"/>
    <cellStyle name="Normal 5 2 2 5 3 4 2" xfId="36072" xr:uid="{9046934B-2811-4B35-8E7A-39C3299145BE}"/>
    <cellStyle name="Normal 5 2 2 5 3 5" xfId="10731" xr:uid="{33DB3FF2-AB75-4371-9581-214BA4EB9362}"/>
    <cellStyle name="Normal 5 2 2 5 3 6" xfId="27625" xr:uid="{56086CE3-7B1F-495C-9A17-5E22620BEC75}"/>
    <cellStyle name="Normal 5 2 2 5 4" xfId="1728" xr:uid="{00000000-0005-0000-0000-000017180000}"/>
    <cellStyle name="Normal 5 2 2 5 4 2" xfId="3958" xr:uid="{00000000-0005-0000-0000-000018180000}"/>
    <cellStyle name="Normal 5 2 2 5 4 2 2" xfId="8180" xr:uid="{00000000-0005-0000-0000-000019180000}"/>
    <cellStyle name="Normal 5 2 2 5 4 2 2 2" xfId="25953" xr:uid="{ADF34F07-4C2C-4F5D-A4E0-1D2CE2C385BD}"/>
    <cellStyle name="Normal 5 2 2 5 4 2 2 2 2" xfId="42847" xr:uid="{6FC0C6EA-7688-47FD-9732-5B8F35223796}"/>
    <cellStyle name="Normal 5 2 2 5 4 2 2 3" xfId="17506" xr:uid="{F56B7EBE-0683-459E-BEF0-DB58A8F0E069}"/>
    <cellStyle name="Normal 5 2 2 5 4 2 2 4" xfId="34400" xr:uid="{40382791-402B-43D4-900C-7D82E0298FB4}"/>
    <cellStyle name="Normal 5 2 2 5 4 2 3" xfId="21736" xr:uid="{F57F9D34-1EB1-4822-B308-C526FA92C916}"/>
    <cellStyle name="Normal 5 2 2 5 4 2 3 2" xfId="38630" xr:uid="{95EB3FFD-F43F-4E86-9478-EC4603A24A99}"/>
    <cellStyle name="Normal 5 2 2 5 4 2 4" xfId="13289" xr:uid="{905E9DD2-F20C-43B1-9639-2B2240CD78D9}"/>
    <cellStyle name="Normal 5 2 2 5 4 2 5" xfId="30183" xr:uid="{73C9D745-0A7B-42C6-A900-702DBC2D3BFD}"/>
    <cellStyle name="Normal 5 2 2 5 4 3" xfId="6035" xr:uid="{00000000-0005-0000-0000-00001A180000}"/>
    <cellStyle name="Normal 5 2 2 5 4 3 2" xfId="23808" xr:uid="{60E02D93-17FC-4BBA-B46F-B7EDFB3992D7}"/>
    <cellStyle name="Normal 5 2 2 5 4 3 2 2" xfId="40702" xr:uid="{7CC249B4-08C1-49FF-8FD6-2006E26DF1F8}"/>
    <cellStyle name="Normal 5 2 2 5 4 3 3" xfId="15361" xr:uid="{A70C1D0B-9845-49C8-AE39-3717883B8A04}"/>
    <cellStyle name="Normal 5 2 2 5 4 3 4" xfId="32255" xr:uid="{7AA3B8E0-525D-444C-AE5C-2044F2345E62}"/>
    <cellStyle name="Normal 5 2 2 5 4 4" xfId="19591" xr:uid="{4A910CEA-ED81-46BF-A7CB-29115668B51C}"/>
    <cellStyle name="Normal 5 2 2 5 4 4 2" xfId="36485" xr:uid="{5B0ABA4F-F507-452A-A088-C70634F2CEFE}"/>
    <cellStyle name="Normal 5 2 2 5 4 5" xfId="11144" xr:uid="{183658AA-7223-418B-95BA-98277DD0F2A3}"/>
    <cellStyle name="Normal 5 2 2 5 4 6" xfId="28038" xr:uid="{CDFDDE8D-2AF4-4A44-95C2-21C2343E3A65}"/>
    <cellStyle name="Normal 5 2 2 5 5" xfId="2142" xr:uid="{00000000-0005-0000-0000-00001B180000}"/>
    <cellStyle name="Normal 5 2 2 5 5 2" xfId="4371" xr:uid="{00000000-0005-0000-0000-00001C180000}"/>
    <cellStyle name="Normal 5 2 2 5 5 2 2" xfId="8593" xr:uid="{00000000-0005-0000-0000-00001D180000}"/>
    <cellStyle name="Normal 5 2 2 5 5 2 2 2" xfId="26366" xr:uid="{266ECC5A-2A29-4684-AEDA-569E50FA093C}"/>
    <cellStyle name="Normal 5 2 2 5 5 2 2 2 2" xfId="43260" xr:uid="{E7F8344F-E008-4FFE-86E5-FEEB14332018}"/>
    <cellStyle name="Normal 5 2 2 5 5 2 2 3" xfId="17919" xr:uid="{5740543B-D411-4989-8FC5-B296A6F2F77A}"/>
    <cellStyle name="Normal 5 2 2 5 5 2 2 4" xfId="34813" xr:uid="{B53901E9-F964-4C72-841C-05C5F308C113}"/>
    <cellStyle name="Normal 5 2 2 5 5 2 3" xfId="22149" xr:uid="{B7249E4F-8787-4BF9-B994-67DC043DF8C2}"/>
    <cellStyle name="Normal 5 2 2 5 5 2 3 2" xfId="39043" xr:uid="{19E99A69-8B73-4FA3-B10D-036230F2F630}"/>
    <cellStyle name="Normal 5 2 2 5 5 2 4" xfId="13702" xr:uid="{A0A3796F-8CF1-4265-BC38-BB348FA731AF}"/>
    <cellStyle name="Normal 5 2 2 5 5 2 5" xfId="30596" xr:uid="{BAE85B69-D61A-4F7F-AF01-0A0BBE2AB996}"/>
    <cellStyle name="Normal 5 2 2 5 5 3" xfId="6448" xr:uid="{00000000-0005-0000-0000-00001E180000}"/>
    <cellStyle name="Normal 5 2 2 5 5 3 2" xfId="24221" xr:uid="{96B64D7D-C293-46CA-8295-3BB77887B1BA}"/>
    <cellStyle name="Normal 5 2 2 5 5 3 2 2" xfId="41115" xr:uid="{27099591-6EAC-43C2-8FC2-78F36376507E}"/>
    <cellStyle name="Normal 5 2 2 5 5 3 3" xfId="15774" xr:uid="{E31239E6-CFB4-4BFC-A226-F80E58EB8C71}"/>
    <cellStyle name="Normal 5 2 2 5 5 3 4" xfId="32668" xr:uid="{9B127D9C-6858-4D4C-8C59-DD243BDB05A3}"/>
    <cellStyle name="Normal 5 2 2 5 5 4" xfId="20004" xr:uid="{8FED34E2-06A4-4771-8475-A29621C434DF}"/>
    <cellStyle name="Normal 5 2 2 5 5 4 2" xfId="36898" xr:uid="{06CF6F77-C226-4CBA-980F-91C263934C5E}"/>
    <cellStyle name="Normal 5 2 2 5 5 5" xfId="11557" xr:uid="{AF15A0F6-C805-4508-93EC-EDBAF1B121E0}"/>
    <cellStyle name="Normal 5 2 2 5 5 6" xfId="28451" xr:uid="{1150C5AB-C334-4E97-B8F8-8F740C1F2D2A}"/>
    <cellStyle name="Normal 5 2 2 5 6" xfId="2578" xr:uid="{00000000-0005-0000-0000-00001F180000}"/>
    <cellStyle name="Normal 5 2 2 5 6 2" xfId="6861" xr:uid="{00000000-0005-0000-0000-000020180000}"/>
    <cellStyle name="Normal 5 2 2 5 6 2 2" xfId="24634" xr:uid="{A17A56D0-8154-4FAA-A538-930453827154}"/>
    <cellStyle name="Normal 5 2 2 5 6 2 2 2" xfId="41528" xr:uid="{913A71B1-F423-48DE-AD9F-67CA9131F599}"/>
    <cellStyle name="Normal 5 2 2 5 6 2 3" xfId="16187" xr:uid="{FE0311F4-CB51-498C-AA37-85B5E30013AD}"/>
    <cellStyle name="Normal 5 2 2 5 6 2 4" xfId="33081" xr:uid="{EAFCF982-40D5-4990-98C2-743D5372DD4D}"/>
    <cellStyle name="Normal 5 2 2 5 6 3" xfId="20417" xr:uid="{17111CD0-956A-4386-B668-16D5D52E6182}"/>
    <cellStyle name="Normal 5 2 2 5 6 3 2" xfId="37311" xr:uid="{8EABC5E7-5234-4668-8489-DAB34BD7E803}"/>
    <cellStyle name="Normal 5 2 2 5 6 4" xfId="11970" xr:uid="{6DC4AAA9-40EE-4E34-8EA3-E28DE0EBC167}"/>
    <cellStyle name="Normal 5 2 2 5 6 5" xfId="28864" xr:uid="{3647898C-EDFB-4422-9D46-D4B033CFBC19}"/>
    <cellStyle name="Normal 5 2 2 5 7" xfId="4796" xr:uid="{00000000-0005-0000-0000-000021180000}"/>
    <cellStyle name="Normal 5 2 2 5 7 2" xfId="22569" xr:uid="{E1FB540B-0F60-4343-88F0-7E7015E65860}"/>
    <cellStyle name="Normal 5 2 2 5 7 2 2" xfId="39463" xr:uid="{C2E4F235-5255-42CA-AD7B-C338D5952357}"/>
    <cellStyle name="Normal 5 2 2 5 7 3" xfId="14122" xr:uid="{FEFAC32C-DC45-4D32-98A0-7FB46996AA33}"/>
    <cellStyle name="Normal 5 2 2 5 7 4" xfId="31016" xr:uid="{2B21A2FB-7CCE-4272-A442-A145077CACE5}"/>
    <cellStyle name="Normal 5 2 2 5 8" xfId="8972" xr:uid="{3CCC8856-6464-4309-A4F9-43F74A48C503}"/>
    <cellStyle name="Normal 5 2 2 5 8 2" xfId="18352" xr:uid="{A43D551F-0C5C-463C-9428-CB857C77F1EE}"/>
    <cellStyle name="Normal 5 2 2 5 8 3" xfId="35246" xr:uid="{F3796C3A-60A7-4CD9-BF22-7E0641C0576D}"/>
    <cellStyle name="Normal 5 2 2 5 9" xfId="9905" xr:uid="{D37558D1-F2CC-45B6-B4B6-2768BC613735}"/>
    <cellStyle name="Normal 5 2 2 6" xfId="882" xr:uid="{00000000-0005-0000-0000-000022180000}"/>
    <cellStyle name="Normal 5 2 2 6 2" xfId="3117" xr:uid="{00000000-0005-0000-0000-000023180000}"/>
    <cellStyle name="Normal 5 2 2 6 2 2" xfId="7339" xr:uid="{00000000-0005-0000-0000-000024180000}"/>
    <cellStyle name="Normal 5 2 2 6 2 2 2" xfId="25112" xr:uid="{C75B2902-DF52-4C46-A2DB-3B2FEAFC2074}"/>
    <cellStyle name="Normal 5 2 2 6 2 2 2 2" xfId="42006" xr:uid="{88A87B95-DC40-4396-A9FA-BDABCB920B08}"/>
    <cellStyle name="Normal 5 2 2 6 2 2 3" xfId="16665" xr:uid="{B449F9DC-198A-4E99-A312-FFAA7B4FCA2C}"/>
    <cellStyle name="Normal 5 2 2 6 2 2 4" xfId="33559" xr:uid="{6E35E1B6-4ECD-42F6-BED4-52D3E98F5C5A}"/>
    <cellStyle name="Normal 5 2 2 6 2 3" xfId="20895" xr:uid="{E1CFC7FF-746B-4429-AE29-18ABE8B33EC7}"/>
    <cellStyle name="Normal 5 2 2 6 2 3 2" xfId="37789" xr:uid="{FA2A9644-F014-47E1-B324-292F55109F12}"/>
    <cellStyle name="Normal 5 2 2 6 2 4" xfId="12448" xr:uid="{AE704E34-1FD0-45BA-9484-6620B1EA4EB8}"/>
    <cellStyle name="Normal 5 2 2 6 2 5" xfId="29342" xr:uid="{3D2B8BA8-2D13-46E2-A33C-0087B9758C11}"/>
    <cellStyle name="Normal 5 2 2 6 3" xfId="5194" xr:uid="{00000000-0005-0000-0000-000025180000}"/>
    <cellStyle name="Normal 5 2 2 6 3 2" xfId="22967" xr:uid="{695623D4-1A0B-49F8-BF50-9C91125BA7FA}"/>
    <cellStyle name="Normal 5 2 2 6 3 2 2" xfId="39861" xr:uid="{AE3C18AE-E6F4-4B8D-AE38-0D60F8A524C8}"/>
    <cellStyle name="Normal 5 2 2 6 3 3" xfId="14520" xr:uid="{FA0171A4-C4E0-40D9-95A9-FFAA61E51615}"/>
    <cellStyle name="Normal 5 2 2 6 3 4" xfId="31414" xr:uid="{58F97DE2-9EDC-4B00-B2BA-ABD6F9409EC1}"/>
    <cellStyle name="Normal 5 2 2 6 4" xfId="9175" xr:uid="{A0BC076A-DB75-4963-A17E-57836FA6391D}"/>
    <cellStyle name="Normal 5 2 2 6 4 2" xfId="18750" xr:uid="{1EBA7FEC-C490-4C5B-8557-9C2C1E9FAFC5}"/>
    <cellStyle name="Normal 5 2 2 6 4 3" xfId="35644" xr:uid="{6777F9F9-7D42-4D02-A084-212A363B5374}"/>
    <cellStyle name="Normal 5 2 2 6 5" xfId="10303" xr:uid="{9DF86394-6055-42B8-BE44-13997086BE24}"/>
    <cellStyle name="Normal 5 2 2 6 6" xfId="27197" xr:uid="{6491F170-FB24-47F2-B6B9-26EB46DA3047}"/>
    <cellStyle name="Normal 5 2 2 7" xfId="1300" xr:uid="{00000000-0005-0000-0000-000026180000}"/>
    <cellStyle name="Normal 5 2 2 7 2" xfId="3530" xr:uid="{00000000-0005-0000-0000-000027180000}"/>
    <cellStyle name="Normal 5 2 2 7 2 2" xfId="7752" xr:uid="{00000000-0005-0000-0000-000028180000}"/>
    <cellStyle name="Normal 5 2 2 7 2 2 2" xfId="25525" xr:uid="{D006038C-32B4-46CA-9D01-9825AB7881EC}"/>
    <cellStyle name="Normal 5 2 2 7 2 2 2 2" xfId="42419" xr:uid="{C654BF7F-4D0D-46A3-A6EE-47C76B44CACF}"/>
    <cellStyle name="Normal 5 2 2 7 2 2 3" xfId="17078" xr:uid="{4B39D19E-408E-4F80-9B79-E72F0A711958}"/>
    <cellStyle name="Normal 5 2 2 7 2 2 4" xfId="33972" xr:uid="{7087C363-8827-4A7B-9E01-99233D07D2BC}"/>
    <cellStyle name="Normal 5 2 2 7 2 3" xfId="21308" xr:uid="{ADA9EC88-4CF0-4ADC-88B0-328D60136820}"/>
    <cellStyle name="Normal 5 2 2 7 2 3 2" xfId="38202" xr:uid="{BE772F7D-62D3-407A-B577-A65C3B5F8020}"/>
    <cellStyle name="Normal 5 2 2 7 2 4" xfId="12861" xr:uid="{48DBC72E-BB65-417F-B4EB-4872C40C53FB}"/>
    <cellStyle name="Normal 5 2 2 7 2 5" xfId="29755" xr:uid="{FE4B7C93-A2F7-4A76-B5ED-CAE6D1A35977}"/>
    <cellStyle name="Normal 5 2 2 7 3" xfId="5607" xr:uid="{00000000-0005-0000-0000-000029180000}"/>
    <cellStyle name="Normal 5 2 2 7 3 2" xfId="23380" xr:uid="{C78AB0CB-3692-4488-84C5-5FF6521B60B3}"/>
    <cellStyle name="Normal 5 2 2 7 3 2 2" xfId="40274" xr:uid="{71C2C972-E8AB-4FDE-BF3D-8FD0D16E088E}"/>
    <cellStyle name="Normal 5 2 2 7 3 3" xfId="14933" xr:uid="{8D796767-1DAD-4DC9-AE1B-D8AB247B2F68}"/>
    <cellStyle name="Normal 5 2 2 7 3 4" xfId="31827" xr:uid="{034532B8-9D89-45BB-BD1C-3CB0F44BB822}"/>
    <cellStyle name="Normal 5 2 2 7 4" xfId="19163" xr:uid="{0CF182D0-5AE3-4EA5-BA00-78810EA35446}"/>
    <cellStyle name="Normal 5 2 2 7 4 2" xfId="36057" xr:uid="{59BB1B5C-349C-41F1-885F-8B66E2892850}"/>
    <cellStyle name="Normal 5 2 2 7 5" xfId="10716" xr:uid="{EB6D2A50-A4D9-4A10-9E94-01191B56A5AB}"/>
    <cellStyle name="Normal 5 2 2 7 6" xfId="27610" xr:uid="{E62914AB-1589-4A01-9A8E-BCD484CEBE4A}"/>
    <cellStyle name="Normal 5 2 2 8" xfId="1713" xr:uid="{00000000-0005-0000-0000-00002A180000}"/>
    <cellStyle name="Normal 5 2 2 8 2" xfId="3943" xr:uid="{00000000-0005-0000-0000-00002B180000}"/>
    <cellStyle name="Normal 5 2 2 8 2 2" xfId="8165" xr:uid="{00000000-0005-0000-0000-00002C180000}"/>
    <cellStyle name="Normal 5 2 2 8 2 2 2" xfId="25938" xr:uid="{AA3167AA-DA88-4F1E-9F9A-DD0A8778DCE1}"/>
    <cellStyle name="Normal 5 2 2 8 2 2 2 2" xfId="42832" xr:uid="{A4DA5819-D703-4BA2-ABCF-DA319ECE8D74}"/>
    <cellStyle name="Normal 5 2 2 8 2 2 3" xfId="17491" xr:uid="{2F2AC031-5673-4ECB-AFFD-42B766212D10}"/>
    <cellStyle name="Normal 5 2 2 8 2 2 4" xfId="34385" xr:uid="{722600FD-EF9E-4557-8129-9D9324EC71F5}"/>
    <cellStyle name="Normal 5 2 2 8 2 3" xfId="21721" xr:uid="{D1E4E66A-F939-4247-9B6A-31658DA407D7}"/>
    <cellStyle name="Normal 5 2 2 8 2 3 2" xfId="38615" xr:uid="{16645832-BAF6-480A-9C3A-978A0DBEA0C1}"/>
    <cellStyle name="Normal 5 2 2 8 2 4" xfId="13274" xr:uid="{7B45BF9D-CCC4-470D-A707-3018534E97D1}"/>
    <cellStyle name="Normal 5 2 2 8 2 5" xfId="30168" xr:uid="{DCF594E3-E6F0-42D3-9948-2C50497E2A6B}"/>
    <cellStyle name="Normal 5 2 2 8 3" xfId="6020" xr:uid="{00000000-0005-0000-0000-00002D180000}"/>
    <cellStyle name="Normal 5 2 2 8 3 2" xfId="23793" xr:uid="{8EC81F91-280B-47B2-9220-59A12502644C}"/>
    <cellStyle name="Normal 5 2 2 8 3 2 2" xfId="40687" xr:uid="{63E9A2FD-F906-4421-92B3-7818738ACBE9}"/>
    <cellStyle name="Normal 5 2 2 8 3 3" xfId="15346" xr:uid="{E30F9609-C884-464D-984F-13E157179A37}"/>
    <cellStyle name="Normal 5 2 2 8 3 4" xfId="32240" xr:uid="{A3F79767-3EA7-47FF-801A-D2DC644AB44C}"/>
    <cellStyle name="Normal 5 2 2 8 4" xfId="19576" xr:uid="{E8B3FBE8-EE73-4DBC-BD23-4795C625B18F}"/>
    <cellStyle name="Normal 5 2 2 8 4 2" xfId="36470" xr:uid="{EDDDDA2A-6628-48D4-A7AD-A7F61AA7FB28}"/>
    <cellStyle name="Normal 5 2 2 8 5" xfId="11129" xr:uid="{BD4131AE-1BB7-4A08-BDB4-7E540DADC191}"/>
    <cellStyle name="Normal 5 2 2 8 6" xfId="28023" xr:uid="{1474DF49-1E23-4E09-BDFB-AA89C7C63643}"/>
    <cellStyle name="Normal 5 2 2 9" xfId="2127" xr:uid="{00000000-0005-0000-0000-00002E180000}"/>
    <cellStyle name="Normal 5 2 2 9 2" xfId="4356" xr:uid="{00000000-0005-0000-0000-00002F180000}"/>
    <cellStyle name="Normal 5 2 2 9 2 2" xfId="8578" xr:uid="{00000000-0005-0000-0000-000030180000}"/>
    <cellStyle name="Normal 5 2 2 9 2 2 2" xfId="26351" xr:uid="{DD17BCDB-DEC2-4B5E-AC3C-794C8129BB93}"/>
    <cellStyle name="Normal 5 2 2 9 2 2 2 2" xfId="43245" xr:uid="{7FF9572A-8814-4032-AFB3-0DF6634D1B9C}"/>
    <cellStyle name="Normal 5 2 2 9 2 2 3" xfId="17904" xr:uid="{4C7F43AA-5900-45ED-8C80-4379D521E1CC}"/>
    <cellStyle name="Normal 5 2 2 9 2 2 4" xfId="34798" xr:uid="{2CE5D166-57AF-4EF1-A348-74034E691465}"/>
    <cellStyle name="Normal 5 2 2 9 2 3" xfId="22134" xr:uid="{A7279F94-BA0D-4377-B798-D33F16D3AC4C}"/>
    <cellStyle name="Normal 5 2 2 9 2 3 2" xfId="39028" xr:uid="{E03AA1DB-33F0-4FCC-9929-0058C47F7F64}"/>
    <cellStyle name="Normal 5 2 2 9 2 4" xfId="13687" xr:uid="{5EEF9C6B-DF78-49EB-8F1B-296F5D3338F2}"/>
    <cellStyle name="Normal 5 2 2 9 2 5" xfId="30581" xr:uid="{FAA2F299-CA4E-4A50-BAC5-256A7E4FF7D3}"/>
    <cellStyle name="Normal 5 2 2 9 3" xfId="6433" xr:uid="{00000000-0005-0000-0000-000031180000}"/>
    <cellStyle name="Normal 5 2 2 9 3 2" xfId="24206" xr:uid="{EE0DBD62-0AE8-4512-8E4E-08D6CC801D1D}"/>
    <cellStyle name="Normal 5 2 2 9 3 2 2" xfId="41100" xr:uid="{1EEA43E0-29B9-4680-BB28-27096ECB3203}"/>
    <cellStyle name="Normal 5 2 2 9 3 3" xfId="15759" xr:uid="{21F88B20-82BD-4663-B86A-C3DC6BC3C5A2}"/>
    <cellStyle name="Normal 5 2 2 9 3 4" xfId="32653" xr:uid="{E87C205E-2DC1-4F48-88CD-2CF599C77950}"/>
    <cellStyle name="Normal 5 2 2 9 4" xfId="19989" xr:uid="{4F8CE34F-003F-4D5F-B1B6-6B0DA43B942C}"/>
    <cellStyle name="Normal 5 2 2 9 4 2" xfId="36883" xr:uid="{C6839881-DABB-445C-93F3-D0222EB0EA44}"/>
    <cellStyle name="Normal 5 2 2 9 5" xfId="11542" xr:uid="{1C5893DE-724D-41E3-B2FF-ABE9AA5656E5}"/>
    <cellStyle name="Normal 5 2 2 9 6" xfId="28436" xr:uid="{4A470B77-AE2B-4D4F-9805-50BC13D4CEA3}"/>
    <cellStyle name="Normal 5 2 3" xfId="424" xr:uid="{00000000-0005-0000-0000-000032180000}"/>
    <cellStyle name="Normal 5 2 3 10" xfId="4797" xr:uid="{00000000-0005-0000-0000-000033180000}"/>
    <cellStyle name="Normal 5 2 3 10 2" xfId="22570" xr:uid="{4FA85920-1BC3-4F13-B9AD-7100D413D1B3}"/>
    <cellStyle name="Normal 5 2 3 10 2 2" xfId="39464" xr:uid="{3AC569FC-3177-4981-AA09-AC0F7189A620}"/>
    <cellStyle name="Normal 5 2 3 10 3" xfId="14123" xr:uid="{7E3CF899-CEA9-41AA-A6C6-7348DF95E512}"/>
    <cellStyle name="Normal 5 2 3 10 4" xfId="31017" xr:uid="{59F509D1-166A-4F61-890A-D34ACC01C1A7}"/>
    <cellStyle name="Normal 5 2 3 11" xfId="8776" xr:uid="{883173D2-CE3E-48F3-8E13-32EAEF7B08C3}"/>
    <cellStyle name="Normal 5 2 3 11 2" xfId="18353" xr:uid="{FF821E12-4AB6-4C39-B8F7-A993A3CCD9E5}"/>
    <cellStyle name="Normal 5 2 3 11 3" xfId="35247" xr:uid="{B0E3AC57-37AF-413F-86FE-8752901D3E8F}"/>
    <cellStyle name="Normal 5 2 3 12" xfId="9906" xr:uid="{A621AFEB-7A49-4E84-AD94-528B9E8FE47D}"/>
    <cellStyle name="Normal 5 2 3 13" xfId="26800" xr:uid="{16CFD086-80AC-4634-861E-9EF6C5BE967F}"/>
    <cellStyle name="Normal 5 2 3 2" xfId="425" xr:uid="{00000000-0005-0000-0000-000034180000}"/>
    <cellStyle name="Normal 5 2 3 2 10" xfId="8830" xr:uid="{287E15F2-6F23-4B3E-B8AA-9DE92D950FBA}"/>
    <cellStyle name="Normal 5 2 3 2 10 2" xfId="18354" xr:uid="{F18CE765-749E-4B97-A9FD-FDC867A3AACB}"/>
    <cellStyle name="Normal 5 2 3 2 10 3" xfId="35248" xr:uid="{8E4C1E6B-F1D7-4C99-ABF0-2D8886F4DC02}"/>
    <cellStyle name="Normal 5 2 3 2 11" xfId="9907" xr:uid="{8F9D2175-A10E-4262-9D54-C174CF25E25A}"/>
    <cellStyle name="Normal 5 2 3 2 12" xfId="26801" xr:uid="{D17E5A26-5002-48BE-ACAC-CE4B34872FA6}"/>
    <cellStyle name="Normal 5 2 3 2 2" xfId="426" xr:uid="{00000000-0005-0000-0000-000035180000}"/>
    <cellStyle name="Normal 5 2 3 2 2 10" xfId="9908" xr:uid="{9F11800A-C62E-4DCA-AF51-176EA09272F6}"/>
    <cellStyle name="Normal 5 2 3 2 2 11" xfId="26802" xr:uid="{1C0B748F-7833-4B05-815E-2A0DF20A58F8}"/>
    <cellStyle name="Normal 5 2 3 2 2 2" xfId="427" xr:uid="{00000000-0005-0000-0000-000036180000}"/>
    <cellStyle name="Normal 5 2 3 2 2 2 10" xfId="26803" xr:uid="{CBDBDC3A-DBB9-4BC5-B843-BAC895563F0B}"/>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2 2 2" xfId="25131" xr:uid="{DBA8DC4D-6B95-46CA-8570-F5B6C64D3BF4}"/>
    <cellStyle name="Normal 5 2 3 2 2 2 2 2 2 2 2" xfId="42025" xr:uid="{A41EE2F3-73CE-4445-B4A1-97889D989E22}"/>
    <cellStyle name="Normal 5 2 3 2 2 2 2 2 2 3" xfId="16684" xr:uid="{B7541994-AA08-4DCB-B9F8-7F93F3F5D7BA}"/>
    <cellStyle name="Normal 5 2 3 2 2 2 2 2 2 4" xfId="33578" xr:uid="{B1E4D7DA-7EEF-4624-AABA-ADDA6CF0E651}"/>
    <cellStyle name="Normal 5 2 3 2 2 2 2 2 3" xfId="20914" xr:uid="{C3C2A43D-5E9D-4132-9513-263A40F46571}"/>
    <cellStyle name="Normal 5 2 3 2 2 2 2 2 3 2" xfId="37808" xr:uid="{3C672F10-9582-433F-A7B2-5C5168A3F059}"/>
    <cellStyle name="Normal 5 2 3 2 2 2 2 2 4" xfId="12467" xr:uid="{BDDA5C68-97F1-4AE0-908D-DA619AD690F4}"/>
    <cellStyle name="Normal 5 2 3 2 2 2 2 2 5" xfId="29361" xr:uid="{B73CA9AA-F580-4F40-B9B1-89E1DEA4979B}"/>
    <cellStyle name="Normal 5 2 3 2 2 2 2 3" xfId="5213" xr:uid="{00000000-0005-0000-0000-00003A180000}"/>
    <cellStyle name="Normal 5 2 3 2 2 2 2 3 2" xfId="22986" xr:uid="{812CDE51-B435-4FF0-8B79-37600BFA8F84}"/>
    <cellStyle name="Normal 5 2 3 2 2 2 2 3 2 2" xfId="39880" xr:uid="{C11A195B-DF7B-4B42-ACE3-8BF2A34686AD}"/>
    <cellStyle name="Normal 5 2 3 2 2 2 2 3 3" xfId="14539" xr:uid="{A9BA6344-219D-461D-AF84-91E3643D06DD}"/>
    <cellStyle name="Normal 5 2 3 2 2 2 2 3 4" xfId="31433" xr:uid="{AFD9D459-C2C8-4230-95C1-906A69B3561A}"/>
    <cellStyle name="Normal 5 2 3 2 2 2 2 4" xfId="9565" xr:uid="{B33C5ECB-02D9-4BAF-B467-F38E8EEB7F6E}"/>
    <cellStyle name="Normal 5 2 3 2 2 2 2 4 2" xfId="18769" xr:uid="{7B721A25-D30E-47C2-8B70-223A328FA953}"/>
    <cellStyle name="Normal 5 2 3 2 2 2 2 4 3" xfId="35663" xr:uid="{F04636D5-36C9-4EEB-AD11-97743C551790}"/>
    <cellStyle name="Normal 5 2 3 2 2 2 2 5" xfId="10322" xr:uid="{3A7F76DF-6899-43F2-9592-BE6BC3C27FAD}"/>
    <cellStyle name="Normal 5 2 3 2 2 2 2 6" xfId="27216" xr:uid="{DE5E4547-05AD-4120-9A2F-A09DA1CC7B4D}"/>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2 2 2" xfId="25544" xr:uid="{3B7ACACE-3049-4BE4-BCF4-B861A0AFFD29}"/>
    <cellStyle name="Normal 5 2 3 2 2 2 3 2 2 2 2" xfId="42438" xr:uid="{A5375B7B-4C12-4DFC-A0DF-8D5772874757}"/>
    <cellStyle name="Normal 5 2 3 2 2 2 3 2 2 3" xfId="17097" xr:uid="{41102D2B-BA2A-435D-89D1-274B21D8393F}"/>
    <cellStyle name="Normal 5 2 3 2 2 2 3 2 2 4" xfId="33991" xr:uid="{086DAF7F-D43B-4096-B8EC-E4308AEF1C1B}"/>
    <cellStyle name="Normal 5 2 3 2 2 2 3 2 3" xfId="21327" xr:uid="{DC08A645-4A2F-4327-84D0-83D5040F7D67}"/>
    <cellStyle name="Normal 5 2 3 2 2 2 3 2 3 2" xfId="38221" xr:uid="{FF606F97-31FA-4D2A-8891-C22FA915B53C}"/>
    <cellStyle name="Normal 5 2 3 2 2 2 3 2 4" xfId="12880" xr:uid="{4FC8A491-B441-424C-A8DA-3A7DB425937C}"/>
    <cellStyle name="Normal 5 2 3 2 2 2 3 2 5" xfId="29774" xr:uid="{97F7F295-C2A3-4E62-A5D0-D9E5FCBA9422}"/>
    <cellStyle name="Normal 5 2 3 2 2 2 3 3" xfId="5626" xr:uid="{00000000-0005-0000-0000-00003E180000}"/>
    <cellStyle name="Normal 5 2 3 2 2 2 3 3 2" xfId="23399" xr:uid="{99511761-3AD6-43D2-808C-C405859BEDF4}"/>
    <cellStyle name="Normal 5 2 3 2 2 2 3 3 2 2" xfId="40293" xr:uid="{B7875277-85CF-4D94-9803-8D4115A1FFD4}"/>
    <cellStyle name="Normal 5 2 3 2 2 2 3 3 3" xfId="14952" xr:uid="{C84D9FDE-7ED1-4AE9-8333-95B55359CF00}"/>
    <cellStyle name="Normal 5 2 3 2 2 2 3 3 4" xfId="31846" xr:uid="{A9B3A74F-EE1B-41DA-9804-7F7C8DCB2116}"/>
    <cellStyle name="Normal 5 2 3 2 2 2 3 4" xfId="19182" xr:uid="{AF16931F-B021-468A-9474-B39DDED0C39F}"/>
    <cellStyle name="Normal 5 2 3 2 2 2 3 4 2" xfId="36076" xr:uid="{104B6BFE-4484-4A41-ACEA-9E89D652D277}"/>
    <cellStyle name="Normal 5 2 3 2 2 2 3 5" xfId="10735" xr:uid="{8EC9B381-EEEF-4894-B45A-F386D4873CCB}"/>
    <cellStyle name="Normal 5 2 3 2 2 2 3 6" xfId="27629" xr:uid="{3BD4CBED-E3C4-440B-A162-C58E3C36E35B}"/>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2 2 2" xfId="25957" xr:uid="{27EB207D-05F8-443C-99E2-6B67E721294B}"/>
    <cellStyle name="Normal 5 2 3 2 2 2 4 2 2 2 2" xfId="42851" xr:uid="{26C1F841-D159-4235-854E-6A3E67466895}"/>
    <cellStyle name="Normal 5 2 3 2 2 2 4 2 2 3" xfId="17510" xr:uid="{54C7604C-482F-4EE2-99ED-1FB7909C5C18}"/>
    <cellStyle name="Normal 5 2 3 2 2 2 4 2 2 4" xfId="34404" xr:uid="{C33E2149-5CA0-488F-9995-B8F7EE85915A}"/>
    <cellStyle name="Normal 5 2 3 2 2 2 4 2 3" xfId="21740" xr:uid="{44A6D35A-85A1-4852-874F-A4F111B7350F}"/>
    <cellStyle name="Normal 5 2 3 2 2 2 4 2 3 2" xfId="38634" xr:uid="{08A0EBED-4F9D-4BC5-9DA4-5D3DE9507631}"/>
    <cellStyle name="Normal 5 2 3 2 2 2 4 2 4" xfId="13293" xr:uid="{2CF62D6F-D70E-4A4A-8DE1-90544BACC0B1}"/>
    <cellStyle name="Normal 5 2 3 2 2 2 4 2 5" xfId="30187" xr:uid="{6A7409DF-B6B3-4D79-97F7-DCBC4E4124DE}"/>
    <cellStyle name="Normal 5 2 3 2 2 2 4 3" xfId="6039" xr:uid="{00000000-0005-0000-0000-000042180000}"/>
    <cellStyle name="Normal 5 2 3 2 2 2 4 3 2" xfId="23812" xr:uid="{CD70EBF9-111B-4573-B843-EC6DC2ED885E}"/>
    <cellStyle name="Normal 5 2 3 2 2 2 4 3 2 2" xfId="40706" xr:uid="{F2BEDB67-86A7-405A-987F-331A4BF6A6F9}"/>
    <cellStyle name="Normal 5 2 3 2 2 2 4 3 3" xfId="15365" xr:uid="{953C77B6-88E6-42E5-ABAE-E8B0C402DEDF}"/>
    <cellStyle name="Normal 5 2 3 2 2 2 4 3 4" xfId="32259" xr:uid="{888A0292-38A6-4698-8DB9-ABE78FE553F4}"/>
    <cellStyle name="Normal 5 2 3 2 2 2 4 4" xfId="19595" xr:uid="{0EFED60D-51EE-451D-B350-695C3423DE27}"/>
    <cellStyle name="Normal 5 2 3 2 2 2 4 4 2" xfId="36489" xr:uid="{29A13F19-5132-4D93-B8FC-3950FAC513DE}"/>
    <cellStyle name="Normal 5 2 3 2 2 2 4 5" xfId="11148" xr:uid="{23FC2CEE-EAE9-4411-8F24-CC85A3C3E630}"/>
    <cellStyle name="Normal 5 2 3 2 2 2 4 6" xfId="28042" xr:uid="{06B14FFB-DF29-41BD-AB9C-5DEA7D7E859C}"/>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2 2 2" xfId="26370" xr:uid="{932D3816-16BE-497E-A954-344641E2FE21}"/>
    <cellStyle name="Normal 5 2 3 2 2 2 5 2 2 2 2" xfId="43264" xr:uid="{5C6EB44C-784D-4641-BE5E-B39E79A1D539}"/>
    <cellStyle name="Normal 5 2 3 2 2 2 5 2 2 3" xfId="17923" xr:uid="{10D20F35-E9F9-4A2A-9DE4-B5D3EE024400}"/>
    <cellStyle name="Normal 5 2 3 2 2 2 5 2 2 4" xfId="34817" xr:uid="{EECBA967-B144-43D4-BA5A-9080DF002711}"/>
    <cellStyle name="Normal 5 2 3 2 2 2 5 2 3" xfId="22153" xr:uid="{1A08BB08-29CC-41DC-89D6-B29E13B1926B}"/>
    <cellStyle name="Normal 5 2 3 2 2 2 5 2 3 2" xfId="39047" xr:uid="{F658BBC5-85B8-42E7-8CCC-44BE52091735}"/>
    <cellStyle name="Normal 5 2 3 2 2 2 5 2 4" xfId="13706" xr:uid="{9049DD5A-0A66-42B9-A217-7A4C206B75AB}"/>
    <cellStyle name="Normal 5 2 3 2 2 2 5 2 5" xfId="30600" xr:uid="{60B4D597-3F79-4183-8796-94C98E6B81F2}"/>
    <cellStyle name="Normal 5 2 3 2 2 2 5 3" xfId="6452" xr:uid="{00000000-0005-0000-0000-000046180000}"/>
    <cellStyle name="Normal 5 2 3 2 2 2 5 3 2" xfId="24225" xr:uid="{17CB5036-5EC4-4A39-9224-825F011501F9}"/>
    <cellStyle name="Normal 5 2 3 2 2 2 5 3 2 2" xfId="41119" xr:uid="{60823F11-5541-4D4E-AB66-281D4A7AE79F}"/>
    <cellStyle name="Normal 5 2 3 2 2 2 5 3 3" xfId="15778" xr:uid="{B6C1A0E6-E2CD-4DF2-844B-F709EB97D5DD}"/>
    <cellStyle name="Normal 5 2 3 2 2 2 5 3 4" xfId="32672" xr:uid="{0E7DE41B-B705-4B8C-89E0-F8AA261C803B}"/>
    <cellStyle name="Normal 5 2 3 2 2 2 5 4" xfId="20008" xr:uid="{8CF5563B-DE46-4289-BAB6-3C621D8EFA16}"/>
    <cellStyle name="Normal 5 2 3 2 2 2 5 4 2" xfId="36902" xr:uid="{42BDB3CE-84C0-4BAD-B024-F91B8C240A05}"/>
    <cellStyle name="Normal 5 2 3 2 2 2 5 5" xfId="11561" xr:uid="{CEEB0A94-31E6-43F0-A7D9-7EA664BFC5C1}"/>
    <cellStyle name="Normal 5 2 3 2 2 2 5 6" xfId="28455" xr:uid="{72469B7F-979B-461C-9868-6C4680B660C7}"/>
    <cellStyle name="Normal 5 2 3 2 2 2 6" xfId="2582" xr:uid="{00000000-0005-0000-0000-000047180000}"/>
    <cellStyle name="Normal 5 2 3 2 2 2 6 2" xfId="6865" xr:uid="{00000000-0005-0000-0000-000048180000}"/>
    <cellStyle name="Normal 5 2 3 2 2 2 6 2 2" xfId="24638" xr:uid="{7CEA009B-CAB2-48DC-A46B-D9309FE8E693}"/>
    <cellStyle name="Normal 5 2 3 2 2 2 6 2 2 2" xfId="41532" xr:uid="{1DB89249-E633-4C66-8737-B155CEF0A022}"/>
    <cellStyle name="Normal 5 2 3 2 2 2 6 2 3" xfId="16191" xr:uid="{D0EF208B-31FF-42AE-B522-AFB505347586}"/>
    <cellStyle name="Normal 5 2 3 2 2 2 6 2 4" xfId="33085" xr:uid="{AE143120-B481-4906-8EF9-E1FAB7BDCBC3}"/>
    <cellStyle name="Normal 5 2 3 2 2 2 6 3" xfId="20421" xr:uid="{25FE4B41-7C93-4353-B2BA-832C8F831D4C}"/>
    <cellStyle name="Normal 5 2 3 2 2 2 6 3 2" xfId="37315" xr:uid="{7BF0AC4E-BFA6-4355-9BA2-A76069F837FF}"/>
    <cellStyle name="Normal 5 2 3 2 2 2 6 4" xfId="11974" xr:uid="{3905DB94-9BD9-4D29-A4DA-479CBE200C07}"/>
    <cellStyle name="Normal 5 2 3 2 2 2 6 5" xfId="28868" xr:uid="{6C757092-27A0-4D63-A8B7-AA7AC1E8BC25}"/>
    <cellStyle name="Normal 5 2 3 2 2 2 7" xfId="4800" xr:uid="{00000000-0005-0000-0000-000049180000}"/>
    <cellStyle name="Normal 5 2 3 2 2 2 7 2" xfId="22573" xr:uid="{8779C7C3-5A1B-4CF7-8618-6E89118C6417}"/>
    <cellStyle name="Normal 5 2 3 2 2 2 7 2 2" xfId="39467" xr:uid="{02749B10-464D-49B9-92C2-6B1A994E7E80}"/>
    <cellStyle name="Normal 5 2 3 2 2 2 7 3" xfId="14126" xr:uid="{1A40D2CA-5CEC-465A-BAC5-B5578D79C33F}"/>
    <cellStyle name="Normal 5 2 3 2 2 2 7 4" xfId="31020" xr:uid="{D1BCE0ED-43FB-4276-965C-EE9EB98EAFCA}"/>
    <cellStyle name="Normal 5 2 3 2 2 2 8" xfId="9140" xr:uid="{175A16DB-BA54-4083-AB68-1FA46DB27A86}"/>
    <cellStyle name="Normal 5 2 3 2 2 2 8 2" xfId="18356" xr:uid="{FEE8119E-3C50-49FF-B7DD-F6B07F0EFA50}"/>
    <cellStyle name="Normal 5 2 3 2 2 2 8 3" xfId="35250" xr:uid="{D429DDEC-B6ED-4BB7-972D-72406CD923CE}"/>
    <cellStyle name="Normal 5 2 3 2 2 2 9" xfId="9909" xr:uid="{78B2279E-6494-405C-9A11-A4221A82E675}"/>
    <cellStyle name="Normal 5 2 3 2 2 3" xfId="900" xr:uid="{00000000-0005-0000-0000-00004A180000}"/>
    <cellStyle name="Normal 5 2 3 2 2 3 2" xfId="3135" xr:uid="{00000000-0005-0000-0000-00004B180000}"/>
    <cellStyle name="Normal 5 2 3 2 2 3 2 2" xfId="7357" xr:uid="{00000000-0005-0000-0000-00004C180000}"/>
    <cellStyle name="Normal 5 2 3 2 2 3 2 2 2" xfId="25130" xr:uid="{8584C863-D598-46D0-8D23-1CE7C79BFFFA}"/>
    <cellStyle name="Normal 5 2 3 2 2 3 2 2 2 2" xfId="42024" xr:uid="{6A914EE8-3C4D-48CA-97DA-2E6C4087C3DF}"/>
    <cellStyle name="Normal 5 2 3 2 2 3 2 2 3" xfId="16683" xr:uid="{1AE223EC-1827-42C0-9B03-7EC1084DDD99}"/>
    <cellStyle name="Normal 5 2 3 2 2 3 2 2 4" xfId="33577" xr:uid="{C74ADE9C-7690-4B96-B353-4985C1D12471}"/>
    <cellStyle name="Normal 5 2 3 2 2 3 2 3" xfId="20913" xr:uid="{67FE1792-02A4-46D0-A45A-984DDC5D14C7}"/>
    <cellStyle name="Normal 5 2 3 2 2 3 2 3 2" xfId="37807" xr:uid="{00D5E43B-5EB7-4248-922E-ADE8AF5BEF8D}"/>
    <cellStyle name="Normal 5 2 3 2 2 3 2 4" xfId="12466" xr:uid="{AE0BB9D9-6300-4DE6-B67D-BBBB40B8D76C}"/>
    <cellStyle name="Normal 5 2 3 2 2 3 2 5" xfId="29360" xr:uid="{2144DF20-03E3-4EB5-B980-469877868B41}"/>
    <cellStyle name="Normal 5 2 3 2 2 3 3" xfId="5212" xr:uid="{00000000-0005-0000-0000-00004D180000}"/>
    <cellStyle name="Normal 5 2 3 2 2 3 3 2" xfId="22985" xr:uid="{48CEDD82-8F68-426F-83C3-361178346EC4}"/>
    <cellStyle name="Normal 5 2 3 2 2 3 3 2 2" xfId="39879" xr:uid="{94224AF3-61E8-48DE-ADCC-06622BC66535}"/>
    <cellStyle name="Normal 5 2 3 2 2 3 3 3" xfId="14538" xr:uid="{56B47AD0-2D88-4D44-B80D-A27AFCD60E7E}"/>
    <cellStyle name="Normal 5 2 3 2 2 3 3 4" xfId="31432" xr:uid="{3F23961F-1901-4331-8BEE-D99FBCEF270B}"/>
    <cellStyle name="Normal 5 2 3 2 2 3 4" xfId="9358" xr:uid="{5B196E7D-8DD9-4C59-A83C-7626B0E60040}"/>
    <cellStyle name="Normal 5 2 3 2 2 3 4 2" xfId="18768" xr:uid="{EA9471DA-C148-4A99-8CC2-C7773F9D476C}"/>
    <cellStyle name="Normal 5 2 3 2 2 3 4 3" xfId="35662" xr:uid="{DDFA41FE-F25B-4D20-A29D-F2FE6C8E23A0}"/>
    <cellStyle name="Normal 5 2 3 2 2 3 5" xfId="10321" xr:uid="{DA2AC452-2C5F-4620-9872-0ED5CA4E913B}"/>
    <cellStyle name="Normal 5 2 3 2 2 3 6" xfId="27215" xr:uid="{D12709CD-9D95-47CD-99C4-68480FD58DF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2 2 2" xfId="25543" xr:uid="{15F54BB6-DC1B-4019-8FCF-7EC89B697A02}"/>
    <cellStyle name="Normal 5 2 3 2 2 4 2 2 2 2" xfId="42437" xr:uid="{451CAA75-CB6B-4C83-8CC9-E35F810706C0}"/>
    <cellStyle name="Normal 5 2 3 2 2 4 2 2 3" xfId="17096" xr:uid="{970B098F-309B-47A0-8FF7-27EA70373FB3}"/>
    <cellStyle name="Normal 5 2 3 2 2 4 2 2 4" xfId="33990" xr:uid="{B5B96DC8-310F-4D3A-B5E5-5912CEA9737E}"/>
    <cellStyle name="Normal 5 2 3 2 2 4 2 3" xfId="21326" xr:uid="{0F3CB390-1992-4558-B7F6-B7F798491D32}"/>
    <cellStyle name="Normal 5 2 3 2 2 4 2 3 2" xfId="38220" xr:uid="{24A7D97F-5451-4454-9A6E-019AD94DC993}"/>
    <cellStyle name="Normal 5 2 3 2 2 4 2 4" xfId="12879" xr:uid="{8F3AC521-706F-48BF-9274-2E2100882482}"/>
    <cellStyle name="Normal 5 2 3 2 2 4 2 5" xfId="29773" xr:uid="{933028B7-7F1A-436D-B44D-5BBBE39D873C}"/>
    <cellStyle name="Normal 5 2 3 2 2 4 3" xfId="5625" xr:uid="{00000000-0005-0000-0000-000051180000}"/>
    <cellStyle name="Normal 5 2 3 2 2 4 3 2" xfId="23398" xr:uid="{E59DA122-C256-456D-B922-8168C1B93F8E}"/>
    <cellStyle name="Normal 5 2 3 2 2 4 3 2 2" xfId="40292" xr:uid="{3A631A2C-1C6C-4510-B1DD-AFF6A46EB888}"/>
    <cellStyle name="Normal 5 2 3 2 2 4 3 3" xfId="14951" xr:uid="{F6C992C1-50B6-4A49-91CD-E286FB3F7342}"/>
    <cellStyle name="Normal 5 2 3 2 2 4 3 4" xfId="31845" xr:uid="{F6A74F5C-28CC-4F3A-8A18-0D6E637577AF}"/>
    <cellStyle name="Normal 5 2 3 2 2 4 4" xfId="19181" xr:uid="{EB896FD6-C96A-43AB-8B35-C1DFA1DEE936}"/>
    <cellStyle name="Normal 5 2 3 2 2 4 4 2" xfId="36075" xr:uid="{26B1C6EA-71AC-46B9-A051-EA894716A4DD}"/>
    <cellStyle name="Normal 5 2 3 2 2 4 5" xfId="10734" xr:uid="{C0580B3B-6977-4BEB-B63B-4F365BB1D857}"/>
    <cellStyle name="Normal 5 2 3 2 2 4 6" xfId="27628" xr:uid="{E920632D-F2EF-4E26-B2A8-76BF5CCEEDB4}"/>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2 2 2" xfId="25956" xr:uid="{D3EF1D18-D175-4770-AD47-64CE941044D8}"/>
    <cellStyle name="Normal 5 2 3 2 2 5 2 2 2 2" xfId="42850" xr:uid="{1AB0BDDC-F6CD-4859-938F-1E9D92D38170}"/>
    <cellStyle name="Normal 5 2 3 2 2 5 2 2 3" xfId="17509" xr:uid="{D96A4320-475A-484D-B6D8-E0F740966A57}"/>
    <cellStyle name="Normal 5 2 3 2 2 5 2 2 4" xfId="34403" xr:uid="{BC5068EF-B858-4A11-A1B5-89483D10F7D3}"/>
    <cellStyle name="Normal 5 2 3 2 2 5 2 3" xfId="21739" xr:uid="{F63E239F-878A-4102-8D5A-37C6E98352A1}"/>
    <cellStyle name="Normal 5 2 3 2 2 5 2 3 2" xfId="38633" xr:uid="{F2591E0B-188A-462D-B85A-598876505B93}"/>
    <cellStyle name="Normal 5 2 3 2 2 5 2 4" xfId="13292" xr:uid="{489C3C85-E8AB-4148-A245-CE18152B80B1}"/>
    <cellStyle name="Normal 5 2 3 2 2 5 2 5" xfId="30186" xr:uid="{E40BDFF5-CCD4-46A5-BE72-0B57DA2DBA5F}"/>
    <cellStyle name="Normal 5 2 3 2 2 5 3" xfId="6038" xr:uid="{00000000-0005-0000-0000-000055180000}"/>
    <cellStyle name="Normal 5 2 3 2 2 5 3 2" xfId="23811" xr:uid="{053A9E7B-4F7B-4DDC-A569-28DA0F34CE14}"/>
    <cellStyle name="Normal 5 2 3 2 2 5 3 2 2" xfId="40705" xr:uid="{B9FFD13C-0058-4DC0-ADC9-CFA76A712AB8}"/>
    <cellStyle name="Normal 5 2 3 2 2 5 3 3" xfId="15364" xr:uid="{B807C4D1-219D-4466-95C8-B353CF8DFFF9}"/>
    <cellStyle name="Normal 5 2 3 2 2 5 3 4" xfId="32258" xr:uid="{9F21E57E-3D93-48D6-83DD-8C75FDBF23F1}"/>
    <cellStyle name="Normal 5 2 3 2 2 5 4" xfId="19594" xr:uid="{02645B06-4734-4696-AB60-4F3E6845D73D}"/>
    <cellStyle name="Normal 5 2 3 2 2 5 4 2" xfId="36488" xr:uid="{49BB4145-6512-40A4-B754-2397488CD5FC}"/>
    <cellStyle name="Normal 5 2 3 2 2 5 5" xfId="11147" xr:uid="{324DCFD4-F8B5-477C-BE4F-69C303B8680D}"/>
    <cellStyle name="Normal 5 2 3 2 2 5 6" xfId="28041" xr:uid="{69BAE5DF-71F0-414B-962D-FAA5F83F8F8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2 2 2" xfId="26369" xr:uid="{8079E787-F168-4D82-B7DE-A52BD6D97587}"/>
    <cellStyle name="Normal 5 2 3 2 2 6 2 2 2 2" xfId="43263" xr:uid="{1C9F7282-BC98-4ECB-BA66-C9FA75AEB145}"/>
    <cellStyle name="Normal 5 2 3 2 2 6 2 2 3" xfId="17922" xr:uid="{8F05CF3C-F5D8-4CC6-AFA8-6046C4B0557F}"/>
    <cellStyle name="Normal 5 2 3 2 2 6 2 2 4" xfId="34816" xr:uid="{361C838B-F1F1-4DA2-84BE-C749A2FF6793}"/>
    <cellStyle name="Normal 5 2 3 2 2 6 2 3" xfId="22152" xr:uid="{C50A043A-23D9-4E7B-94BF-5EDDDAB4D317}"/>
    <cellStyle name="Normal 5 2 3 2 2 6 2 3 2" xfId="39046" xr:uid="{B552FA72-47DC-4C6A-A380-6D2CF5FEB6C5}"/>
    <cellStyle name="Normal 5 2 3 2 2 6 2 4" xfId="13705" xr:uid="{B2922B5D-671E-44B8-9D71-66FEA20DBB6A}"/>
    <cellStyle name="Normal 5 2 3 2 2 6 2 5" xfId="30599" xr:uid="{3381EB13-2B02-440F-A4F6-FDDF13189E78}"/>
    <cellStyle name="Normal 5 2 3 2 2 6 3" xfId="6451" xr:uid="{00000000-0005-0000-0000-000059180000}"/>
    <cellStyle name="Normal 5 2 3 2 2 6 3 2" xfId="24224" xr:uid="{6A79878B-7243-411D-A02A-7A6C98B0CBAA}"/>
    <cellStyle name="Normal 5 2 3 2 2 6 3 2 2" xfId="41118" xr:uid="{E866D2A9-AF54-4143-A6EB-9563AD048AC7}"/>
    <cellStyle name="Normal 5 2 3 2 2 6 3 3" xfId="15777" xr:uid="{98999DC3-E7D6-4F1F-9181-DBF2D4014059}"/>
    <cellStyle name="Normal 5 2 3 2 2 6 3 4" xfId="32671" xr:uid="{DBE59ACC-4A7E-48A4-B5A9-6A1E39DD2D6B}"/>
    <cellStyle name="Normal 5 2 3 2 2 6 4" xfId="20007" xr:uid="{C4C0EB01-90CD-47CE-AFCE-27CCD64CB90F}"/>
    <cellStyle name="Normal 5 2 3 2 2 6 4 2" xfId="36901" xr:uid="{CE99BA63-888F-4B6B-ADE8-E7803B994E58}"/>
    <cellStyle name="Normal 5 2 3 2 2 6 5" xfId="11560" xr:uid="{23397E9A-E684-4508-AA86-8973238EE067}"/>
    <cellStyle name="Normal 5 2 3 2 2 6 6" xfId="28454" xr:uid="{901A713B-FCF8-47F1-BA96-842ECD06B536}"/>
    <cellStyle name="Normal 5 2 3 2 2 7" xfId="2581" xr:uid="{00000000-0005-0000-0000-00005A180000}"/>
    <cellStyle name="Normal 5 2 3 2 2 7 2" xfId="6864" xr:uid="{00000000-0005-0000-0000-00005B180000}"/>
    <cellStyle name="Normal 5 2 3 2 2 7 2 2" xfId="24637" xr:uid="{952E1D37-3DAF-4732-8AB3-BD7031B99EA0}"/>
    <cellStyle name="Normal 5 2 3 2 2 7 2 2 2" xfId="41531" xr:uid="{502CC794-D350-40AE-AF0F-093DB0046C06}"/>
    <cellStyle name="Normal 5 2 3 2 2 7 2 3" xfId="16190" xr:uid="{0F36D397-89F5-4789-9F44-9111E829DF96}"/>
    <cellStyle name="Normal 5 2 3 2 2 7 2 4" xfId="33084" xr:uid="{642DEA88-DCF2-4733-BEA7-EA0CC7761E6F}"/>
    <cellStyle name="Normal 5 2 3 2 2 7 3" xfId="20420" xr:uid="{0A38AE88-D39C-40C0-881A-549C93B5F360}"/>
    <cellStyle name="Normal 5 2 3 2 2 7 3 2" xfId="37314" xr:uid="{5B5EE081-D2BA-4ED8-A6B8-CC25918F76ED}"/>
    <cellStyle name="Normal 5 2 3 2 2 7 4" xfId="11973" xr:uid="{9A44825A-E1EA-4989-A48E-53F6FBCDEE4F}"/>
    <cellStyle name="Normal 5 2 3 2 2 7 5" xfId="28867" xr:uid="{77C1B7D2-0FC0-474D-866D-34DFFC217A6F}"/>
    <cellStyle name="Normal 5 2 3 2 2 8" xfId="4799" xr:uid="{00000000-0005-0000-0000-00005C180000}"/>
    <cellStyle name="Normal 5 2 3 2 2 8 2" xfId="22572" xr:uid="{C966C6DD-DC87-464E-9AF7-CD154B9256D4}"/>
    <cellStyle name="Normal 5 2 3 2 2 8 2 2" xfId="39466" xr:uid="{6558649E-B6CD-4A7C-A2F3-5089EB8B17FB}"/>
    <cellStyle name="Normal 5 2 3 2 2 8 3" xfId="14125" xr:uid="{3D351063-7C7A-4C29-AD71-03ABD0B6290D}"/>
    <cellStyle name="Normal 5 2 3 2 2 8 4" xfId="31019" xr:uid="{B3D6FFC3-6D57-456F-B513-F3EF82836976}"/>
    <cellStyle name="Normal 5 2 3 2 2 9" xfId="8933" xr:uid="{2228AC18-CB51-4AF4-A227-403A8409C6C2}"/>
    <cellStyle name="Normal 5 2 3 2 2 9 2" xfId="18355" xr:uid="{AC0985CB-5AC9-46B8-A94C-3E5C1F836E15}"/>
    <cellStyle name="Normal 5 2 3 2 2 9 3" xfId="35249" xr:uid="{512466B1-421A-43DA-A3DD-1A967EF573FA}"/>
    <cellStyle name="Normal 5 2 3 2 3" xfId="428" xr:uid="{00000000-0005-0000-0000-00005D180000}"/>
    <cellStyle name="Normal 5 2 3 2 3 10" xfId="26804" xr:uid="{C3F1D0C7-32ED-472F-90B0-1C0D5E2EC283}"/>
    <cellStyle name="Normal 5 2 3 2 3 2" xfId="902" xr:uid="{00000000-0005-0000-0000-00005E180000}"/>
    <cellStyle name="Normal 5 2 3 2 3 2 2" xfId="3137" xr:uid="{00000000-0005-0000-0000-00005F180000}"/>
    <cellStyle name="Normal 5 2 3 2 3 2 2 2" xfId="7359" xr:uid="{00000000-0005-0000-0000-000060180000}"/>
    <cellStyle name="Normal 5 2 3 2 3 2 2 2 2" xfId="25132" xr:uid="{5478E129-C446-476D-BC9D-CC4B06FC3A36}"/>
    <cellStyle name="Normal 5 2 3 2 3 2 2 2 2 2" xfId="42026" xr:uid="{36613751-A5E8-4C56-851A-E0A6D0E7BD92}"/>
    <cellStyle name="Normal 5 2 3 2 3 2 2 2 3" xfId="16685" xr:uid="{BBDD5A2E-8F07-4752-8755-C708FFA869BD}"/>
    <cellStyle name="Normal 5 2 3 2 3 2 2 2 4" xfId="33579" xr:uid="{EDB6F4EA-EBC9-44D7-A8C2-F9764DB4EB12}"/>
    <cellStyle name="Normal 5 2 3 2 3 2 2 3" xfId="20915" xr:uid="{FC515DEA-BE84-4D92-A57D-B18AA118C3B5}"/>
    <cellStyle name="Normal 5 2 3 2 3 2 2 3 2" xfId="37809" xr:uid="{751717DB-1CC9-4243-A6C1-4FF6980A4D14}"/>
    <cellStyle name="Normal 5 2 3 2 3 2 2 4" xfId="12468" xr:uid="{D9B0383B-133E-4624-817B-831F66D502A7}"/>
    <cellStyle name="Normal 5 2 3 2 3 2 2 5" xfId="29362" xr:uid="{8DD27AD0-110A-4ADD-8F9E-5376E81DBD7F}"/>
    <cellStyle name="Normal 5 2 3 2 3 2 3" xfId="5214" xr:uid="{00000000-0005-0000-0000-000061180000}"/>
    <cellStyle name="Normal 5 2 3 2 3 2 3 2" xfId="22987" xr:uid="{9251B9B6-204A-45B3-963B-409805E96FB5}"/>
    <cellStyle name="Normal 5 2 3 2 3 2 3 2 2" xfId="39881" xr:uid="{516AD3E9-45FB-4062-B8C3-BE44765B180C}"/>
    <cellStyle name="Normal 5 2 3 2 3 2 3 3" xfId="14540" xr:uid="{AB89963A-E362-4ACB-BEAE-FDC271BD4308}"/>
    <cellStyle name="Normal 5 2 3 2 3 2 3 4" xfId="31434" xr:uid="{A08E28F3-E737-4540-B0A2-33F773FCBD38}"/>
    <cellStyle name="Normal 5 2 3 2 3 2 4" xfId="9462" xr:uid="{B4C14F1A-A88A-428F-A7F8-BAFD7E5CD045}"/>
    <cellStyle name="Normal 5 2 3 2 3 2 4 2" xfId="18770" xr:uid="{19C0F7AA-5A57-452A-A552-094A50CEFAF3}"/>
    <cellStyle name="Normal 5 2 3 2 3 2 4 3" xfId="35664" xr:uid="{027CA70B-4868-4B7F-AAFC-8BB8402A42EB}"/>
    <cellStyle name="Normal 5 2 3 2 3 2 5" xfId="10323" xr:uid="{5245BB69-952F-4E3A-B545-ED602D35CA6F}"/>
    <cellStyle name="Normal 5 2 3 2 3 2 6" xfId="27217" xr:uid="{8572517C-C92E-47AF-9870-1E03FCA9D92D}"/>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2 2 2" xfId="25545" xr:uid="{A442D4DE-0910-42A4-9C6D-0D154D4E1323}"/>
    <cellStyle name="Normal 5 2 3 2 3 3 2 2 2 2" xfId="42439" xr:uid="{FF1CCA3D-CBE0-4C8F-B917-A81295B738C6}"/>
    <cellStyle name="Normal 5 2 3 2 3 3 2 2 3" xfId="17098" xr:uid="{08B38ED9-3F3F-4D94-8C09-76BA0EACBF35}"/>
    <cellStyle name="Normal 5 2 3 2 3 3 2 2 4" xfId="33992" xr:uid="{5F6F1661-9CA9-4383-AA6C-5F3501CE144C}"/>
    <cellStyle name="Normal 5 2 3 2 3 3 2 3" xfId="21328" xr:uid="{6EA9BCC0-F402-4B36-B264-CA6CF2FF06A8}"/>
    <cellStyle name="Normal 5 2 3 2 3 3 2 3 2" xfId="38222" xr:uid="{70AAD81D-FA59-41B2-9A9B-437DF69E399F}"/>
    <cellStyle name="Normal 5 2 3 2 3 3 2 4" xfId="12881" xr:uid="{D76BAFD9-4202-4866-B624-BD7ACB152112}"/>
    <cellStyle name="Normal 5 2 3 2 3 3 2 5" xfId="29775" xr:uid="{2314CC0C-6629-419A-818A-1888CC091EF3}"/>
    <cellStyle name="Normal 5 2 3 2 3 3 3" xfId="5627" xr:uid="{00000000-0005-0000-0000-000065180000}"/>
    <cellStyle name="Normal 5 2 3 2 3 3 3 2" xfId="23400" xr:uid="{BEBD8F39-71B8-4A8F-B82C-E2D9B62F75CD}"/>
    <cellStyle name="Normal 5 2 3 2 3 3 3 2 2" xfId="40294" xr:uid="{8DF485E2-5743-43AA-89C6-69372D8CC44D}"/>
    <cellStyle name="Normal 5 2 3 2 3 3 3 3" xfId="14953" xr:uid="{CC6390E3-2844-4C16-922F-DD817A306080}"/>
    <cellStyle name="Normal 5 2 3 2 3 3 3 4" xfId="31847" xr:uid="{D80937CE-D1E9-4099-ABF6-9708C78F4627}"/>
    <cellStyle name="Normal 5 2 3 2 3 3 4" xfId="19183" xr:uid="{A5301DAC-6679-4A2B-A266-E35739E91CAC}"/>
    <cellStyle name="Normal 5 2 3 2 3 3 4 2" xfId="36077" xr:uid="{A029BD06-3373-45E3-B8C7-E6C695EEAC49}"/>
    <cellStyle name="Normal 5 2 3 2 3 3 5" xfId="10736" xr:uid="{0FCA86AA-A14C-4411-9314-F88D7BE4FEF7}"/>
    <cellStyle name="Normal 5 2 3 2 3 3 6" xfId="27630" xr:uid="{326D40E3-58EB-4F81-A4DB-DD103EDF66D3}"/>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2 2 2" xfId="25958" xr:uid="{46734E91-A915-4215-A316-6831E9329186}"/>
    <cellStyle name="Normal 5 2 3 2 3 4 2 2 2 2" xfId="42852" xr:uid="{B478C12B-0A3A-43EE-9B98-D8AB382DFAA5}"/>
    <cellStyle name="Normal 5 2 3 2 3 4 2 2 3" xfId="17511" xr:uid="{03EE1AE6-C140-469C-9081-39EC1B0926CC}"/>
    <cellStyle name="Normal 5 2 3 2 3 4 2 2 4" xfId="34405" xr:uid="{F7697197-CF9A-4B39-BE9F-705AD09BC57B}"/>
    <cellStyle name="Normal 5 2 3 2 3 4 2 3" xfId="21741" xr:uid="{F3D465B6-A0AD-43D9-85B3-53D80F15A49A}"/>
    <cellStyle name="Normal 5 2 3 2 3 4 2 3 2" xfId="38635" xr:uid="{231653AD-C5A8-42C7-B7C4-BF2C2E5900AF}"/>
    <cellStyle name="Normal 5 2 3 2 3 4 2 4" xfId="13294" xr:uid="{9954E714-29A4-408F-B49D-4A6A9C7D2140}"/>
    <cellStyle name="Normal 5 2 3 2 3 4 2 5" xfId="30188" xr:uid="{4F5F43B6-92EB-4967-B5E6-0173AC258C61}"/>
    <cellStyle name="Normal 5 2 3 2 3 4 3" xfId="6040" xr:uid="{00000000-0005-0000-0000-000069180000}"/>
    <cellStyle name="Normal 5 2 3 2 3 4 3 2" xfId="23813" xr:uid="{2BA360CE-CC91-47E0-A61A-860D870C4AC4}"/>
    <cellStyle name="Normal 5 2 3 2 3 4 3 2 2" xfId="40707" xr:uid="{1CBA14F2-D25B-445E-8A9E-9B62E8644DBA}"/>
    <cellStyle name="Normal 5 2 3 2 3 4 3 3" xfId="15366" xr:uid="{6CF6F7D5-48F9-4B77-8F3A-9E1C7AC1E44E}"/>
    <cellStyle name="Normal 5 2 3 2 3 4 3 4" xfId="32260" xr:uid="{F2222168-710E-489B-A683-4C98CB0EB3C4}"/>
    <cellStyle name="Normal 5 2 3 2 3 4 4" xfId="19596" xr:uid="{63A13538-B45C-430D-AE6A-F763D862EEAB}"/>
    <cellStyle name="Normal 5 2 3 2 3 4 4 2" xfId="36490" xr:uid="{B5317FFB-FC00-4BDC-84BC-7864417D6B79}"/>
    <cellStyle name="Normal 5 2 3 2 3 4 5" xfId="11149" xr:uid="{3A0A173C-246B-46DF-BF34-5513ACFA4A3B}"/>
    <cellStyle name="Normal 5 2 3 2 3 4 6" xfId="28043" xr:uid="{A1CA9997-AECF-45F3-95D4-B7D4325A3705}"/>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2 2 2" xfId="26371" xr:uid="{BE6A672E-AD7B-465B-8F68-9BBAEBE50FE7}"/>
    <cellStyle name="Normal 5 2 3 2 3 5 2 2 2 2" xfId="43265" xr:uid="{8DCAB8A5-2B75-4F26-BFDD-350618599C8B}"/>
    <cellStyle name="Normal 5 2 3 2 3 5 2 2 3" xfId="17924" xr:uid="{56C09B3A-9713-4DC0-954C-7E227F2A7401}"/>
    <cellStyle name="Normal 5 2 3 2 3 5 2 2 4" xfId="34818" xr:uid="{588B6232-E03E-47D0-8984-500D592D9960}"/>
    <cellStyle name="Normal 5 2 3 2 3 5 2 3" xfId="22154" xr:uid="{4B13D77A-4283-4F7A-B976-CF4AD9BFD070}"/>
    <cellStyle name="Normal 5 2 3 2 3 5 2 3 2" xfId="39048" xr:uid="{8E5C8CA3-FF4E-498A-B166-F09879F85BF5}"/>
    <cellStyle name="Normal 5 2 3 2 3 5 2 4" xfId="13707" xr:uid="{CAF30644-FBF9-46D1-B25C-4DA27E7D0C11}"/>
    <cellStyle name="Normal 5 2 3 2 3 5 2 5" xfId="30601" xr:uid="{12A0F675-CB81-430A-A100-93B16B87A848}"/>
    <cellStyle name="Normal 5 2 3 2 3 5 3" xfId="6453" xr:uid="{00000000-0005-0000-0000-00006D180000}"/>
    <cellStyle name="Normal 5 2 3 2 3 5 3 2" xfId="24226" xr:uid="{296B819D-19A1-4E1E-9262-664C1B7F1AC3}"/>
    <cellStyle name="Normal 5 2 3 2 3 5 3 2 2" xfId="41120" xr:uid="{28524D3D-871A-4254-9401-86EFED5C428E}"/>
    <cellStyle name="Normal 5 2 3 2 3 5 3 3" xfId="15779" xr:uid="{8DAEEFF6-7E02-49C7-89B8-E04B9D35FE23}"/>
    <cellStyle name="Normal 5 2 3 2 3 5 3 4" xfId="32673" xr:uid="{1B208DBB-99BC-4C29-BB38-F09A1887C72E}"/>
    <cellStyle name="Normal 5 2 3 2 3 5 4" xfId="20009" xr:uid="{D6525D76-4D45-4747-92CB-8E9C36F8D2F2}"/>
    <cellStyle name="Normal 5 2 3 2 3 5 4 2" xfId="36903" xr:uid="{1109B58B-7071-42D0-8CD4-02376B29526B}"/>
    <cellStyle name="Normal 5 2 3 2 3 5 5" xfId="11562" xr:uid="{21F9C7D2-B270-46CB-A789-B21C0057E76C}"/>
    <cellStyle name="Normal 5 2 3 2 3 5 6" xfId="28456" xr:uid="{CB68249E-8527-4AB6-B71C-57F1A6415B21}"/>
    <cellStyle name="Normal 5 2 3 2 3 6" xfId="2583" xr:uid="{00000000-0005-0000-0000-00006E180000}"/>
    <cellStyle name="Normal 5 2 3 2 3 6 2" xfId="6866" xr:uid="{00000000-0005-0000-0000-00006F180000}"/>
    <cellStyle name="Normal 5 2 3 2 3 6 2 2" xfId="24639" xr:uid="{DBB42D45-B7F3-46D0-94B0-3A14DDDD53E7}"/>
    <cellStyle name="Normal 5 2 3 2 3 6 2 2 2" xfId="41533" xr:uid="{C27AD220-8028-4246-A762-A7A7ECA62260}"/>
    <cellStyle name="Normal 5 2 3 2 3 6 2 3" xfId="16192" xr:uid="{8AE6BF20-C052-4FEE-B05A-C38E1FE6762A}"/>
    <cellStyle name="Normal 5 2 3 2 3 6 2 4" xfId="33086" xr:uid="{C478DF48-3B59-45FC-B916-F01159F3AE21}"/>
    <cellStyle name="Normal 5 2 3 2 3 6 3" xfId="20422" xr:uid="{CA1A3EC0-8E6B-4000-88E4-2F6FF9D6FAEB}"/>
    <cellStyle name="Normal 5 2 3 2 3 6 3 2" xfId="37316" xr:uid="{D43D411E-33E5-40CB-96E7-BD8F4BA285DE}"/>
    <cellStyle name="Normal 5 2 3 2 3 6 4" xfId="11975" xr:uid="{E10563C6-A72C-45CD-A5C1-85730799D06B}"/>
    <cellStyle name="Normal 5 2 3 2 3 6 5" xfId="28869" xr:uid="{A79904A4-C0B0-483B-80C9-8672CF0B94AA}"/>
    <cellStyle name="Normal 5 2 3 2 3 7" xfId="4801" xr:uid="{00000000-0005-0000-0000-000070180000}"/>
    <cellStyle name="Normal 5 2 3 2 3 7 2" xfId="22574" xr:uid="{CEE17481-D5BC-4E5F-81A4-5AAFA56D9BDD}"/>
    <cellStyle name="Normal 5 2 3 2 3 7 2 2" xfId="39468" xr:uid="{339427D6-9316-4DFB-A143-3EC0AF9AF1AA}"/>
    <cellStyle name="Normal 5 2 3 2 3 7 3" xfId="14127" xr:uid="{5B39F41F-A220-4E10-A3B7-7EC3652FC9E7}"/>
    <cellStyle name="Normal 5 2 3 2 3 7 4" xfId="31021" xr:uid="{AFABF797-1633-4A88-8616-DB748FAF15D9}"/>
    <cellStyle name="Normal 5 2 3 2 3 8" xfId="9037" xr:uid="{EED46D7F-EFCD-4AC1-931D-AB06B694E7BE}"/>
    <cellStyle name="Normal 5 2 3 2 3 8 2" xfId="18357" xr:uid="{CBFCB4FB-58FF-44A9-8D4A-B147C7170AAE}"/>
    <cellStyle name="Normal 5 2 3 2 3 8 3" xfId="35251" xr:uid="{8DF41100-9279-4E20-9AD1-7D06641A258F}"/>
    <cellStyle name="Normal 5 2 3 2 3 9" xfId="9910" xr:uid="{7B2CE23F-F1C8-4AF9-911A-1D801352B61C}"/>
    <cellStyle name="Normal 5 2 3 2 4" xfId="899" xr:uid="{00000000-0005-0000-0000-000071180000}"/>
    <cellStyle name="Normal 5 2 3 2 4 2" xfId="3134" xr:uid="{00000000-0005-0000-0000-000072180000}"/>
    <cellStyle name="Normal 5 2 3 2 4 2 2" xfId="7356" xr:uid="{00000000-0005-0000-0000-000073180000}"/>
    <cellStyle name="Normal 5 2 3 2 4 2 2 2" xfId="25129" xr:uid="{E2971DE2-4E72-49C6-B918-DA19C73D0113}"/>
    <cellStyle name="Normal 5 2 3 2 4 2 2 2 2" xfId="42023" xr:uid="{5B4D60E4-13A8-4E9D-8169-70ED927F4031}"/>
    <cellStyle name="Normal 5 2 3 2 4 2 2 3" xfId="16682" xr:uid="{B3075108-583D-49DB-B07D-921260B3DF76}"/>
    <cellStyle name="Normal 5 2 3 2 4 2 2 4" xfId="33576" xr:uid="{502E862A-A65D-4598-B3BD-D047B8BD4627}"/>
    <cellStyle name="Normal 5 2 3 2 4 2 3" xfId="20912" xr:uid="{2CD07A51-1CDE-4B1F-BFD1-EBDC61257EAF}"/>
    <cellStyle name="Normal 5 2 3 2 4 2 3 2" xfId="37806" xr:uid="{C81333C2-171D-43CF-BDD5-1234E6F923F5}"/>
    <cellStyle name="Normal 5 2 3 2 4 2 4" xfId="12465" xr:uid="{18BB37B1-F657-42E4-8FB8-52D78249D34F}"/>
    <cellStyle name="Normal 5 2 3 2 4 2 5" xfId="29359" xr:uid="{41C0EB39-16E8-441E-A709-DCA5D3E3949A}"/>
    <cellStyle name="Normal 5 2 3 2 4 3" xfId="5211" xr:uid="{00000000-0005-0000-0000-000074180000}"/>
    <cellStyle name="Normal 5 2 3 2 4 3 2" xfId="22984" xr:uid="{0F16BF47-8F9B-43A9-B916-A6EAD38C9F8C}"/>
    <cellStyle name="Normal 5 2 3 2 4 3 2 2" xfId="39878" xr:uid="{FF697EF7-8902-46BD-867F-398A6303660D}"/>
    <cellStyle name="Normal 5 2 3 2 4 3 3" xfId="14537" xr:uid="{14F105F0-9AA8-4283-A34B-5C6533738480}"/>
    <cellStyle name="Normal 5 2 3 2 4 3 4" xfId="31431" xr:uid="{399B4796-9E9A-4C36-836F-4F3272B2BF65}"/>
    <cellStyle name="Normal 5 2 3 2 4 4" xfId="9255" xr:uid="{C5A161BB-6C4F-4A9D-BBA7-7500B0B26A70}"/>
    <cellStyle name="Normal 5 2 3 2 4 4 2" xfId="18767" xr:uid="{38369930-DCAA-4F6A-B47B-FDC6FB1573C3}"/>
    <cellStyle name="Normal 5 2 3 2 4 4 3" xfId="35661" xr:uid="{60C9FF0E-2BF6-47E5-B896-AED43FB5B09E}"/>
    <cellStyle name="Normal 5 2 3 2 4 5" xfId="10320" xr:uid="{C8D90677-67B9-4514-B854-ED52D2AAF56D}"/>
    <cellStyle name="Normal 5 2 3 2 4 6" xfId="27214" xr:uid="{F19D411C-3841-4978-9F00-2A2DC6787FCD}"/>
    <cellStyle name="Normal 5 2 3 2 5" xfId="1317" xr:uid="{00000000-0005-0000-0000-000075180000}"/>
    <cellStyle name="Normal 5 2 3 2 5 2" xfId="3547" xr:uid="{00000000-0005-0000-0000-000076180000}"/>
    <cellStyle name="Normal 5 2 3 2 5 2 2" xfId="7769" xr:uid="{00000000-0005-0000-0000-000077180000}"/>
    <cellStyle name="Normal 5 2 3 2 5 2 2 2" xfId="25542" xr:uid="{B08C5C41-C738-4870-81FB-33CD07C83A28}"/>
    <cellStyle name="Normal 5 2 3 2 5 2 2 2 2" xfId="42436" xr:uid="{9C2AE414-F404-4189-9D7B-ED9A3AF16C06}"/>
    <cellStyle name="Normal 5 2 3 2 5 2 2 3" xfId="17095" xr:uid="{6942A986-865A-41C0-BA2B-37A3FC677DE8}"/>
    <cellStyle name="Normal 5 2 3 2 5 2 2 4" xfId="33989" xr:uid="{45A84598-223C-44FD-BBD2-62C5FC09406B}"/>
    <cellStyle name="Normal 5 2 3 2 5 2 3" xfId="21325" xr:uid="{D41131C7-E6AD-42F1-8413-42DC16310E4A}"/>
    <cellStyle name="Normal 5 2 3 2 5 2 3 2" xfId="38219" xr:uid="{59ED1514-78A3-4406-BF80-4380E8CF43E6}"/>
    <cellStyle name="Normal 5 2 3 2 5 2 4" xfId="12878" xr:uid="{3384A235-4C5A-43E4-9118-B6BE7C38A38B}"/>
    <cellStyle name="Normal 5 2 3 2 5 2 5" xfId="29772" xr:uid="{9CDE098B-98F0-4BA9-8192-0A66C3ADC830}"/>
    <cellStyle name="Normal 5 2 3 2 5 3" xfId="5624" xr:uid="{00000000-0005-0000-0000-000078180000}"/>
    <cellStyle name="Normal 5 2 3 2 5 3 2" xfId="23397" xr:uid="{744481E2-3E1C-40BC-9FCC-7040F7F1F15F}"/>
    <cellStyle name="Normal 5 2 3 2 5 3 2 2" xfId="40291" xr:uid="{2EE25CF5-0044-4438-AD10-E7EF03D9042C}"/>
    <cellStyle name="Normal 5 2 3 2 5 3 3" xfId="14950" xr:uid="{7769914A-71C0-403A-820A-F98EAE0C34E2}"/>
    <cellStyle name="Normal 5 2 3 2 5 3 4" xfId="31844" xr:uid="{A7DB54F0-738C-4BF5-AA9A-69FC5AB57F20}"/>
    <cellStyle name="Normal 5 2 3 2 5 4" xfId="19180" xr:uid="{DD81339A-469A-4A97-AD4F-E5FC5B0DE155}"/>
    <cellStyle name="Normal 5 2 3 2 5 4 2" xfId="36074" xr:uid="{905E9B98-7B83-4852-AB9A-213C6B2FEE7E}"/>
    <cellStyle name="Normal 5 2 3 2 5 5" xfId="10733" xr:uid="{5E397BC2-2F6D-49EE-B19B-AD5FB313EEB6}"/>
    <cellStyle name="Normal 5 2 3 2 5 6" xfId="27627" xr:uid="{2B9F9075-7388-4823-A70B-0CC7EF2197FF}"/>
    <cellStyle name="Normal 5 2 3 2 6" xfId="1730" xr:uid="{00000000-0005-0000-0000-000079180000}"/>
    <cellStyle name="Normal 5 2 3 2 6 2" xfId="3960" xr:uid="{00000000-0005-0000-0000-00007A180000}"/>
    <cellStyle name="Normal 5 2 3 2 6 2 2" xfId="8182" xr:uid="{00000000-0005-0000-0000-00007B180000}"/>
    <cellStyle name="Normal 5 2 3 2 6 2 2 2" xfId="25955" xr:uid="{B2D598F0-61E3-47FA-B2D0-F0CD3A3176BB}"/>
    <cellStyle name="Normal 5 2 3 2 6 2 2 2 2" xfId="42849" xr:uid="{5780F1CE-2C30-4155-B837-A13C17D2EEC3}"/>
    <cellStyle name="Normal 5 2 3 2 6 2 2 3" xfId="17508" xr:uid="{F74F9D5D-1C0D-41EE-B74E-8685F39708DB}"/>
    <cellStyle name="Normal 5 2 3 2 6 2 2 4" xfId="34402" xr:uid="{D776289D-1235-4E85-B1A3-789F2711CED8}"/>
    <cellStyle name="Normal 5 2 3 2 6 2 3" xfId="21738" xr:uid="{684E72FD-AFED-4D32-BEA2-09CD390030DA}"/>
    <cellStyle name="Normal 5 2 3 2 6 2 3 2" xfId="38632" xr:uid="{70E9EFEE-C3DC-4063-A719-AA969CE0D81A}"/>
    <cellStyle name="Normal 5 2 3 2 6 2 4" xfId="13291" xr:uid="{212799F9-61FD-46EC-86EC-4843213201E3}"/>
    <cellStyle name="Normal 5 2 3 2 6 2 5" xfId="30185" xr:uid="{104136F8-1B67-4B50-B7A3-000EAFC7BD48}"/>
    <cellStyle name="Normal 5 2 3 2 6 3" xfId="6037" xr:uid="{00000000-0005-0000-0000-00007C180000}"/>
    <cellStyle name="Normal 5 2 3 2 6 3 2" xfId="23810" xr:uid="{8B5CF40D-3748-4DD2-9804-0C97A3D38342}"/>
    <cellStyle name="Normal 5 2 3 2 6 3 2 2" xfId="40704" xr:uid="{1F8D869B-09A8-4E24-8D7B-38B5CA09F15A}"/>
    <cellStyle name="Normal 5 2 3 2 6 3 3" xfId="15363" xr:uid="{063150C5-0FA9-437B-82FB-1B4FDF32AC2E}"/>
    <cellStyle name="Normal 5 2 3 2 6 3 4" xfId="32257" xr:uid="{6D12BB59-AEC1-4C53-8419-AF6B932352A5}"/>
    <cellStyle name="Normal 5 2 3 2 6 4" xfId="19593" xr:uid="{25FCC335-7838-43BE-B2E8-AB9CF3668FF4}"/>
    <cellStyle name="Normal 5 2 3 2 6 4 2" xfId="36487" xr:uid="{14C18687-8C73-41BC-AB09-C714DA486058}"/>
    <cellStyle name="Normal 5 2 3 2 6 5" xfId="11146" xr:uid="{F154ABEE-9AA7-4BB7-A708-88AFEAC45957}"/>
    <cellStyle name="Normal 5 2 3 2 6 6" xfId="28040" xr:uid="{A21F12C2-F0EC-4DB6-8022-BF57A7C5073C}"/>
    <cellStyle name="Normal 5 2 3 2 7" xfId="2144" xr:uid="{00000000-0005-0000-0000-00007D180000}"/>
    <cellStyle name="Normal 5 2 3 2 7 2" xfId="4373" xr:uid="{00000000-0005-0000-0000-00007E180000}"/>
    <cellStyle name="Normal 5 2 3 2 7 2 2" xfId="8595" xr:uid="{00000000-0005-0000-0000-00007F180000}"/>
    <cellStyle name="Normal 5 2 3 2 7 2 2 2" xfId="26368" xr:uid="{6EDACAFD-4375-4B93-9F56-702D55792FCA}"/>
    <cellStyle name="Normal 5 2 3 2 7 2 2 2 2" xfId="43262" xr:uid="{76C1C9F4-E390-4F3E-BBA5-AAA8354B472D}"/>
    <cellStyle name="Normal 5 2 3 2 7 2 2 3" xfId="17921" xr:uid="{19D6989D-0D76-4BD6-88C4-DA33D89CFE1A}"/>
    <cellStyle name="Normal 5 2 3 2 7 2 2 4" xfId="34815" xr:uid="{C02C8A55-8E68-4D9F-B30F-04F467CE09D5}"/>
    <cellStyle name="Normal 5 2 3 2 7 2 3" xfId="22151" xr:uid="{B0211C9C-A192-4A87-911A-C2D45D482CBC}"/>
    <cellStyle name="Normal 5 2 3 2 7 2 3 2" xfId="39045" xr:uid="{160E9065-ED61-445B-92E1-59D5DC85AE88}"/>
    <cellStyle name="Normal 5 2 3 2 7 2 4" xfId="13704" xr:uid="{2B4F3E09-0EE6-4A65-8518-A66D9CAF3E2D}"/>
    <cellStyle name="Normal 5 2 3 2 7 2 5" xfId="30598" xr:uid="{ABDAB0C9-02D9-4FF1-9B37-F3B8862385AE}"/>
    <cellStyle name="Normal 5 2 3 2 7 3" xfId="6450" xr:uid="{00000000-0005-0000-0000-000080180000}"/>
    <cellStyle name="Normal 5 2 3 2 7 3 2" xfId="24223" xr:uid="{BFDDD89D-C267-4927-9CE3-2435EB83F782}"/>
    <cellStyle name="Normal 5 2 3 2 7 3 2 2" xfId="41117" xr:uid="{F8C951D3-55F0-4663-A5B4-D761F6FEF1C5}"/>
    <cellStyle name="Normal 5 2 3 2 7 3 3" xfId="15776" xr:uid="{3C270A3F-C875-40F6-91C1-9ADBA5A2BF77}"/>
    <cellStyle name="Normal 5 2 3 2 7 3 4" xfId="32670" xr:uid="{188A56F0-EA60-4EC1-99DA-98748DD46A7E}"/>
    <cellStyle name="Normal 5 2 3 2 7 4" xfId="20006" xr:uid="{1D6FDEB0-CB45-4A8C-BE42-E817A2F405E2}"/>
    <cellStyle name="Normal 5 2 3 2 7 4 2" xfId="36900" xr:uid="{0BCC2E54-9BB3-4ACA-AE0F-FFA18420AB6C}"/>
    <cellStyle name="Normal 5 2 3 2 7 5" xfId="11559" xr:uid="{49719289-3103-41F3-9E88-356D6C3B3EF7}"/>
    <cellStyle name="Normal 5 2 3 2 7 6" xfId="28453" xr:uid="{85982389-F161-4704-9923-7B3FAC77BE4C}"/>
    <cellStyle name="Normal 5 2 3 2 8" xfId="2580" xr:uid="{00000000-0005-0000-0000-000081180000}"/>
    <cellStyle name="Normal 5 2 3 2 8 2" xfId="6863" xr:uid="{00000000-0005-0000-0000-000082180000}"/>
    <cellStyle name="Normal 5 2 3 2 8 2 2" xfId="24636" xr:uid="{0A74E1C5-DD77-4332-AF9E-D8887C5DE5C3}"/>
    <cellStyle name="Normal 5 2 3 2 8 2 2 2" xfId="41530" xr:uid="{7D63EF19-F21F-4782-86B8-A39562137D7E}"/>
    <cellStyle name="Normal 5 2 3 2 8 2 3" xfId="16189" xr:uid="{89BE3BFE-1BB3-40B4-A52E-5229BB1FB11C}"/>
    <cellStyle name="Normal 5 2 3 2 8 2 4" xfId="33083" xr:uid="{A7BC4AA5-4C96-45ED-8FF6-0127F650CCB7}"/>
    <cellStyle name="Normal 5 2 3 2 8 3" xfId="20419" xr:uid="{3A8CF850-4E20-4DF7-BC0B-5588D1A36631}"/>
    <cellStyle name="Normal 5 2 3 2 8 3 2" xfId="37313" xr:uid="{5457700A-4A85-4D5E-9A06-098C8F031931}"/>
    <cellStyle name="Normal 5 2 3 2 8 4" xfId="11972" xr:uid="{4DA599BD-B03E-40BE-ABA7-746D09D4BE43}"/>
    <cellStyle name="Normal 5 2 3 2 8 5" xfId="28866" xr:uid="{2E18E8EA-51C8-4D17-B771-B256F5F3E93C}"/>
    <cellStyle name="Normal 5 2 3 2 9" xfId="4798" xr:uid="{00000000-0005-0000-0000-000083180000}"/>
    <cellStyle name="Normal 5 2 3 2 9 2" xfId="22571" xr:uid="{D48A4A37-3899-4CE4-82C4-DC73BAF35BBC}"/>
    <cellStyle name="Normal 5 2 3 2 9 2 2" xfId="39465" xr:uid="{9F0FC827-9B53-418A-9A8C-F1EDFEB6E14A}"/>
    <cellStyle name="Normal 5 2 3 2 9 3" xfId="14124" xr:uid="{383DC9DA-6A6B-454C-AABA-EE316E7BEEB1}"/>
    <cellStyle name="Normal 5 2 3 2 9 4" xfId="31018" xr:uid="{1076E760-5DBB-49E6-B0F2-81AA46120F90}"/>
    <cellStyle name="Normal 5 2 3 3" xfId="429" xr:uid="{00000000-0005-0000-0000-000084180000}"/>
    <cellStyle name="Normal 5 2 3 3 10" xfId="9911" xr:uid="{B0C6FEEF-2AED-44A8-968C-B7FF6DA17B64}"/>
    <cellStyle name="Normal 5 2 3 3 11" xfId="26805" xr:uid="{3C6A54EB-C730-4133-825A-4BB6852B3937}"/>
    <cellStyle name="Normal 5 2 3 3 2" xfId="430" xr:uid="{00000000-0005-0000-0000-000085180000}"/>
    <cellStyle name="Normal 5 2 3 3 2 10" xfId="26806" xr:uid="{84D4EB28-D4BA-444B-A456-DAF7994A4A03}"/>
    <cellStyle name="Normal 5 2 3 3 2 2" xfId="904" xr:uid="{00000000-0005-0000-0000-000086180000}"/>
    <cellStyle name="Normal 5 2 3 3 2 2 2" xfId="3139" xr:uid="{00000000-0005-0000-0000-000087180000}"/>
    <cellStyle name="Normal 5 2 3 3 2 2 2 2" xfId="7361" xr:uid="{00000000-0005-0000-0000-000088180000}"/>
    <cellStyle name="Normal 5 2 3 3 2 2 2 2 2" xfId="25134" xr:uid="{F230CC61-36EF-4729-B351-AA6197C24B94}"/>
    <cellStyle name="Normal 5 2 3 3 2 2 2 2 2 2" xfId="42028" xr:uid="{C5216AD4-9BCA-4C57-9C9B-FE2A49CE2362}"/>
    <cellStyle name="Normal 5 2 3 3 2 2 2 2 3" xfId="16687" xr:uid="{3D4CC46A-449C-4797-B535-FE01DEF672CE}"/>
    <cellStyle name="Normal 5 2 3 3 2 2 2 2 4" xfId="33581" xr:uid="{78059650-510D-4FF5-BDC9-D0C4D4F8D17B}"/>
    <cellStyle name="Normal 5 2 3 3 2 2 2 3" xfId="20917" xr:uid="{76BC24E6-FB56-40F4-B64E-14265EA37E19}"/>
    <cellStyle name="Normal 5 2 3 3 2 2 2 3 2" xfId="37811" xr:uid="{EE1F8742-AC53-4F20-A856-85A183D84A5C}"/>
    <cellStyle name="Normal 5 2 3 3 2 2 2 4" xfId="12470" xr:uid="{595EB82C-41D7-4294-B10C-A123842D97FC}"/>
    <cellStyle name="Normal 5 2 3 3 2 2 2 5" xfId="29364" xr:uid="{53EEDAC7-48B9-461C-B8E5-19034A936B0F}"/>
    <cellStyle name="Normal 5 2 3 3 2 2 3" xfId="5216" xr:uid="{00000000-0005-0000-0000-000089180000}"/>
    <cellStyle name="Normal 5 2 3 3 2 2 3 2" xfId="22989" xr:uid="{486DC193-2813-47DF-BFB8-A4F1F6763F47}"/>
    <cellStyle name="Normal 5 2 3 3 2 2 3 2 2" xfId="39883" xr:uid="{6D08F68A-26B6-4DF3-99D9-C785455FC90A}"/>
    <cellStyle name="Normal 5 2 3 3 2 2 3 3" xfId="14542" xr:uid="{DF58BB41-140C-4EFF-873E-797B7545D2D5}"/>
    <cellStyle name="Normal 5 2 3 3 2 2 3 4" xfId="31436" xr:uid="{B1D98AC4-C5DA-4EA9-9939-8D48B37CA647}"/>
    <cellStyle name="Normal 5 2 3 3 2 2 4" xfId="9511" xr:uid="{75EF02F8-0397-4B30-A858-343ADCA7C08D}"/>
    <cellStyle name="Normal 5 2 3 3 2 2 4 2" xfId="18772" xr:uid="{82A5012A-CCF2-4249-A5E7-7BDD6F1A4661}"/>
    <cellStyle name="Normal 5 2 3 3 2 2 4 3" xfId="35666" xr:uid="{B00B0F2A-1258-43F9-9A66-C409E44B9C8F}"/>
    <cellStyle name="Normal 5 2 3 3 2 2 5" xfId="10325" xr:uid="{5D1A5A0C-38D6-47B8-9E70-51BAE3CAD669}"/>
    <cellStyle name="Normal 5 2 3 3 2 2 6" xfId="27219" xr:uid="{FC78566E-02CA-4004-B8EF-B01675C7C3D8}"/>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2 2 2" xfId="25547" xr:uid="{C3F3F6A8-5C8A-4D91-8E6E-1AD4B101B541}"/>
    <cellStyle name="Normal 5 2 3 3 2 3 2 2 2 2" xfId="42441" xr:uid="{D2BCA4BE-EC79-476C-B76B-06BCCC011580}"/>
    <cellStyle name="Normal 5 2 3 3 2 3 2 2 3" xfId="17100" xr:uid="{37C35865-5C0B-431F-AACA-44C7949DCDEB}"/>
    <cellStyle name="Normal 5 2 3 3 2 3 2 2 4" xfId="33994" xr:uid="{6A2B1A14-9779-4B9F-815F-0427EE9680DC}"/>
    <cellStyle name="Normal 5 2 3 3 2 3 2 3" xfId="21330" xr:uid="{18F938EC-8EF8-4E2E-840E-B8774A0293B1}"/>
    <cellStyle name="Normal 5 2 3 3 2 3 2 3 2" xfId="38224" xr:uid="{5E792356-95C8-421E-9DDC-07FE58C8FBF3}"/>
    <cellStyle name="Normal 5 2 3 3 2 3 2 4" xfId="12883" xr:uid="{7C172497-AD48-4B92-9107-D5F6F19C3722}"/>
    <cellStyle name="Normal 5 2 3 3 2 3 2 5" xfId="29777" xr:uid="{DC0C8C41-35BA-44B6-9EBA-520A764247D1}"/>
    <cellStyle name="Normal 5 2 3 3 2 3 3" xfId="5629" xr:uid="{00000000-0005-0000-0000-00008D180000}"/>
    <cellStyle name="Normal 5 2 3 3 2 3 3 2" xfId="23402" xr:uid="{4EFF5D8A-D41C-46EF-9C68-70CD40B28B20}"/>
    <cellStyle name="Normal 5 2 3 3 2 3 3 2 2" xfId="40296" xr:uid="{B7CB1C3C-E527-48BF-A0F7-DE76EB906B36}"/>
    <cellStyle name="Normal 5 2 3 3 2 3 3 3" xfId="14955" xr:uid="{E02BE16A-0495-476A-9809-F7C5056C5F04}"/>
    <cellStyle name="Normal 5 2 3 3 2 3 3 4" xfId="31849" xr:uid="{E7F7187C-3971-4DB6-8607-AD12218FE6DC}"/>
    <cellStyle name="Normal 5 2 3 3 2 3 4" xfId="19185" xr:uid="{DAF5F5EE-0458-4F06-B9EF-7951E08619E9}"/>
    <cellStyle name="Normal 5 2 3 3 2 3 4 2" xfId="36079" xr:uid="{7BB76D03-F645-4E9E-9536-CCA63933B2B4}"/>
    <cellStyle name="Normal 5 2 3 3 2 3 5" xfId="10738" xr:uid="{31F3FA0D-2C37-424F-89D4-69149E77F0A5}"/>
    <cellStyle name="Normal 5 2 3 3 2 3 6" xfId="27632" xr:uid="{89B63935-D395-4AFC-B079-75D4F6285ED4}"/>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2 2 2" xfId="25960" xr:uid="{36EC5250-6E0F-4DC8-B53C-B0EE56F56602}"/>
    <cellStyle name="Normal 5 2 3 3 2 4 2 2 2 2" xfId="42854" xr:uid="{52BA85F9-3C0E-49A3-BECB-A6AFE6FCD9A6}"/>
    <cellStyle name="Normal 5 2 3 3 2 4 2 2 3" xfId="17513" xr:uid="{E24DDA1A-C885-4476-87CA-AAFFC617D0F9}"/>
    <cellStyle name="Normal 5 2 3 3 2 4 2 2 4" xfId="34407" xr:uid="{FB16B89C-2EF6-406C-81ED-B6178CC7FD3B}"/>
    <cellStyle name="Normal 5 2 3 3 2 4 2 3" xfId="21743" xr:uid="{2E85AEE6-B12A-4F7D-A2B9-9D5E0198C7DD}"/>
    <cellStyle name="Normal 5 2 3 3 2 4 2 3 2" xfId="38637" xr:uid="{D4B67FAE-774B-4F0B-9B73-D2A99BFF87F0}"/>
    <cellStyle name="Normal 5 2 3 3 2 4 2 4" xfId="13296" xr:uid="{BF4853A2-FEAE-4386-A7D6-4F4CFABE0765}"/>
    <cellStyle name="Normal 5 2 3 3 2 4 2 5" xfId="30190" xr:uid="{93ACC78F-9281-41FA-95D1-8232503B7521}"/>
    <cellStyle name="Normal 5 2 3 3 2 4 3" xfId="6042" xr:uid="{00000000-0005-0000-0000-000091180000}"/>
    <cellStyle name="Normal 5 2 3 3 2 4 3 2" xfId="23815" xr:uid="{21798CBA-5677-4D6C-9CFE-B7D4BA6E7D0C}"/>
    <cellStyle name="Normal 5 2 3 3 2 4 3 2 2" xfId="40709" xr:uid="{09869EB0-A014-4D85-910D-516E53B62F52}"/>
    <cellStyle name="Normal 5 2 3 3 2 4 3 3" xfId="15368" xr:uid="{F33A1918-E11A-4E71-82B5-0B0760A534FA}"/>
    <cellStyle name="Normal 5 2 3 3 2 4 3 4" xfId="32262" xr:uid="{4E8325BF-BA3C-4D30-8023-2F6392358EA4}"/>
    <cellStyle name="Normal 5 2 3 3 2 4 4" xfId="19598" xr:uid="{DD750EF1-3EE3-4542-ACBC-0EA59A5EE3B4}"/>
    <cellStyle name="Normal 5 2 3 3 2 4 4 2" xfId="36492" xr:uid="{41998BAC-2E28-46AA-AC2C-D97E1A760AAA}"/>
    <cellStyle name="Normal 5 2 3 3 2 4 5" xfId="11151" xr:uid="{11403905-6A65-4DF3-AC84-0AEF27F70D81}"/>
    <cellStyle name="Normal 5 2 3 3 2 4 6" xfId="28045" xr:uid="{46E4AAA4-A34D-40BA-8796-648F114874B5}"/>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2 2 2" xfId="26373" xr:uid="{3BAEF9F0-96EF-4FF5-9957-C8BC9EBF2655}"/>
    <cellStyle name="Normal 5 2 3 3 2 5 2 2 2 2" xfId="43267" xr:uid="{20231405-CE29-4D39-AFF0-8EB689C5778B}"/>
    <cellStyle name="Normal 5 2 3 3 2 5 2 2 3" xfId="17926" xr:uid="{A620F714-8BD0-46A8-9038-CFC956DE9F50}"/>
    <cellStyle name="Normal 5 2 3 3 2 5 2 2 4" xfId="34820" xr:uid="{1779B061-35F8-4CDA-95DD-BB8975386DB3}"/>
    <cellStyle name="Normal 5 2 3 3 2 5 2 3" xfId="22156" xr:uid="{A9BF9997-94F0-4D3F-9553-F2A4CA447616}"/>
    <cellStyle name="Normal 5 2 3 3 2 5 2 3 2" xfId="39050" xr:uid="{D0770723-6BBC-4C1F-956E-E20A32ED3176}"/>
    <cellStyle name="Normal 5 2 3 3 2 5 2 4" xfId="13709" xr:uid="{83D2E4DF-0447-45A4-AB64-BE2AA80025FC}"/>
    <cellStyle name="Normal 5 2 3 3 2 5 2 5" xfId="30603" xr:uid="{8FF1DE8E-747E-4F7F-9F12-990C2F15A3FA}"/>
    <cellStyle name="Normal 5 2 3 3 2 5 3" xfId="6455" xr:uid="{00000000-0005-0000-0000-000095180000}"/>
    <cellStyle name="Normal 5 2 3 3 2 5 3 2" xfId="24228" xr:uid="{E4E740E4-15AF-4589-B42B-06CEBDC1FB0F}"/>
    <cellStyle name="Normal 5 2 3 3 2 5 3 2 2" xfId="41122" xr:uid="{1CB0C7DC-21FC-4817-A7BC-37DF0DACCBF5}"/>
    <cellStyle name="Normal 5 2 3 3 2 5 3 3" xfId="15781" xr:uid="{F3F36EC3-B8C7-497E-9D29-628A87F77B0C}"/>
    <cellStyle name="Normal 5 2 3 3 2 5 3 4" xfId="32675" xr:uid="{5B4DA1D0-3E9E-4FB2-81D3-85538E956EDA}"/>
    <cellStyle name="Normal 5 2 3 3 2 5 4" xfId="20011" xr:uid="{C31EFA58-6CAA-4AA5-953D-E884C1434B29}"/>
    <cellStyle name="Normal 5 2 3 3 2 5 4 2" xfId="36905" xr:uid="{6D791A10-1563-43E4-9D45-21B174F590B0}"/>
    <cellStyle name="Normal 5 2 3 3 2 5 5" xfId="11564" xr:uid="{8C4E15EF-4B11-4A65-8352-D1BFCFF6CB19}"/>
    <cellStyle name="Normal 5 2 3 3 2 5 6" xfId="28458" xr:uid="{1DD2F0AF-78E6-424E-9E3B-608D8CED0A4A}"/>
    <cellStyle name="Normal 5 2 3 3 2 6" xfId="2585" xr:uid="{00000000-0005-0000-0000-000096180000}"/>
    <cellStyle name="Normal 5 2 3 3 2 6 2" xfId="6868" xr:uid="{00000000-0005-0000-0000-000097180000}"/>
    <cellStyle name="Normal 5 2 3 3 2 6 2 2" xfId="24641" xr:uid="{10DE1B8A-53DA-45E7-ACD3-63F81EB45F15}"/>
    <cellStyle name="Normal 5 2 3 3 2 6 2 2 2" xfId="41535" xr:uid="{373C5FD5-85CD-434D-8841-FEFA1B33ABED}"/>
    <cellStyle name="Normal 5 2 3 3 2 6 2 3" xfId="16194" xr:uid="{DC851669-A77B-4C03-A22F-520E578F5DF5}"/>
    <cellStyle name="Normal 5 2 3 3 2 6 2 4" xfId="33088" xr:uid="{FCFF15EB-2CFD-4FA0-AF13-8DE9F8F467AF}"/>
    <cellStyle name="Normal 5 2 3 3 2 6 3" xfId="20424" xr:uid="{10D6262C-207C-4C57-9B14-A92757047C39}"/>
    <cellStyle name="Normal 5 2 3 3 2 6 3 2" xfId="37318" xr:uid="{1EB541E5-8950-4E95-A545-85F803967CFF}"/>
    <cellStyle name="Normal 5 2 3 3 2 6 4" xfId="11977" xr:uid="{2C18070C-4711-422F-A68A-10E0DE43F275}"/>
    <cellStyle name="Normal 5 2 3 3 2 6 5" xfId="28871" xr:uid="{6D62117B-4FC1-46EE-B722-86857720AD93}"/>
    <cellStyle name="Normal 5 2 3 3 2 7" xfId="4803" xr:uid="{00000000-0005-0000-0000-000098180000}"/>
    <cellStyle name="Normal 5 2 3 3 2 7 2" xfId="22576" xr:uid="{4E04AC6C-7F2B-4505-B8E3-423BDDABB74A}"/>
    <cellStyle name="Normal 5 2 3 3 2 7 2 2" xfId="39470" xr:uid="{2C079246-AAF7-462E-9C57-C2FDAB0B9B52}"/>
    <cellStyle name="Normal 5 2 3 3 2 7 3" xfId="14129" xr:uid="{F3ACC081-214E-44B9-8D2C-CC6DB3B6FC50}"/>
    <cellStyle name="Normal 5 2 3 3 2 7 4" xfId="31023" xr:uid="{F42F508D-87B9-4615-959F-83B058FC84FD}"/>
    <cellStyle name="Normal 5 2 3 3 2 8" xfId="9086" xr:uid="{442E5F61-F00C-4774-822F-4985AB3E1CB7}"/>
    <cellStyle name="Normal 5 2 3 3 2 8 2" xfId="18359" xr:uid="{0E7B1E34-9A8D-4889-8F8E-ABEEC139D893}"/>
    <cellStyle name="Normal 5 2 3 3 2 8 3" xfId="35253" xr:uid="{4920E1A7-2413-4915-8E37-31CC1DD235F7}"/>
    <cellStyle name="Normal 5 2 3 3 2 9" xfId="9912" xr:uid="{C0F3ADA4-517F-438E-8AF9-E9D15CDA53E8}"/>
    <cellStyle name="Normal 5 2 3 3 3" xfId="903" xr:uid="{00000000-0005-0000-0000-000099180000}"/>
    <cellStyle name="Normal 5 2 3 3 3 2" xfId="3138" xr:uid="{00000000-0005-0000-0000-00009A180000}"/>
    <cellStyle name="Normal 5 2 3 3 3 2 2" xfId="7360" xr:uid="{00000000-0005-0000-0000-00009B180000}"/>
    <cellStyle name="Normal 5 2 3 3 3 2 2 2" xfId="25133" xr:uid="{332E2CE5-AC7A-4E31-ACBA-09398FAD95D8}"/>
    <cellStyle name="Normal 5 2 3 3 3 2 2 2 2" xfId="42027" xr:uid="{56E30D90-8392-47B7-824F-94B93FB2C03C}"/>
    <cellStyle name="Normal 5 2 3 3 3 2 2 3" xfId="16686" xr:uid="{05CE8965-100A-4FAB-B406-F531E9857170}"/>
    <cellStyle name="Normal 5 2 3 3 3 2 2 4" xfId="33580" xr:uid="{E59A8F10-43C4-4A7C-A392-5AEE2220067F}"/>
    <cellStyle name="Normal 5 2 3 3 3 2 3" xfId="20916" xr:uid="{3CA92353-EAF2-4928-852F-9D3DFF49140C}"/>
    <cellStyle name="Normal 5 2 3 3 3 2 3 2" xfId="37810" xr:uid="{ACE24DFC-11A2-47C3-BDFD-4516D0BB77EB}"/>
    <cellStyle name="Normal 5 2 3 3 3 2 4" xfId="12469" xr:uid="{4347B688-22B4-4A3A-8C69-4D62206277E3}"/>
    <cellStyle name="Normal 5 2 3 3 3 2 5" xfId="29363" xr:uid="{F6F90552-42AC-4442-9265-9B4D16670896}"/>
    <cellStyle name="Normal 5 2 3 3 3 3" xfId="5215" xr:uid="{00000000-0005-0000-0000-00009C180000}"/>
    <cellStyle name="Normal 5 2 3 3 3 3 2" xfId="22988" xr:uid="{4A68A3BE-C0DF-4282-96E9-662FA0D44604}"/>
    <cellStyle name="Normal 5 2 3 3 3 3 2 2" xfId="39882" xr:uid="{66588CE6-2639-4DDA-BD6A-F48D815437DB}"/>
    <cellStyle name="Normal 5 2 3 3 3 3 3" xfId="14541" xr:uid="{624D897E-CFC0-4534-AD87-31F471756B72}"/>
    <cellStyle name="Normal 5 2 3 3 3 3 4" xfId="31435" xr:uid="{C998661D-B6B4-4512-AD72-B0ED638E175F}"/>
    <cellStyle name="Normal 5 2 3 3 3 4" xfId="9304" xr:uid="{2C783A77-F32A-4E64-807E-062B95DB0310}"/>
    <cellStyle name="Normal 5 2 3 3 3 4 2" xfId="18771" xr:uid="{8B967E82-BB96-4286-82CA-6ABE49A2327E}"/>
    <cellStyle name="Normal 5 2 3 3 3 4 3" xfId="35665" xr:uid="{86FF9927-5262-4C63-A266-C6368821CDCA}"/>
    <cellStyle name="Normal 5 2 3 3 3 5" xfId="10324" xr:uid="{56FF0131-042A-4F18-9075-6C6F5AABE9A3}"/>
    <cellStyle name="Normal 5 2 3 3 3 6" xfId="27218" xr:uid="{B7457F47-8D7D-4512-A13D-732DB0C8CF76}"/>
    <cellStyle name="Normal 5 2 3 3 4" xfId="1321" xr:uid="{00000000-0005-0000-0000-00009D180000}"/>
    <cellStyle name="Normal 5 2 3 3 4 2" xfId="3551" xr:uid="{00000000-0005-0000-0000-00009E180000}"/>
    <cellStyle name="Normal 5 2 3 3 4 2 2" xfId="7773" xr:uid="{00000000-0005-0000-0000-00009F180000}"/>
    <cellStyle name="Normal 5 2 3 3 4 2 2 2" xfId="25546" xr:uid="{BADF7158-085E-4754-B218-79D36A58CFEC}"/>
    <cellStyle name="Normal 5 2 3 3 4 2 2 2 2" xfId="42440" xr:uid="{A86CEFC0-1D9E-4C25-BC73-9AAA193C9005}"/>
    <cellStyle name="Normal 5 2 3 3 4 2 2 3" xfId="17099" xr:uid="{5B7FF42D-0135-4860-AFE0-C15E8DF0301B}"/>
    <cellStyle name="Normal 5 2 3 3 4 2 2 4" xfId="33993" xr:uid="{55E8499B-3EA5-490F-8DE4-EF17F39D7C43}"/>
    <cellStyle name="Normal 5 2 3 3 4 2 3" xfId="21329" xr:uid="{28D9FFF7-BE10-4353-879A-D6F3B3BA8372}"/>
    <cellStyle name="Normal 5 2 3 3 4 2 3 2" xfId="38223" xr:uid="{ACC33816-D197-4BE8-BD1D-8CCF5EA5B85F}"/>
    <cellStyle name="Normal 5 2 3 3 4 2 4" xfId="12882" xr:uid="{510EDC5D-5AC0-432E-86DB-53FCBC46DE2E}"/>
    <cellStyle name="Normal 5 2 3 3 4 2 5" xfId="29776" xr:uid="{3A2CC979-94FE-482E-8282-67EA81DF7C84}"/>
    <cellStyle name="Normal 5 2 3 3 4 3" xfId="5628" xr:uid="{00000000-0005-0000-0000-0000A0180000}"/>
    <cellStyle name="Normal 5 2 3 3 4 3 2" xfId="23401" xr:uid="{147A69C8-415B-4B86-B12B-3A44C403B8AE}"/>
    <cellStyle name="Normal 5 2 3 3 4 3 2 2" xfId="40295" xr:uid="{AA0D641C-C214-4C0E-8A8C-03C5131EEF4C}"/>
    <cellStyle name="Normal 5 2 3 3 4 3 3" xfId="14954" xr:uid="{4B348711-4CE9-414D-B658-E5A7E69DA95D}"/>
    <cellStyle name="Normal 5 2 3 3 4 3 4" xfId="31848" xr:uid="{1B499817-2404-471B-BB63-86EA77CE4A47}"/>
    <cellStyle name="Normal 5 2 3 3 4 4" xfId="19184" xr:uid="{75148B93-80B9-4F55-B997-3C39EB2E808F}"/>
    <cellStyle name="Normal 5 2 3 3 4 4 2" xfId="36078" xr:uid="{3CF76483-484F-489D-BCC7-D80018239021}"/>
    <cellStyle name="Normal 5 2 3 3 4 5" xfId="10737" xr:uid="{0B551FB7-6EEB-4AA4-A427-19F8AC9568BD}"/>
    <cellStyle name="Normal 5 2 3 3 4 6" xfId="27631" xr:uid="{18BBA92B-D885-4532-AEA4-081CE9A0C4CE}"/>
    <cellStyle name="Normal 5 2 3 3 5" xfId="1734" xr:uid="{00000000-0005-0000-0000-0000A1180000}"/>
    <cellStyle name="Normal 5 2 3 3 5 2" xfId="3964" xr:uid="{00000000-0005-0000-0000-0000A2180000}"/>
    <cellStyle name="Normal 5 2 3 3 5 2 2" xfId="8186" xr:uid="{00000000-0005-0000-0000-0000A3180000}"/>
    <cellStyle name="Normal 5 2 3 3 5 2 2 2" xfId="25959" xr:uid="{CF9ADA79-C5B7-4B7A-937F-8B241E4B8D84}"/>
    <cellStyle name="Normal 5 2 3 3 5 2 2 2 2" xfId="42853" xr:uid="{03AE5D26-6E18-457D-92C2-C2CB61B4014E}"/>
    <cellStyle name="Normal 5 2 3 3 5 2 2 3" xfId="17512" xr:uid="{E3BFDED9-7239-410D-B9C5-729A1240174D}"/>
    <cellStyle name="Normal 5 2 3 3 5 2 2 4" xfId="34406" xr:uid="{7AB8C529-B272-4979-B2D1-ADA5AD860306}"/>
    <cellStyle name="Normal 5 2 3 3 5 2 3" xfId="21742" xr:uid="{8050D190-876A-4E8D-B390-9521AFB0A033}"/>
    <cellStyle name="Normal 5 2 3 3 5 2 3 2" xfId="38636" xr:uid="{44454374-53B0-497B-8CEC-353B4B5BCDB5}"/>
    <cellStyle name="Normal 5 2 3 3 5 2 4" xfId="13295" xr:uid="{9BBE098C-27BF-4364-B458-BF7CAAEA418D}"/>
    <cellStyle name="Normal 5 2 3 3 5 2 5" xfId="30189" xr:uid="{79E68585-36D4-440A-8629-C376508A9FFE}"/>
    <cellStyle name="Normal 5 2 3 3 5 3" xfId="6041" xr:uid="{00000000-0005-0000-0000-0000A4180000}"/>
    <cellStyle name="Normal 5 2 3 3 5 3 2" xfId="23814" xr:uid="{79BA9604-8A10-466D-B341-B47A20EBAAD4}"/>
    <cellStyle name="Normal 5 2 3 3 5 3 2 2" xfId="40708" xr:uid="{2711EDD6-2926-4E0C-BDD8-052D0B3573F1}"/>
    <cellStyle name="Normal 5 2 3 3 5 3 3" xfId="15367" xr:uid="{9AE4C1BC-B082-43CE-8B20-A45D20AE40CA}"/>
    <cellStyle name="Normal 5 2 3 3 5 3 4" xfId="32261" xr:uid="{7D69F047-252A-45BB-9046-3EDB070B8AFD}"/>
    <cellStyle name="Normal 5 2 3 3 5 4" xfId="19597" xr:uid="{8573450D-CC7E-494C-B78F-C10197A69297}"/>
    <cellStyle name="Normal 5 2 3 3 5 4 2" xfId="36491" xr:uid="{8D2BF14F-19AE-4B4D-9367-8FF2A6B43905}"/>
    <cellStyle name="Normal 5 2 3 3 5 5" xfId="11150" xr:uid="{921D8F06-01FD-4B06-8D16-1EBE83D93C7C}"/>
    <cellStyle name="Normal 5 2 3 3 5 6" xfId="28044" xr:uid="{1C7C5B22-CB9A-4220-B51B-F36D927169FC}"/>
    <cellStyle name="Normal 5 2 3 3 6" xfId="2148" xr:uid="{00000000-0005-0000-0000-0000A5180000}"/>
    <cellStyle name="Normal 5 2 3 3 6 2" xfId="4377" xr:uid="{00000000-0005-0000-0000-0000A6180000}"/>
    <cellStyle name="Normal 5 2 3 3 6 2 2" xfId="8599" xr:uid="{00000000-0005-0000-0000-0000A7180000}"/>
    <cellStyle name="Normal 5 2 3 3 6 2 2 2" xfId="26372" xr:uid="{8B212F50-D3A0-42DE-8BFC-51AE0F39784D}"/>
    <cellStyle name="Normal 5 2 3 3 6 2 2 2 2" xfId="43266" xr:uid="{B0D192AF-B58C-4640-BC24-B985C0A6E648}"/>
    <cellStyle name="Normal 5 2 3 3 6 2 2 3" xfId="17925" xr:uid="{5DD6743A-AAB1-4E11-B167-C54B2A8D3990}"/>
    <cellStyle name="Normal 5 2 3 3 6 2 2 4" xfId="34819" xr:uid="{F9081C51-221B-4B57-9EA4-E3231C550B06}"/>
    <cellStyle name="Normal 5 2 3 3 6 2 3" xfId="22155" xr:uid="{F8433668-3E12-4248-807C-C0BAA295D609}"/>
    <cellStyle name="Normal 5 2 3 3 6 2 3 2" xfId="39049" xr:uid="{E9EF1FF7-88B0-4D64-87F2-10B63BBA1BFF}"/>
    <cellStyle name="Normal 5 2 3 3 6 2 4" xfId="13708" xr:uid="{9791D067-7EAE-4403-AF14-B168C0D1C285}"/>
    <cellStyle name="Normal 5 2 3 3 6 2 5" xfId="30602" xr:uid="{4B7D2238-589C-4927-ADF2-461CE84FD894}"/>
    <cellStyle name="Normal 5 2 3 3 6 3" xfId="6454" xr:uid="{00000000-0005-0000-0000-0000A8180000}"/>
    <cellStyle name="Normal 5 2 3 3 6 3 2" xfId="24227" xr:uid="{1C6B3B9E-9A36-4DB2-B59B-BACF0E1815EA}"/>
    <cellStyle name="Normal 5 2 3 3 6 3 2 2" xfId="41121" xr:uid="{9196DA9A-CFB1-4A2C-826A-EE10174FE60A}"/>
    <cellStyle name="Normal 5 2 3 3 6 3 3" xfId="15780" xr:uid="{AF0C52DD-9094-4904-9E75-41AACB4369B3}"/>
    <cellStyle name="Normal 5 2 3 3 6 3 4" xfId="32674" xr:uid="{D521DD63-626F-4A43-AA61-CA38CDF4429A}"/>
    <cellStyle name="Normal 5 2 3 3 6 4" xfId="20010" xr:uid="{31C1B6C4-0798-4BC4-9FE1-A5965C8ECC60}"/>
    <cellStyle name="Normal 5 2 3 3 6 4 2" xfId="36904" xr:uid="{EE5F2349-C2C6-450D-86E2-CF1C81FB404F}"/>
    <cellStyle name="Normal 5 2 3 3 6 5" xfId="11563" xr:uid="{7FD686C9-62C6-4561-A843-4DA27F15F2D3}"/>
    <cellStyle name="Normal 5 2 3 3 6 6" xfId="28457" xr:uid="{DBF0B512-781B-414F-8B5D-FF66451AADFA}"/>
    <cellStyle name="Normal 5 2 3 3 7" xfId="2584" xr:uid="{00000000-0005-0000-0000-0000A9180000}"/>
    <cellStyle name="Normal 5 2 3 3 7 2" xfId="6867" xr:uid="{00000000-0005-0000-0000-0000AA180000}"/>
    <cellStyle name="Normal 5 2 3 3 7 2 2" xfId="24640" xr:uid="{8611B9A9-3B2C-4282-9F40-A2A912CDD4AF}"/>
    <cellStyle name="Normal 5 2 3 3 7 2 2 2" xfId="41534" xr:uid="{9E9C060D-9761-4046-9AC7-75A6EED31725}"/>
    <cellStyle name="Normal 5 2 3 3 7 2 3" xfId="16193" xr:uid="{5DB91195-2C17-47F8-8916-55024B9A032B}"/>
    <cellStyle name="Normal 5 2 3 3 7 2 4" xfId="33087" xr:uid="{71599791-E309-4D6A-91D3-3E8325360A69}"/>
    <cellStyle name="Normal 5 2 3 3 7 3" xfId="20423" xr:uid="{5FBE5C1A-3D44-4964-9C89-F7785AFEDF03}"/>
    <cellStyle name="Normal 5 2 3 3 7 3 2" xfId="37317" xr:uid="{0830863C-CA76-4BEC-B471-B774784F15D0}"/>
    <cellStyle name="Normal 5 2 3 3 7 4" xfId="11976" xr:uid="{D293A5F7-5C4A-4FD5-9838-B83DC9DED7EE}"/>
    <cellStyle name="Normal 5 2 3 3 7 5" xfId="28870" xr:uid="{01B81B9D-0634-4D23-BC99-459C46D3E0FC}"/>
    <cellStyle name="Normal 5 2 3 3 8" xfId="4802" xr:uid="{00000000-0005-0000-0000-0000AB180000}"/>
    <cellStyle name="Normal 5 2 3 3 8 2" xfId="22575" xr:uid="{74130282-0BF9-4D28-BE67-AFF240C009BF}"/>
    <cellStyle name="Normal 5 2 3 3 8 2 2" xfId="39469" xr:uid="{9CCE595F-AF9B-4D68-A7D2-9152501BE58A}"/>
    <cellStyle name="Normal 5 2 3 3 8 3" xfId="14128" xr:uid="{BE401B1C-CEAB-44AD-AAAB-61C0787AE7A7}"/>
    <cellStyle name="Normal 5 2 3 3 8 4" xfId="31022" xr:uid="{70ABFF16-5E4C-4F3A-BB6D-ECF14407CC99}"/>
    <cellStyle name="Normal 5 2 3 3 9" xfId="8879" xr:uid="{F521005C-E3E0-4B64-9C0A-0C510FB9AAB2}"/>
    <cellStyle name="Normal 5 2 3 3 9 2" xfId="18358" xr:uid="{9430FBD3-55E4-48E3-94AF-A9654A2ABABC}"/>
    <cellStyle name="Normal 5 2 3 3 9 3" xfId="35252" xr:uid="{2E3B4132-FD9B-4E4C-B55E-72CA3CFF657F}"/>
    <cellStyle name="Normal 5 2 3 4" xfId="431" xr:uid="{00000000-0005-0000-0000-0000AC180000}"/>
    <cellStyle name="Normal 5 2 3 4 10" xfId="26807" xr:uid="{4FB341FB-F8FF-4BE4-8F40-69265353A086}"/>
    <cellStyle name="Normal 5 2 3 4 2" xfId="905" xr:uid="{00000000-0005-0000-0000-0000AD180000}"/>
    <cellStyle name="Normal 5 2 3 4 2 2" xfId="3140" xr:uid="{00000000-0005-0000-0000-0000AE180000}"/>
    <cellStyle name="Normal 5 2 3 4 2 2 2" xfId="7362" xr:uid="{00000000-0005-0000-0000-0000AF180000}"/>
    <cellStyle name="Normal 5 2 3 4 2 2 2 2" xfId="25135" xr:uid="{0200818A-C06B-4CF7-820D-089714BEBDEB}"/>
    <cellStyle name="Normal 5 2 3 4 2 2 2 2 2" xfId="42029" xr:uid="{328C8B09-32F1-4B9F-A059-2345F1D0F370}"/>
    <cellStyle name="Normal 5 2 3 4 2 2 2 3" xfId="16688" xr:uid="{247B7EFC-DC8A-49AB-96E9-160E78DC9448}"/>
    <cellStyle name="Normal 5 2 3 4 2 2 2 4" xfId="33582" xr:uid="{7DC3A31A-55B2-4084-AA26-B65D83B6F5EB}"/>
    <cellStyle name="Normal 5 2 3 4 2 2 3" xfId="20918" xr:uid="{38B43603-3982-4869-9E39-7883C16834C5}"/>
    <cellStyle name="Normal 5 2 3 4 2 2 3 2" xfId="37812" xr:uid="{B258C6CF-91D9-458D-BAD6-3B0174295206}"/>
    <cellStyle name="Normal 5 2 3 4 2 2 4" xfId="12471" xr:uid="{9E1DB39E-81F9-4A62-9967-33A1BEB6C636}"/>
    <cellStyle name="Normal 5 2 3 4 2 2 5" xfId="29365" xr:uid="{5124A71D-DA92-4629-8971-4D1CA7A3EF45}"/>
    <cellStyle name="Normal 5 2 3 4 2 3" xfId="5217" xr:uid="{00000000-0005-0000-0000-0000B0180000}"/>
    <cellStyle name="Normal 5 2 3 4 2 3 2" xfId="22990" xr:uid="{F27DD811-BE86-44A6-9201-8E4025906CE7}"/>
    <cellStyle name="Normal 5 2 3 4 2 3 2 2" xfId="39884" xr:uid="{DA3FA6FE-A5DE-4EEB-A441-47AC8AD5717F}"/>
    <cellStyle name="Normal 5 2 3 4 2 3 3" xfId="14543" xr:uid="{78D679D2-8D10-4517-A714-8EC5443C1377}"/>
    <cellStyle name="Normal 5 2 3 4 2 3 4" xfId="31437" xr:uid="{F999F826-498E-4380-9B61-9E35BADCE45D}"/>
    <cellStyle name="Normal 5 2 3 4 2 4" xfId="9408" xr:uid="{3B6F9C6F-3D7C-45F8-99FE-451C0F8CED36}"/>
    <cellStyle name="Normal 5 2 3 4 2 4 2" xfId="18773" xr:uid="{09B4067E-5637-4BBA-9DF4-3E9F5B3C4CF2}"/>
    <cellStyle name="Normal 5 2 3 4 2 4 3" xfId="35667" xr:uid="{488BF813-3389-4DA2-BCC5-F77806F7C619}"/>
    <cellStyle name="Normal 5 2 3 4 2 5" xfId="10326" xr:uid="{637EF662-C2FC-48D8-A52B-C2CD68672AC2}"/>
    <cellStyle name="Normal 5 2 3 4 2 6" xfId="27220" xr:uid="{3D0E7093-16DD-461F-A79C-143646B0F4E3}"/>
    <cellStyle name="Normal 5 2 3 4 3" xfId="1323" xr:uid="{00000000-0005-0000-0000-0000B1180000}"/>
    <cellStyle name="Normal 5 2 3 4 3 2" xfId="3553" xr:uid="{00000000-0005-0000-0000-0000B2180000}"/>
    <cellStyle name="Normal 5 2 3 4 3 2 2" xfId="7775" xr:uid="{00000000-0005-0000-0000-0000B3180000}"/>
    <cellStyle name="Normal 5 2 3 4 3 2 2 2" xfId="25548" xr:uid="{D18E368C-6A1D-422F-9FD0-C26D1AF163B6}"/>
    <cellStyle name="Normal 5 2 3 4 3 2 2 2 2" xfId="42442" xr:uid="{9B22BD80-0AAE-45AA-9B86-7D73D87C30E6}"/>
    <cellStyle name="Normal 5 2 3 4 3 2 2 3" xfId="17101" xr:uid="{295874BB-B3A0-4102-B91C-BDA9B80A03DF}"/>
    <cellStyle name="Normal 5 2 3 4 3 2 2 4" xfId="33995" xr:uid="{B9CD4E14-2311-4BBB-8C6B-968705DE991F}"/>
    <cellStyle name="Normal 5 2 3 4 3 2 3" xfId="21331" xr:uid="{7CBFE060-D773-40AC-B7F0-12B834915E0E}"/>
    <cellStyle name="Normal 5 2 3 4 3 2 3 2" xfId="38225" xr:uid="{41CBE08E-C015-453D-9CB5-0F556BB6D45E}"/>
    <cellStyle name="Normal 5 2 3 4 3 2 4" xfId="12884" xr:uid="{43AA85C1-7602-44EB-9438-864B5491664C}"/>
    <cellStyle name="Normal 5 2 3 4 3 2 5" xfId="29778" xr:uid="{72171B3A-F6D3-4C36-9E34-E209E834D370}"/>
    <cellStyle name="Normal 5 2 3 4 3 3" xfId="5630" xr:uid="{00000000-0005-0000-0000-0000B4180000}"/>
    <cellStyle name="Normal 5 2 3 4 3 3 2" xfId="23403" xr:uid="{A2B80F53-3BF9-4426-A467-F942126D44FB}"/>
    <cellStyle name="Normal 5 2 3 4 3 3 2 2" xfId="40297" xr:uid="{23483B0F-5652-49D9-AD10-60BBD93CE6EC}"/>
    <cellStyle name="Normal 5 2 3 4 3 3 3" xfId="14956" xr:uid="{7984CD90-6FAE-460F-9910-F9D20BD87A49}"/>
    <cellStyle name="Normal 5 2 3 4 3 3 4" xfId="31850" xr:uid="{0F29BD21-513C-499C-85B4-E5AFC7E379BD}"/>
    <cellStyle name="Normal 5 2 3 4 3 4" xfId="19186" xr:uid="{7821BDB7-72A3-4795-8E37-B35CACD22CE4}"/>
    <cellStyle name="Normal 5 2 3 4 3 4 2" xfId="36080" xr:uid="{AB1A6B51-D8A8-452B-8A56-02070855FC67}"/>
    <cellStyle name="Normal 5 2 3 4 3 5" xfId="10739" xr:uid="{A75ADC63-8657-4726-9D9D-CCAFA23C16B1}"/>
    <cellStyle name="Normal 5 2 3 4 3 6" xfId="27633" xr:uid="{818EBDE6-5799-415B-A936-2643C58A4FD5}"/>
    <cellStyle name="Normal 5 2 3 4 4" xfId="1736" xr:uid="{00000000-0005-0000-0000-0000B5180000}"/>
    <cellStyle name="Normal 5 2 3 4 4 2" xfId="3966" xr:uid="{00000000-0005-0000-0000-0000B6180000}"/>
    <cellStyle name="Normal 5 2 3 4 4 2 2" xfId="8188" xr:uid="{00000000-0005-0000-0000-0000B7180000}"/>
    <cellStyle name="Normal 5 2 3 4 4 2 2 2" xfId="25961" xr:uid="{A1251C28-57A2-48BE-892C-A8ADE0B4437F}"/>
    <cellStyle name="Normal 5 2 3 4 4 2 2 2 2" xfId="42855" xr:uid="{07839D6F-D95D-40FF-A42F-AD991F4DEA15}"/>
    <cellStyle name="Normal 5 2 3 4 4 2 2 3" xfId="17514" xr:uid="{3EFD6638-64D9-4CB3-91B5-FB16FC9F0600}"/>
    <cellStyle name="Normal 5 2 3 4 4 2 2 4" xfId="34408" xr:uid="{6DDDB7D1-70FE-4007-878F-AB858642B887}"/>
    <cellStyle name="Normal 5 2 3 4 4 2 3" xfId="21744" xr:uid="{ED1FFF79-A145-4254-80AD-E621158B09F1}"/>
    <cellStyle name="Normal 5 2 3 4 4 2 3 2" xfId="38638" xr:uid="{04BE539B-ABEC-49D8-AD39-C792617B229E}"/>
    <cellStyle name="Normal 5 2 3 4 4 2 4" xfId="13297" xr:uid="{97BB53B9-F2EF-4605-98DC-C08BCEB9B229}"/>
    <cellStyle name="Normal 5 2 3 4 4 2 5" xfId="30191" xr:uid="{ED153C5A-4694-4243-8E5E-650646E815A2}"/>
    <cellStyle name="Normal 5 2 3 4 4 3" xfId="6043" xr:uid="{00000000-0005-0000-0000-0000B8180000}"/>
    <cellStyle name="Normal 5 2 3 4 4 3 2" xfId="23816" xr:uid="{1AA1D75B-0CB2-4FB4-A8AB-6FA27FC541ED}"/>
    <cellStyle name="Normal 5 2 3 4 4 3 2 2" xfId="40710" xr:uid="{BFC55006-DE9B-41BC-B1B9-7BFF45E7BCC3}"/>
    <cellStyle name="Normal 5 2 3 4 4 3 3" xfId="15369" xr:uid="{EFC9B4BD-C17F-4F43-B594-6F55C45BB844}"/>
    <cellStyle name="Normal 5 2 3 4 4 3 4" xfId="32263" xr:uid="{A573EEB1-874A-4E82-9090-D696857DDB59}"/>
    <cellStyle name="Normal 5 2 3 4 4 4" xfId="19599" xr:uid="{6453FE09-283E-4986-B57B-ED4D05827542}"/>
    <cellStyle name="Normal 5 2 3 4 4 4 2" xfId="36493" xr:uid="{7D7B922C-645A-4984-B5F5-9209FB256A99}"/>
    <cellStyle name="Normal 5 2 3 4 4 5" xfId="11152" xr:uid="{F0201C2F-5262-409A-A2FF-F563097060AA}"/>
    <cellStyle name="Normal 5 2 3 4 4 6" xfId="28046" xr:uid="{7C78528B-2F62-4BF9-8F76-BB99CEC9E786}"/>
    <cellStyle name="Normal 5 2 3 4 5" xfId="2150" xr:uid="{00000000-0005-0000-0000-0000B9180000}"/>
    <cellStyle name="Normal 5 2 3 4 5 2" xfId="4379" xr:uid="{00000000-0005-0000-0000-0000BA180000}"/>
    <cellStyle name="Normal 5 2 3 4 5 2 2" xfId="8601" xr:uid="{00000000-0005-0000-0000-0000BB180000}"/>
    <cellStyle name="Normal 5 2 3 4 5 2 2 2" xfId="26374" xr:uid="{7CA5B6BB-64B5-4633-B22F-0CE5A665D61E}"/>
    <cellStyle name="Normal 5 2 3 4 5 2 2 2 2" xfId="43268" xr:uid="{8F839B21-A785-4499-B4AD-53BF33105CDD}"/>
    <cellStyle name="Normal 5 2 3 4 5 2 2 3" xfId="17927" xr:uid="{7AAE2192-075F-4877-AF70-513D2679DD3B}"/>
    <cellStyle name="Normal 5 2 3 4 5 2 2 4" xfId="34821" xr:uid="{CD565159-AFC7-4D4D-B5AD-6D334B8F14B6}"/>
    <cellStyle name="Normal 5 2 3 4 5 2 3" xfId="22157" xr:uid="{C80C5F05-8D89-463B-AF39-5AA1A792D6FE}"/>
    <cellStyle name="Normal 5 2 3 4 5 2 3 2" xfId="39051" xr:uid="{4EB0DCFE-C144-4E54-9A79-7D6E6D955B7F}"/>
    <cellStyle name="Normal 5 2 3 4 5 2 4" xfId="13710" xr:uid="{3D5BD174-9C3F-4FCB-9298-D1D3B623F141}"/>
    <cellStyle name="Normal 5 2 3 4 5 2 5" xfId="30604" xr:uid="{5F6983E6-7DB3-4393-8520-29D853044699}"/>
    <cellStyle name="Normal 5 2 3 4 5 3" xfId="6456" xr:uid="{00000000-0005-0000-0000-0000BC180000}"/>
    <cellStyle name="Normal 5 2 3 4 5 3 2" xfId="24229" xr:uid="{C369EFFE-9E3C-4516-98AE-35C987FFDF60}"/>
    <cellStyle name="Normal 5 2 3 4 5 3 2 2" xfId="41123" xr:uid="{97744AAD-DBDA-49D5-8E46-C314EC90C2D8}"/>
    <cellStyle name="Normal 5 2 3 4 5 3 3" xfId="15782" xr:uid="{05BA24B5-FAB3-48B3-B0F2-CC9969700BE7}"/>
    <cellStyle name="Normal 5 2 3 4 5 3 4" xfId="32676" xr:uid="{A47F6788-DD47-4396-B8C4-33486D5D3141}"/>
    <cellStyle name="Normal 5 2 3 4 5 4" xfId="20012" xr:uid="{EF683B14-B432-409A-B2C7-56C82902B41D}"/>
    <cellStyle name="Normal 5 2 3 4 5 4 2" xfId="36906" xr:uid="{E6B3E421-16BD-494A-83B8-F52B37B04F38}"/>
    <cellStyle name="Normal 5 2 3 4 5 5" xfId="11565" xr:uid="{315CF728-AEA7-4517-AC5D-C5ED99ACA528}"/>
    <cellStyle name="Normal 5 2 3 4 5 6" xfId="28459" xr:uid="{8891331B-93A5-43D7-A9B5-19D78A5D0FAB}"/>
    <cellStyle name="Normal 5 2 3 4 6" xfId="2586" xr:uid="{00000000-0005-0000-0000-0000BD180000}"/>
    <cellStyle name="Normal 5 2 3 4 6 2" xfId="6869" xr:uid="{00000000-0005-0000-0000-0000BE180000}"/>
    <cellStyle name="Normal 5 2 3 4 6 2 2" xfId="24642" xr:uid="{2F6C9E74-2695-4A9F-A174-7695242631BC}"/>
    <cellStyle name="Normal 5 2 3 4 6 2 2 2" xfId="41536" xr:uid="{A1A438A4-F378-4EE6-98E7-B2A4BF627C59}"/>
    <cellStyle name="Normal 5 2 3 4 6 2 3" xfId="16195" xr:uid="{0FC23674-480D-49C8-A82A-29E867CFC6A1}"/>
    <cellStyle name="Normal 5 2 3 4 6 2 4" xfId="33089" xr:uid="{7E125F1B-AD1D-41E4-BAA9-AB269FBABE07}"/>
    <cellStyle name="Normal 5 2 3 4 6 3" xfId="20425" xr:uid="{C4DBD313-FEA9-4557-9CF2-398CE2FF9B7D}"/>
    <cellStyle name="Normal 5 2 3 4 6 3 2" xfId="37319" xr:uid="{F790F112-19E4-4116-828F-8793E94A4D6B}"/>
    <cellStyle name="Normal 5 2 3 4 6 4" xfId="11978" xr:uid="{7C01D384-7BBF-4984-8D99-400B8EAFA956}"/>
    <cellStyle name="Normal 5 2 3 4 6 5" xfId="28872" xr:uid="{ED488464-0FF3-49FB-BA81-BFE121EE5A57}"/>
    <cellStyle name="Normal 5 2 3 4 7" xfId="4804" xr:uid="{00000000-0005-0000-0000-0000BF180000}"/>
    <cellStyle name="Normal 5 2 3 4 7 2" xfId="22577" xr:uid="{29DF27D1-9EA1-40C9-9175-F62D02C38E4C}"/>
    <cellStyle name="Normal 5 2 3 4 7 2 2" xfId="39471" xr:uid="{FB158CDA-E59B-41B0-8B4B-45D518D0C0BD}"/>
    <cellStyle name="Normal 5 2 3 4 7 3" xfId="14130" xr:uid="{10B733EF-622A-4F68-80B8-8A48D951EDE8}"/>
    <cellStyle name="Normal 5 2 3 4 7 4" xfId="31024" xr:uid="{A775661D-41C0-463F-B967-9F51E7BA6DFD}"/>
    <cellStyle name="Normal 5 2 3 4 8" xfId="8983" xr:uid="{07388FCC-03DE-4CE8-89CB-9C92F8174E24}"/>
    <cellStyle name="Normal 5 2 3 4 8 2" xfId="18360" xr:uid="{AFC7A7CE-764C-462F-BD8B-86F87BE2DC0B}"/>
    <cellStyle name="Normal 5 2 3 4 8 3" xfId="35254" xr:uid="{F3D05C4A-B4C1-4071-B5C2-68DB90504A24}"/>
    <cellStyle name="Normal 5 2 3 4 9" xfId="9913" xr:uid="{08F976F6-1841-4B66-B0C7-AA789984B2F9}"/>
    <cellStyle name="Normal 5 2 3 5" xfId="898" xr:uid="{00000000-0005-0000-0000-0000C0180000}"/>
    <cellStyle name="Normal 5 2 3 5 2" xfId="3133" xr:uid="{00000000-0005-0000-0000-0000C1180000}"/>
    <cellStyle name="Normal 5 2 3 5 2 2" xfId="7355" xr:uid="{00000000-0005-0000-0000-0000C2180000}"/>
    <cellStyle name="Normal 5 2 3 5 2 2 2" xfId="25128" xr:uid="{EC6A0270-719C-4239-A209-721B158779A4}"/>
    <cellStyle name="Normal 5 2 3 5 2 2 2 2" xfId="42022" xr:uid="{471969B8-662A-4FEB-9D2B-9733F861B138}"/>
    <cellStyle name="Normal 5 2 3 5 2 2 3" xfId="16681" xr:uid="{76ACE6BC-7F51-4838-8DAA-C75D1855D5F4}"/>
    <cellStyle name="Normal 5 2 3 5 2 2 4" xfId="33575" xr:uid="{516BD68B-C63D-4497-A352-64FF3B309FFE}"/>
    <cellStyle name="Normal 5 2 3 5 2 3" xfId="20911" xr:uid="{00D37919-2BD8-42E9-B58B-6A33CFF12A28}"/>
    <cellStyle name="Normal 5 2 3 5 2 3 2" xfId="37805" xr:uid="{72AA1574-7DA1-4C48-9BA3-7FA97FAEBABE}"/>
    <cellStyle name="Normal 5 2 3 5 2 4" xfId="12464" xr:uid="{B2C6FB52-55A4-43C3-ADBB-FB306C2E96D9}"/>
    <cellStyle name="Normal 5 2 3 5 2 5" xfId="29358" xr:uid="{423E78E7-A394-4AC1-AF9F-6940779C1383}"/>
    <cellStyle name="Normal 5 2 3 5 3" xfId="5210" xr:uid="{00000000-0005-0000-0000-0000C3180000}"/>
    <cellStyle name="Normal 5 2 3 5 3 2" xfId="22983" xr:uid="{03D579E5-D471-47AE-BDB3-71E048111EB4}"/>
    <cellStyle name="Normal 5 2 3 5 3 2 2" xfId="39877" xr:uid="{90D3154F-C51D-4170-B644-1712045B1AD6}"/>
    <cellStyle name="Normal 5 2 3 5 3 3" xfId="14536" xr:uid="{D2B0EE03-D0E3-4918-B02B-F4CA00F54F28}"/>
    <cellStyle name="Normal 5 2 3 5 3 4" xfId="31430" xr:uid="{CF072714-5DED-4E75-ABCC-81E89DC26908}"/>
    <cellStyle name="Normal 5 2 3 5 4" xfId="9200" xr:uid="{13DE827A-4007-427A-9869-ADBBE6B70993}"/>
    <cellStyle name="Normal 5 2 3 5 4 2" xfId="18766" xr:uid="{7B65DBA7-5B9B-4B63-8B9F-7D448A39B013}"/>
    <cellStyle name="Normal 5 2 3 5 4 3" xfId="35660" xr:uid="{87A3C234-6C64-4944-B5A1-B10F73B5F52E}"/>
    <cellStyle name="Normal 5 2 3 5 5" xfId="10319" xr:uid="{168BDCF2-00F3-42EF-86DA-75BCE1C5967A}"/>
    <cellStyle name="Normal 5 2 3 5 6" xfId="27213" xr:uid="{8BC2107D-1AE6-44F4-8FF7-1C911679C739}"/>
    <cellStyle name="Normal 5 2 3 6" xfId="1316" xr:uid="{00000000-0005-0000-0000-0000C4180000}"/>
    <cellStyle name="Normal 5 2 3 6 2" xfId="3546" xr:uid="{00000000-0005-0000-0000-0000C5180000}"/>
    <cellStyle name="Normal 5 2 3 6 2 2" xfId="7768" xr:uid="{00000000-0005-0000-0000-0000C6180000}"/>
    <cellStyle name="Normal 5 2 3 6 2 2 2" xfId="25541" xr:uid="{89732915-287B-4AA7-B680-3414F0FD7149}"/>
    <cellStyle name="Normal 5 2 3 6 2 2 2 2" xfId="42435" xr:uid="{3430F30D-4781-44B4-B393-749D6254824E}"/>
    <cellStyle name="Normal 5 2 3 6 2 2 3" xfId="17094" xr:uid="{529E5F09-E885-40FD-9E6C-1A5F120EBF5D}"/>
    <cellStyle name="Normal 5 2 3 6 2 2 4" xfId="33988" xr:uid="{4E8376CC-7885-4E76-94DA-D47A65B81BF4}"/>
    <cellStyle name="Normal 5 2 3 6 2 3" xfId="21324" xr:uid="{800F098A-9D5D-4199-9740-A7DDAD5139DF}"/>
    <cellStyle name="Normal 5 2 3 6 2 3 2" xfId="38218" xr:uid="{D87E448D-FD0F-410C-8DDC-EFD2D9183EA5}"/>
    <cellStyle name="Normal 5 2 3 6 2 4" xfId="12877" xr:uid="{484B288B-C71C-460C-9F25-75D0E0A696AC}"/>
    <cellStyle name="Normal 5 2 3 6 2 5" xfId="29771" xr:uid="{BFBC62D1-8E5E-46F2-85C6-571954FCCF75}"/>
    <cellStyle name="Normal 5 2 3 6 3" xfId="5623" xr:uid="{00000000-0005-0000-0000-0000C7180000}"/>
    <cellStyle name="Normal 5 2 3 6 3 2" xfId="23396" xr:uid="{AEFBCDF2-C4AE-453D-9990-3FA655CCEFEC}"/>
    <cellStyle name="Normal 5 2 3 6 3 2 2" xfId="40290" xr:uid="{09C78A1F-38A1-45F8-A494-EC1096E097AF}"/>
    <cellStyle name="Normal 5 2 3 6 3 3" xfId="14949" xr:uid="{C813C4C3-269E-42C5-BA55-2E1F7A023C43}"/>
    <cellStyle name="Normal 5 2 3 6 3 4" xfId="31843" xr:uid="{3FB1F5A2-7E45-4DA8-AB93-7B609A0C0A91}"/>
    <cellStyle name="Normal 5 2 3 6 4" xfId="19179" xr:uid="{3F495A04-E454-40D4-9E9E-FAAC3E32E7BD}"/>
    <cellStyle name="Normal 5 2 3 6 4 2" xfId="36073" xr:uid="{3ACE13AE-72DD-4C59-A501-B993DE0C6C26}"/>
    <cellStyle name="Normal 5 2 3 6 5" xfId="10732" xr:uid="{02C542B0-EE2C-422A-B04A-BB147CD06CF2}"/>
    <cellStyle name="Normal 5 2 3 6 6" xfId="27626" xr:uid="{F06AE67C-A998-4689-963D-F953FAAE2B3E}"/>
    <cellStyle name="Normal 5 2 3 7" xfId="1729" xr:uid="{00000000-0005-0000-0000-0000C8180000}"/>
    <cellStyle name="Normal 5 2 3 7 2" xfId="3959" xr:uid="{00000000-0005-0000-0000-0000C9180000}"/>
    <cellStyle name="Normal 5 2 3 7 2 2" xfId="8181" xr:uid="{00000000-0005-0000-0000-0000CA180000}"/>
    <cellStyle name="Normal 5 2 3 7 2 2 2" xfId="25954" xr:uid="{1B0C8713-791D-435D-8A2C-216FB2586480}"/>
    <cellStyle name="Normal 5 2 3 7 2 2 2 2" xfId="42848" xr:uid="{D2BF5D05-F70C-4DD5-8123-8E857CF3A09F}"/>
    <cellStyle name="Normal 5 2 3 7 2 2 3" xfId="17507" xr:uid="{92308AED-4B9A-4FFE-A785-C0644AEA21FE}"/>
    <cellStyle name="Normal 5 2 3 7 2 2 4" xfId="34401" xr:uid="{30B30FE3-4BD7-4F99-8AC0-1B76DF53CB21}"/>
    <cellStyle name="Normal 5 2 3 7 2 3" xfId="21737" xr:uid="{BCB312B2-43ED-4498-A162-72E415C46117}"/>
    <cellStyle name="Normal 5 2 3 7 2 3 2" xfId="38631" xr:uid="{B4E41347-90B2-4136-BD38-18607B64709B}"/>
    <cellStyle name="Normal 5 2 3 7 2 4" xfId="13290" xr:uid="{82FE2E1C-72D9-46B1-9180-2F008449FD3A}"/>
    <cellStyle name="Normal 5 2 3 7 2 5" xfId="30184" xr:uid="{53C25BB6-92B3-4E1C-B090-04728935B48E}"/>
    <cellStyle name="Normal 5 2 3 7 3" xfId="6036" xr:uid="{00000000-0005-0000-0000-0000CB180000}"/>
    <cellStyle name="Normal 5 2 3 7 3 2" xfId="23809" xr:uid="{AD914405-D3C3-4B8A-951B-B495FF828B46}"/>
    <cellStyle name="Normal 5 2 3 7 3 2 2" xfId="40703" xr:uid="{600DFD38-F029-487A-BB27-499BD9A4CCEA}"/>
    <cellStyle name="Normal 5 2 3 7 3 3" xfId="15362" xr:uid="{408B79FC-4978-440F-8590-40E56E7280F8}"/>
    <cellStyle name="Normal 5 2 3 7 3 4" xfId="32256" xr:uid="{D1E81955-2A44-4F72-80C8-2B93F08E945E}"/>
    <cellStyle name="Normal 5 2 3 7 4" xfId="19592" xr:uid="{AB519B94-485F-4409-BA55-08A73A715926}"/>
    <cellStyle name="Normal 5 2 3 7 4 2" xfId="36486" xr:uid="{CCBA39D5-EFDE-4EA6-B969-5537A6931914}"/>
    <cellStyle name="Normal 5 2 3 7 5" xfId="11145" xr:uid="{EAF1DD27-ABCD-4FEA-B426-41C8A6B14326}"/>
    <cellStyle name="Normal 5 2 3 7 6" xfId="28039" xr:uid="{80B068F7-3C4A-40C4-8E5E-1FD8B718596A}"/>
    <cellStyle name="Normal 5 2 3 8" xfId="2143" xr:uid="{00000000-0005-0000-0000-0000CC180000}"/>
    <cellStyle name="Normal 5 2 3 8 2" xfId="4372" xr:uid="{00000000-0005-0000-0000-0000CD180000}"/>
    <cellStyle name="Normal 5 2 3 8 2 2" xfId="8594" xr:uid="{00000000-0005-0000-0000-0000CE180000}"/>
    <cellStyle name="Normal 5 2 3 8 2 2 2" xfId="26367" xr:uid="{047792E8-741B-4331-BD9E-9F5901D77E3D}"/>
    <cellStyle name="Normal 5 2 3 8 2 2 2 2" xfId="43261" xr:uid="{31BB9E8A-A1F3-490B-90A3-D087204A1D46}"/>
    <cellStyle name="Normal 5 2 3 8 2 2 3" xfId="17920" xr:uid="{2030493C-6077-484D-B1B8-5A82F82D001E}"/>
    <cellStyle name="Normal 5 2 3 8 2 2 4" xfId="34814" xr:uid="{97600748-7496-4BD0-9655-E258D79A9231}"/>
    <cellStyle name="Normal 5 2 3 8 2 3" xfId="22150" xr:uid="{89EE08D6-2ED8-4DD1-8A84-B68F00DB9340}"/>
    <cellStyle name="Normal 5 2 3 8 2 3 2" xfId="39044" xr:uid="{B749B7D5-9F14-497A-A143-54CDC4841AEB}"/>
    <cellStyle name="Normal 5 2 3 8 2 4" xfId="13703" xr:uid="{DD5F28DF-4FC6-4EB9-B0B5-BDAA7753D50F}"/>
    <cellStyle name="Normal 5 2 3 8 2 5" xfId="30597" xr:uid="{7B27920E-19FC-4C35-ABC0-EF7FCA92A1CD}"/>
    <cellStyle name="Normal 5 2 3 8 3" xfId="6449" xr:uid="{00000000-0005-0000-0000-0000CF180000}"/>
    <cellStyle name="Normal 5 2 3 8 3 2" xfId="24222" xr:uid="{046D3C6E-139B-4ABD-8BE7-8B161A50407E}"/>
    <cellStyle name="Normal 5 2 3 8 3 2 2" xfId="41116" xr:uid="{E4965D90-D244-425E-85BC-AB1405A904EE}"/>
    <cellStyle name="Normal 5 2 3 8 3 3" xfId="15775" xr:uid="{BE11F2CD-30D9-44B2-A1DC-467F26D8C551}"/>
    <cellStyle name="Normal 5 2 3 8 3 4" xfId="32669" xr:uid="{288BEF4A-D662-46ED-824E-1FFAF6C5E34C}"/>
    <cellStyle name="Normal 5 2 3 8 4" xfId="20005" xr:uid="{BF405F22-6311-486E-B5DF-D730F3B6006A}"/>
    <cellStyle name="Normal 5 2 3 8 4 2" xfId="36899" xr:uid="{F90E15F8-72CE-4642-8332-D5D63E184F5D}"/>
    <cellStyle name="Normal 5 2 3 8 5" xfId="11558" xr:uid="{5A5972EE-E7A9-4C09-A624-1662566C838E}"/>
    <cellStyle name="Normal 5 2 3 8 6" xfId="28452" xr:uid="{8A27A0DE-6D8E-424C-96B4-E4E2ED9ACAA0}"/>
    <cellStyle name="Normal 5 2 3 9" xfId="2579" xr:uid="{00000000-0005-0000-0000-0000D0180000}"/>
    <cellStyle name="Normal 5 2 3 9 2" xfId="6862" xr:uid="{00000000-0005-0000-0000-0000D1180000}"/>
    <cellStyle name="Normal 5 2 3 9 2 2" xfId="24635" xr:uid="{654A895F-8479-4251-835B-21ED3A8EEA59}"/>
    <cellStyle name="Normal 5 2 3 9 2 2 2" xfId="41529" xr:uid="{AC94EBA1-4F72-40B0-96F7-9C983B3797A8}"/>
    <cellStyle name="Normal 5 2 3 9 2 3" xfId="16188" xr:uid="{7F1F9BAD-9037-41F9-B9C4-1A20B1B4917E}"/>
    <cellStyle name="Normal 5 2 3 9 2 4" xfId="33082" xr:uid="{CD90E31B-649B-451E-A26E-90913ABFB9D5}"/>
    <cellStyle name="Normal 5 2 3 9 3" xfId="20418" xr:uid="{BB72E652-FD43-49D5-9C19-88FD4048BDC1}"/>
    <cellStyle name="Normal 5 2 3 9 3 2" xfId="37312" xr:uid="{295432BC-EA9D-4A93-A16F-4A471414BD71}"/>
    <cellStyle name="Normal 5 2 3 9 4" xfId="11971" xr:uid="{31FCCB37-8E88-4D6A-B6F3-EBB079211D32}"/>
    <cellStyle name="Normal 5 2 3 9 5" xfId="28865" xr:uid="{3E969553-84E0-4993-ADFC-E6D4AFC66B14}"/>
    <cellStyle name="Normal 5 2 4" xfId="432" xr:uid="{00000000-0005-0000-0000-0000D2180000}"/>
    <cellStyle name="Normal 5 2 4 10" xfId="8827" xr:uid="{1EC4F605-F0BA-487E-A3C0-2CBAE7C22D8A}"/>
    <cellStyle name="Normal 5 2 4 10 2" xfId="18361" xr:uid="{822F002D-E20C-4878-81C9-06589D3501C7}"/>
    <cellStyle name="Normal 5 2 4 10 3" xfId="35255" xr:uid="{225BF175-8F3E-40FD-B2B5-7C74078A0DB7}"/>
    <cellStyle name="Normal 5 2 4 11" xfId="9914" xr:uid="{454C3016-7ACD-4D6D-9A0B-A8A91E992AE4}"/>
    <cellStyle name="Normal 5 2 4 12" xfId="26808" xr:uid="{9DDFCB06-64D6-4053-B8CE-5F91FFA0DD5B}"/>
    <cellStyle name="Normal 5 2 4 2" xfId="433" xr:uid="{00000000-0005-0000-0000-0000D3180000}"/>
    <cellStyle name="Normal 5 2 4 2 10" xfId="9915" xr:uid="{5CB81B26-B7A2-44C1-82A1-0A6EA821B277}"/>
    <cellStyle name="Normal 5 2 4 2 11" xfId="26809" xr:uid="{7B56C166-41AF-4D70-AE32-A7D72DDE475B}"/>
    <cellStyle name="Normal 5 2 4 2 2" xfId="434" xr:uid="{00000000-0005-0000-0000-0000D4180000}"/>
    <cellStyle name="Normal 5 2 4 2 2 10" xfId="26810" xr:uid="{B652E787-CAA6-4134-9915-44E746B7F59E}"/>
    <cellStyle name="Normal 5 2 4 2 2 2" xfId="908" xr:uid="{00000000-0005-0000-0000-0000D5180000}"/>
    <cellStyle name="Normal 5 2 4 2 2 2 2" xfId="3143" xr:uid="{00000000-0005-0000-0000-0000D6180000}"/>
    <cellStyle name="Normal 5 2 4 2 2 2 2 2" xfId="7365" xr:uid="{00000000-0005-0000-0000-0000D7180000}"/>
    <cellStyle name="Normal 5 2 4 2 2 2 2 2 2" xfId="25138" xr:uid="{FE245791-A254-4A44-A0C2-B33BB7FD5915}"/>
    <cellStyle name="Normal 5 2 4 2 2 2 2 2 2 2" xfId="42032" xr:uid="{5488AD8B-5261-447D-8872-929D488F3E2B}"/>
    <cellStyle name="Normal 5 2 4 2 2 2 2 2 3" xfId="16691" xr:uid="{6689BE55-3AD0-4676-9BD6-BDC80ADCC4F7}"/>
    <cellStyle name="Normal 5 2 4 2 2 2 2 2 4" xfId="33585" xr:uid="{A24CCE3F-43BE-4B33-9F59-74A5AD8C3109}"/>
    <cellStyle name="Normal 5 2 4 2 2 2 2 3" xfId="20921" xr:uid="{47C3AFDE-4E8F-4458-899C-ADB2C0083A6B}"/>
    <cellStyle name="Normal 5 2 4 2 2 2 2 3 2" xfId="37815" xr:uid="{15A79F6A-7F70-4C79-98CA-F2FD2B9AD3A0}"/>
    <cellStyle name="Normal 5 2 4 2 2 2 2 4" xfId="12474" xr:uid="{C77B9DD4-8349-4DB0-A35D-7F679BDB3EC1}"/>
    <cellStyle name="Normal 5 2 4 2 2 2 2 5" xfId="29368" xr:uid="{3EEA6FC6-E0C6-42C8-8739-F4FAFFA4988E}"/>
    <cellStyle name="Normal 5 2 4 2 2 2 3" xfId="5220" xr:uid="{00000000-0005-0000-0000-0000D8180000}"/>
    <cellStyle name="Normal 5 2 4 2 2 2 3 2" xfId="22993" xr:uid="{B31B86E5-3188-4688-A131-6396AA7DF981}"/>
    <cellStyle name="Normal 5 2 4 2 2 2 3 2 2" xfId="39887" xr:uid="{EF31E788-C7E1-4BE1-AC23-F8009586F375}"/>
    <cellStyle name="Normal 5 2 4 2 2 2 3 3" xfId="14546" xr:uid="{26973506-5483-46AD-8704-A0D598B75970}"/>
    <cellStyle name="Normal 5 2 4 2 2 2 3 4" xfId="31440" xr:uid="{53608E09-D417-47A2-AECC-D11278D3FF4A}"/>
    <cellStyle name="Normal 5 2 4 2 2 2 4" xfId="9562" xr:uid="{5E243FB4-F3B1-4B34-B377-1444454AD19E}"/>
    <cellStyle name="Normal 5 2 4 2 2 2 4 2" xfId="18776" xr:uid="{68BFC789-D3E2-4DFB-B8B9-F509A6D861B3}"/>
    <cellStyle name="Normal 5 2 4 2 2 2 4 3" xfId="35670" xr:uid="{7256965A-0F36-4258-A731-5C4A56AAA2E4}"/>
    <cellStyle name="Normal 5 2 4 2 2 2 5" xfId="10329" xr:uid="{ED909217-0480-4521-8654-24801A29B2EE}"/>
    <cellStyle name="Normal 5 2 4 2 2 2 6" xfId="27223" xr:uid="{F9FC96A4-AF3B-49E5-8961-65645BD7892B}"/>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2 2 2" xfId="25551" xr:uid="{7A1D26FE-7082-410B-8F54-5FBBD1E4F721}"/>
    <cellStyle name="Normal 5 2 4 2 2 3 2 2 2 2" xfId="42445" xr:uid="{82D3FB5D-47A4-4C87-B436-5AAAAB2F267F}"/>
    <cellStyle name="Normal 5 2 4 2 2 3 2 2 3" xfId="17104" xr:uid="{060133A3-E7AF-4DCF-A1FE-B8433D2BBAAF}"/>
    <cellStyle name="Normal 5 2 4 2 2 3 2 2 4" xfId="33998" xr:uid="{14DC578A-8084-4B5A-B654-0F4C5D4D8897}"/>
    <cellStyle name="Normal 5 2 4 2 2 3 2 3" xfId="21334" xr:uid="{CA5360DD-48B9-493C-AE23-D10A70F0C536}"/>
    <cellStyle name="Normal 5 2 4 2 2 3 2 3 2" xfId="38228" xr:uid="{F0E551C2-E9BE-46FA-B653-47C4A0B7FB4E}"/>
    <cellStyle name="Normal 5 2 4 2 2 3 2 4" xfId="12887" xr:uid="{D8829D03-9C10-4716-B481-5C92F8475429}"/>
    <cellStyle name="Normal 5 2 4 2 2 3 2 5" xfId="29781" xr:uid="{48935336-D275-477C-9B58-30F18D94732A}"/>
    <cellStyle name="Normal 5 2 4 2 2 3 3" xfId="5633" xr:uid="{00000000-0005-0000-0000-0000DC180000}"/>
    <cellStyle name="Normal 5 2 4 2 2 3 3 2" xfId="23406" xr:uid="{04D85A5B-C30E-4324-A892-5EAE841C1158}"/>
    <cellStyle name="Normal 5 2 4 2 2 3 3 2 2" xfId="40300" xr:uid="{0A1BFE68-F339-46D2-9820-CAB20C3C002D}"/>
    <cellStyle name="Normal 5 2 4 2 2 3 3 3" xfId="14959" xr:uid="{90314BC9-2388-443F-AFB5-A132625CA840}"/>
    <cellStyle name="Normal 5 2 4 2 2 3 3 4" xfId="31853" xr:uid="{A2CD0E4D-3E26-428E-8CAA-038EABFC396D}"/>
    <cellStyle name="Normal 5 2 4 2 2 3 4" xfId="19189" xr:uid="{30AF5490-3986-4813-B663-0F85A2430922}"/>
    <cellStyle name="Normal 5 2 4 2 2 3 4 2" xfId="36083" xr:uid="{668A90D7-41A8-4532-8607-E15DAF3A6A5F}"/>
    <cellStyle name="Normal 5 2 4 2 2 3 5" xfId="10742" xr:uid="{2E95A332-13A4-49A1-B04B-85F0C0BDBEBE}"/>
    <cellStyle name="Normal 5 2 4 2 2 3 6" xfId="27636" xr:uid="{6255AB43-48EF-4F56-A088-DF9E9C073DDE}"/>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2 2 2" xfId="25964" xr:uid="{7FEC3F4F-945E-4C3E-86EF-BA59C526C6D0}"/>
    <cellStyle name="Normal 5 2 4 2 2 4 2 2 2 2" xfId="42858" xr:uid="{E03B34D7-095A-4C77-B319-872C385FE5CA}"/>
    <cellStyle name="Normal 5 2 4 2 2 4 2 2 3" xfId="17517" xr:uid="{9E8D38C8-D6EE-4435-A43D-8DC4750F24BF}"/>
    <cellStyle name="Normal 5 2 4 2 2 4 2 2 4" xfId="34411" xr:uid="{DAFC5766-E9E5-4FD3-9441-C817FACED3A4}"/>
    <cellStyle name="Normal 5 2 4 2 2 4 2 3" xfId="21747" xr:uid="{513E48D1-0282-4C7A-BFA4-8840D7762CA6}"/>
    <cellStyle name="Normal 5 2 4 2 2 4 2 3 2" xfId="38641" xr:uid="{61DD6E3C-9FBF-4B10-984E-939B84C32040}"/>
    <cellStyle name="Normal 5 2 4 2 2 4 2 4" xfId="13300" xr:uid="{B858904B-245D-4A11-AAD7-087014BF33EB}"/>
    <cellStyle name="Normal 5 2 4 2 2 4 2 5" xfId="30194" xr:uid="{EF27DADE-33BD-4459-8F67-A0597D72C207}"/>
    <cellStyle name="Normal 5 2 4 2 2 4 3" xfId="6046" xr:uid="{00000000-0005-0000-0000-0000E0180000}"/>
    <cellStyle name="Normal 5 2 4 2 2 4 3 2" xfId="23819" xr:uid="{DC1C75AB-E4CD-4171-9E6F-53903548E271}"/>
    <cellStyle name="Normal 5 2 4 2 2 4 3 2 2" xfId="40713" xr:uid="{BB8F4029-E846-4C67-87D1-CACDEE536481}"/>
    <cellStyle name="Normal 5 2 4 2 2 4 3 3" xfId="15372" xr:uid="{9C18648B-F451-414E-96F2-14BE3A1D6354}"/>
    <cellStyle name="Normal 5 2 4 2 2 4 3 4" xfId="32266" xr:uid="{D898BAE4-A6D2-4821-B2E6-EB22419FF297}"/>
    <cellStyle name="Normal 5 2 4 2 2 4 4" xfId="19602" xr:uid="{147660F4-8E0E-4EA8-B04D-2D6B9F3ED1AC}"/>
    <cellStyle name="Normal 5 2 4 2 2 4 4 2" xfId="36496" xr:uid="{FED0DF89-AE12-4153-B618-FC69CD3A362D}"/>
    <cellStyle name="Normal 5 2 4 2 2 4 5" xfId="11155" xr:uid="{10EDFB18-85D6-4927-9B8E-D79B37234FA2}"/>
    <cellStyle name="Normal 5 2 4 2 2 4 6" xfId="28049" xr:uid="{515894C2-A2BE-4CB8-B86D-4678D0D7850A}"/>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2 2 2" xfId="26377" xr:uid="{E45ADD08-0393-4AA5-9876-EF5D47A3BD0E}"/>
    <cellStyle name="Normal 5 2 4 2 2 5 2 2 2 2" xfId="43271" xr:uid="{DFE0DA8F-4CCE-4421-942A-20346B503259}"/>
    <cellStyle name="Normal 5 2 4 2 2 5 2 2 3" xfId="17930" xr:uid="{BECA13FF-C3A5-42CC-8726-D6092ACC2FA6}"/>
    <cellStyle name="Normal 5 2 4 2 2 5 2 2 4" xfId="34824" xr:uid="{B59607CD-ED6C-4679-9EA4-35D3B7F64E06}"/>
    <cellStyle name="Normal 5 2 4 2 2 5 2 3" xfId="22160" xr:uid="{0EC3F0DE-6422-4257-A53A-010E0AE40FC6}"/>
    <cellStyle name="Normal 5 2 4 2 2 5 2 3 2" xfId="39054" xr:uid="{E79FB088-3C41-4FC3-A61B-7DB9854D7A1E}"/>
    <cellStyle name="Normal 5 2 4 2 2 5 2 4" xfId="13713" xr:uid="{A0FC0C58-6375-4EFA-AE62-D043D2D1468A}"/>
    <cellStyle name="Normal 5 2 4 2 2 5 2 5" xfId="30607" xr:uid="{140C9843-FA71-4002-8612-A661FD66B374}"/>
    <cellStyle name="Normal 5 2 4 2 2 5 3" xfId="6459" xr:uid="{00000000-0005-0000-0000-0000E4180000}"/>
    <cellStyle name="Normal 5 2 4 2 2 5 3 2" xfId="24232" xr:uid="{92239BC0-DF7A-4478-AEE4-B07D49DADFB4}"/>
    <cellStyle name="Normal 5 2 4 2 2 5 3 2 2" xfId="41126" xr:uid="{3DAFFFB6-3335-46D8-90AE-C199351C151B}"/>
    <cellStyle name="Normal 5 2 4 2 2 5 3 3" xfId="15785" xr:uid="{40024138-A9D3-46C6-8D06-5DCA96AF7318}"/>
    <cellStyle name="Normal 5 2 4 2 2 5 3 4" xfId="32679" xr:uid="{4284958E-F99B-4E26-AF20-F5C3CA51482C}"/>
    <cellStyle name="Normal 5 2 4 2 2 5 4" xfId="20015" xr:uid="{DACA75C8-A1B7-47AA-BBF8-3B04A6EEFDF5}"/>
    <cellStyle name="Normal 5 2 4 2 2 5 4 2" xfId="36909" xr:uid="{9E8706CA-AA5B-4D74-95F3-C175688419C2}"/>
    <cellStyle name="Normal 5 2 4 2 2 5 5" xfId="11568" xr:uid="{E3A6D7C3-6FD9-46E4-893A-21E33C5663F0}"/>
    <cellStyle name="Normal 5 2 4 2 2 5 6" xfId="28462" xr:uid="{EF357743-1195-45C9-8DD3-02FF8E49E4DF}"/>
    <cellStyle name="Normal 5 2 4 2 2 6" xfId="2589" xr:uid="{00000000-0005-0000-0000-0000E5180000}"/>
    <cellStyle name="Normal 5 2 4 2 2 6 2" xfId="6872" xr:uid="{00000000-0005-0000-0000-0000E6180000}"/>
    <cellStyle name="Normal 5 2 4 2 2 6 2 2" xfId="24645" xr:uid="{F14C9C95-C741-4745-803E-5ADA4FE77427}"/>
    <cellStyle name="Normal 5 2 4 2 2 6 2 2 2" xfId="41539" xr:uid="{BE438B0D-046E-4960-8A1A-14810DE40E25}"/>
    <cellStyle name="Normal 5 2 4 2 2 6 2 3" xfId="16198" xr:uid="{9ADA89A6-B3F9-4176-AEAA-75C7857BA63E}"/>
    <cellStyle name="Normal 5 2 4 2 2 6 2 4" xfId="33092" xr:uid="{79AA1762-63F3-4A45-864B-79B8AC1060DB}"/>
    <cellStyle name="Normal 5 2 4 2 2 6 3" xfId="20428" xr:uid="{F62D0823-9682-43D8-BEDB-AF8E8FFE1B68}"/>
    <cellStyle name="Normal 5 2 4 2 2 6 3 2" xfId="37322" xr:uid="{19C32A16-CF5F-444C-A6F6-8DE264489E9B}"/>
    <cellStyle name="Normal 5 2 4 2 2 6 4" xfId="11981" xr:uid="{10FC36B6-DE68-4CCE-BB62-EADF4DD0050F}"/>
    <cellStyle name="Normal 5 2 4 2 2 6 5" xfId="28875" xr:uid="{2E6DFD54-A718-421D-828A-635FABB773F6}"/>
    <cellStyle name="Normal 5 2 4 2 2 7" xfId="4807" xr:uid="{00000000-0005-0000-0000-0000E7180000}"/>
    <cellStyle name="Normal 5 2 4 2 2 7 2" xfId="22580" xr:uid="{79ACF40B-1E43-411B-93FC-809217D57D70}"/>
    <cellStyle name="Normal 5 2 4 2 2 7 2 2" xfId="39474" xr:uid="{22453FB5-BDC6-412F-B954-7EC264176A8D}"/>
    <cellStyle name="Normal 5 2 4 2 2 7 3" xfId="14133" xr:uid="{DEC037CB-DF02-4A26-91DD-63CEE8020B77}"/>
    <cellStyle name="Normal 5 2 4 2 2 7 4" xfId="31027" xr:uid="{5946381A-6356-411F-9E49-B1F07BAAAF29}"/>
    <cellStyle name="Normal 5 2 4 2 2 8" xfId="9137" xr:uid="{C80E4B27-40CA-4953-ABB8-99E2C575F775}"/>
    <cellStyle name="Normal 5 2 4 2 2 8 2" xfId="18363" xr:uid="{8B32DD63-8E78-4E04-BD4F-5E84C3407DF9}"/>
    <cellStyle name="Normal 5 2 4 2 2 8 3" xfId="35257" xr:uid="{6AA2E012-833B-4BF6-983C-AE593F8FD56F}"/>
    <cellStyle name="Normal 5 2 4 2 2 9" xfId="9916" xr:uid="{67826E59-E819-42A0-850D-E52757697079}"/>
    <cellStyle name="Normal 5 2 4 2 3" xfId="907" xr:uid="{00000000-0005-0000-0000-0000E8180000}"/>
    <cellStyle name="Normal 5 2 4 2 3 2" xfId="3142" xr:uid="{00000000-0005-0000-0000-0000E9180000}"/>
    <cellStyle name="Normal 5 2 4 2 3 2 2" xfId="7364" xr:uid="{00000000-0005-0000-0000-0000EA180000}"/>
    <cellStyle name="Normal 5 2 4 2 3 2 2 2" xfId="25137" xr:uid="{344FEA05-C40C-4910-AAA5-2AEC1B05A893}"/>
    <cellStyle name="Normal 5 2 4 2 3 2 2 2 2" xfId="42031" xr:uid="{8FD493D4-0A39-4CC6-8AF5-81FDD922A9C7}"/>
    <cellStyle name="Normal 5 2 4 2 3 2 2 3" xfId="16690" xr:uid="{0541F8FD-2883-4E20-9CBB-07EF0358DFF5}"/>
    <cellStyle name="Normal 5 2 4 2 3 2 2 4" xfId="33584" xr:uid="{8F9C9563-E151-483A-9D1B-30DCD2BFBC55}"/>
    <cellStyle name="Normal 5 2 4 2 3 2 3" xfId="20920" xr:uid="{6A117168-4E07-4326-A65D-59DF0E717FE1}"/>
    <cellStyle name="Normal 5 2 4 2 3 2 3 2" xfId="37814" xr:uid="{5D21BD8B-81F9-44CA-8B8B-B865BCFAEA07}"/>
    <cellStyle name="Normal 5 2 4 2 3 2 4" xfId="12473" xr:uid="{E46EC2BD-94F2-4F4C-9B29-5E418D4D8A9F}"/>
    <cellStyle name="Normal 5 2 4 2 3 2 5" xfId="29367" xr:uid="{53360FCC-91A2-4BEB-9684-44258D7971F6}"/>
    <cellStyle name="Normal 5 2 4 2 3 3" xfId="5219" xr:uid="{00000000-0005-0000-0000-0000EB180000}"/>
    <cellStyle name="Normal 5 2 4 2 3 3 2" xfId="22992" xr:uid="{E04EAD66-5EB1-4453-A01C-07783D4589DE}"/>
    <cellStyle name="Normal 5 2 4 2 3 3 2 2" xfId="39886" xr:uid="{722B6148-BA4A-4E3F-A2FC-D855E421B60E}"/>
    <cellStyle name="Normal 5 2 4 2 3 3 3" xfId="14545" xr:uid="{44A11AB1-D873-4673-A306-90DE1893D47A}"/>
    <cellStyle name="Normal 5 2 4 2 3 3 4" xfId="31439" xr:uid="{F0C58A97-2DFA-4722-9E44-ED8925EE259B}"/>
    <cellStyle name="Normal 5 2 4 2 3 4" xfId="9355" xr:uid="{9D38A6AA-2F63-4275-9FB8-F86A15F6A4D3}"/>
    <cellStyle name="Normal 5 2 4 2 3 4 2" xfId="18775" xr:uid="{4C045254-7E44-423A-8249-472FBB49471A}"/>
    <cellStyle name="Normal 5 2 4 2 3 4 3" xfId="35669" xr:uid="{34BB9121-10BB-403C-AA4D-18A7EEB829C0}"/>
    <cellStyle name="Normal 5 2 4 2 3 5" xfId="10328" xr:uid="{8EC86114-27C3-46A9-9BAE-2E92318C9F2E}"/>
    <cellStyle name="Normal 5 2 4 2 3 6" xfId="27222" xr:uid="{401A23BD-3BF6-420A-82D4-15FB3668700B}"/>
    <cellStyle name="Normal 5 2 4 2 4" xfId="1325" xr:uid="{00000000-0005-0000-0000-0000EC180000}"/>
    <cellStyle name="Normal 5 2 4 2 4 2" xfId="3555" xr:uid="{00000000-0005-0000-0000-0000ED180000}"/>
    <cellStyle name="Normal 5 2 4 2 4 2 2" xfId="7777" xr:uid="{00000000-0005-0000-0000-0000EE180000}"/>
    <cellStyle name="Normal 5 2 4 2 4 2 2 2" xfId="25550" xr:uid="{CE284637-B58A-4227-8CD1-7C2A4FFEB555}"/>
    <cellStyle name="Normal 5 2 4 2 4 2 2 2 2" xfId="42444" xr:uid="{30173800-5739-4F09-8D4C-79320A4424FE}"/>
    <cellStyle name="Normal 5 2 4 2 4 2 2 3" xfId="17103" xr:uid="{BA5279A3-83EA-4776-95CA-D1E1E7400050}"/>
    <cellStyle name="Normal 5 2 4 2 4 2 2 4" xfId="33997" xr:uid="{4B6E18C4-A015-49EA-956D-B4DD9D9DB690}"/>
    <cellStyle name="Normal 5 2 4 2 4 2 3" xfId="21333" xr:uid="{5C65D4B9-D398-45A8-A566-8DFE2BBEB1A3}"/>
    <cellStyle name="Normal 5 2 4 2 4 2 3 2" xfId="38227" xr:uid="{12D4B9B5-3255-4534-B8D0-3DF714419F2C}"/>
    <cellStyle name="Normal 5 2 4 2 4 2 4" xfId="12886" xr:uid="{B16F9594-5CC4-4667-9AE4-2847F0C3C8B9}"/>
    <cellStyle name="Normal 5 2 4 2 4 2 5" xfId="29780" xr:uid="{672D2A79-C5DA-4F16-AE8C-A5B47FD5AB93}"/>
    <cellStyle name="Normal 5 2 4 2 4 3" xfId="5632" xr:uid="{00000000-0005-0000-0000-0000EF180000}"/>
    <cellStyle name="Normal 5 2 4 2 4 3 2" xfId="23405" xr:uid="{1C83D16F-AF0A-40E5-A342-97BA1359657D}"/>
    <cellStyle name="Normal 5 2 4 2 4 3 2 2" xfId="40299" xr:uid="{A518B6DD-50E9-4869-AA6C-721EC01D2AD7}"/>
    <cellStyle name="Normal 5 2 4 2 4 3 3" xfId="14958" xr:uid="{1B324BA7-D77A-4090-B298-68E1102BAB1D}"/>
    <cellStyle name="Normal 5 2 4 2 4 3 4" xfId="31852" xr:uid="{483C1ACD-98EF-4EE9-8304-D91B756CA612}"/>
    <cellStyle name="Normal 5 2 4 2 4 4" xfId="19188" xr:uid="{870295BF-1C9A-4D05-B029-3FEE3EEBB7E1}"/>
    <cellStyle name="Normal 5 2 4 2 4 4 2" xfId="36082" xr:uid="{3CB7E0A2-7D39-4789-8D7F-494F4BF3AE22}"/>
    <cellStyle name="Normal 5 2 4 2 4 5" xfId="10741" xr:uid="{50D65189-8AEB-43B6-A146-288E0372B828}"/>
    <cellStyle name="Normal 5 2 4 2 4 6" xfId="27635" xr:uid="{14A53B64-B9ED-4D55-95C1-246195341BC2}"/>
    <cellStyle name="Normal 5 2 4 2 5" xfId="1738" xr:uid="{00000000-0005-0000-0000-0000F0180000}"/>
    <cellStyle name="Normal 5 2 4 2 5 2" xfId="3968" xr:uid="{00000000-0005-0000-0000-0000F1180000}"/>
    <cellStyle name="Normal 5 2 4 2 5 2 2" xfId="8190" xr:uid="{00000000-0005-0000-0000-0000F2180000}"/>
    <cellStyle name="Normal 5 2 4 2 5 2 2 2" xfId="25963" xr:uid="{770F10CE-5EA1-45F1-B85B-62FF1312F9E8}"/>
    <cellStyle name="Normal 5 2 4 2 5 2 2 2 2" xfId="42857" xr:uid="{64ADCD57-0924-4B2E-BCB2-EAC169A343C2}"/>
    <cellStyle name="Normal 5 2 4 2 5 2 2 3" xfId="17516" xr:uid="{A306472F-43AD-4367-A9DF-9A9A5F845E82}"/>
    <cellStyle name="Normal 5 2 4 2 5 2 2 4" xfId="34410" xr:uid="{D3634BFC-9FC6-442E-9297-3CDA7BAEA3A3}"/>
    <cellStyle name="Normal 5 2 4 2 5 2 3" xfId="21746" xr:uid="{51BAD69B-F164-4ABB-AE77-543FB55D52CB}"/>
    <cellStyle name="Normal 5 2 4 2 5 2 3 2" xfId="38640" xr:uid="{F5508FB8-FED0-4058-8F55-CFB9E57115BD}"/>
    <cellStyle name="Normal 5 2 4 2 5 2 4" xfId="13299" xr:uid="{7F857C91-43FB-4F52-9B9C-1BF6F47D6038}"/>
    <cellStyle name="Normal 5 2 4 2 5 2 5" xfId="30193" xr:uid="{263C5A2E-A9EB-449F-99FD-7CDEF4C8E9CF}"/>
    <cellStyle name="Normal 5 2 4 2 5 3" xfId="6045" xr:uid="{00000000-0005-0000-0000-0000F3180000}"/>
    <cellStyle name="Normal 5 2 4 2 5 3 2" xfId="23818" xr:uid="{243F50FF-7543-4A1B-ACAB-62627C716EE9}"/>
    <cellStyle name="Normal 5 2 4 2 5 3 2 2" xfId="40712" xr:uid="{25FA0133-7A4D-4C48-B07D-C585CF1B9955}"/>
    <cellStyle name="Normal 5 2 4 2 5 3 3" xfId="15371" xr:uid="{C689FF6C-98AD-458C-A651-28D3BB72847A}"/>
    <cellStyle name="Normal 5 2 4 2 5 3 4" xfId="32265" xr:uid="{8573AB6F-FADF-4DE4-90C9-81BCC6780175}"/>
    <cellStyle name="Normal 5 2 4 2 5 4" xfId="19601" xr:uid="{C679C2CD-D5BC-4956-9E04-346F9130EC23}"/>
    <cellStyle name="Normal 5 2 4 2 5 4 2" xfId="36495" xr:uid="{8C24D5D3-D792-4F1F-ADF2-C125F9DA99DE}"/>
    <cellStyle name="Normal 5 2 4 2 5 5" xfId="11154" xr:uid="{4843B25F-6F62-4249-BFC0-E424136D7663}"/>
    <cellStyle name="Normal 5 2 4 2 5 6" xfId="28048" xr:uid="{355ED4E8-DF03-46D7-AEFF-B7130CDE2B4B}"/>
    <cellStyle name="Normal 5 2 4 2 6" xfId="2152" xr:uid="{00000000-0005-0000-0000-0000F4180000}"/>
    <cellStyle name="Normal 5 2 4 2 6 2" xfId="4381" xr:uid="{00000000-0005-0000-0000-0000F5180000}"/>
    <cellStyle name="Normal 5 2 4 2 6 2 2" xfId="8603" xr:uid="{00000000-0005-0000-0000-0000F6180000}"/>
    <cellStyle name="Normal 5 2 4 2 6 2 2 2" xfId="26376" xr:uid="{A6A2C111-3964-4F03-9953-F0ED3EBFEE4B}"/>
    <cellStyle name="Normal 5 2 4 2 6 2 2 2 2" xfId="43270" xr:uid="{DB5F5018-DD03-4BF0-9100-2859B691A31F}"/>
    <cellStyle name="Normal 5 2 4 2 6 2 2 3" xfId="17929" xr:uid="{396A29AC-B8B4-4F77-89DD-9D412B02632B}"/>
    <cellStyle name="Normal 5 2 4 2 6 2 2 4" xfId="34823" xr:uid="{EFACAF56-108E-4A04-8DE4-69CA334A7E63}"/>
    <cellStyle name="Normal 5 2 4 2 6 2 3" xfId="22159" xr:uid="{63B3B75C-26C3-4DC5-BF80-4EB2EA725005}"/>
    <cellStyle name="Normal 5 2 4 2 6 2 3 2" xfId="39053" xr:uid="{A414272F-B973-40F3-9403-86D420D61BA1}"/>
    <cellStyle name="Normal 5 2 4 2 6 2 4" xfId="13712" xr:uid="{95A3BF1A-D6B4-4A45-83E1-97ABF5ED1F7B}"/>
    <cellStyle name="Normal 5 2 4 2 6 2 5" xfId="30606" xr:uid="{76F69654-076D-4A58-A474-C37E7A37E536}"/>
    <cellStyle name="Normal 5 2 4 2 6 3" xfId="6458" xr:uid="{00000000-0005-0000-0000-0000F7180000}"/>
    <cellStyle name="Normal 5 2 4 2 6 3 2" xfId="24231" xr:uid="{CF58A43F-495B-4394-B126-E9F729E17342}"/>
    <cellStyle name="Normal 5 2 4 2 6 3 2 2" xfId="41125" xr:uid="{6CFF129B-E618-4A08-84EA-33AF5BBA9685}"/>
    <cellStyle name="Normal 5 2 4 2 6 3 3" xfId="15784" xr:uid="{F74F7067-C2AC-44D3-9ADE-C8B4A421E283}"/>
    <cellStyle name="Normal 5 2 4 2 6 3 4" xfId="32678" xr:uid="{77D7FB0B-649F-4D61-B122-53AD082E9BCD}"/>
    <cellStyle name="Normal 5 2 4 2 6 4" xfId="20014" xr:uid="{4FCCE90F-5C76-4714-94C7-49442FE8AF87}"/>
    <cellStyle name="Normal 5 2 4 2 6 4 2" xfId="36908" xr:uid="{7DDC32EA-3585-4AB7-B4BA-28A3C3779475}"/>
    <cellStyle name="Normal 5 2 4 2 6 5" xfId="11567" xr:uid="{748E3CDB-0D41-4AA3-8743-54C452DF53E7}"/>
    <cellStyle name="Normal 5 2 4 2 6 6" xfId="28461" xr:uid="{96D8759F-CE6C-48DB-A3FF-F20D72786A6E}"/>
    <cellStyle name="Normal 5 2 4 2 7" xfId="2588" xr:uid="{00000000-0005-0000-0000-0000F8180000}"/>
    <cellStyle name="Normal 5 2 4 2 7 2" xfId="6871" xr:uid="{00000000-0005-0000-0000-0000F9180000}"/>
    <cellStyle name="Normal 5 2 4 2 7 2 2" xfId="24644" xr:uid="{79D693DB-CB83-48EC-A38C-19DC8F823DB6}"/>
    <cellStyle name="Normal 5 2 4 2 7 2 2 2" xfId="41538" xr:uid="{79D8B243-6A96-42B9-A238-F470CCF248BF}"/>
    <cellStyle name="Normal 5 2 4 2 7 2 3" xfId="16197" xr:uid="{2A7A28FC-9282-42FE-8D63-93F6D95B8C6A}"/>
    <cellStyle name="Normal 5 2 4 2 7 2 4" xfId="33091" xr:uid="{1519E6B5-AE86-48C7-8F14-ECCD36E30F4F}"/>
    <cellStyle name="Normal 5 2 4 2 7 3" xfId="20427" xr:uid="{415FBEEB-6166-41B6-BE4E-13F0E87DBF17}"/>
    <cellStyle name="Normal 5 2 4 2 7 3 2" xfId="37321" xr:uid="{3F715473-7E47-482F-A52B-B4461ABC2589}"/>
    <cellStyle name="Normal 5 2 4 2 7 4" xfId="11980" xr:uid="{83E090CC-7D46-4430-B7DC-93B817E119DF}"/>
    <cellStyle name="Normal 5 2 4 2 7 5" xfId="28874" xr:uid="{42FB83E1-2BB6-45EC-BC87-2C1B3650D723}"/>
    <cellStyle name="Normal 5 2 4 2 8" xfId="4806" xr:uid="{00000000-0005-0000-0000-0000FA180000}"/>
    <cellStyle name="Normal 5 2 4 2 8 2" xfId="22579" xr:uid="{82AFECC1-A52E-4096-B6F0-CBDFB0486DA0}"/>
    <cellStyle name="Normal 5 2 4 2 8 2 2" xfId="39473" xr:uid="{19FFB040-ADA1-4118-97A6-543AC179D719}"/>
    <cellStyle name="Normal 5 2 4 2 8 3" xfId="14132" xr:uid="{09E3307C-5621-43AB-B9DE-BF62BCC4EF06}"/>
    <cellStyle name="Normal 5 2 4 2 8 4" xfId="31026" xr:uid="{BDAF3AA5-3AF0-4B88-8B3A-675F09453DEB}"/>
    <cellStyle name="Normal 5 2 4 2 9" xfId="8930" xr:uid="{66B84ABA-CAF3-4BBE-9026-E7A47CB6006F}"/>
    <cellStyle name="Normal 5 2 4 2 9 2" xfId="18362" xr:uid="{DC8656FB-294B-4C02-9A15-1D7D1E2C786F}"/>
    <cellStyle name="Normal 5 2 4 2 9 3" xfId="35256" xr:uid="{EBB0330F-E6E0-44FC-AB38-7452249F371B}"/>
    <cellStyle name="Normal 5 2 4 3" xfId="435" xr:uid="{00000000-0005-0000-0000-0000FB180000}"/>
    <cellStyle name="Normal 5 2 4 3 10" xfId="26811" xr:uid="{F59E3BDC-FD04-4766-8EC2-EDF3978038A1}"/>
    <cellStyle name="Normal 5 2 4 3 2" xfId="909" xr:uid="{00000000-0005-0000-0000-0000FC180000}"/>
    <cellStyle name="Normal 5 2 4 3 2 2" xfId="3144" xr:uid="{00000000-0005-0000-0000-0000FD180000}"/>
    <cellStyle name="Normal 5 2 4 3 2 2 2" xfId="7366" xr:uid="{00000000-0005-0000-0000-0000FE180000}"/>
    <cellStyle name="Normal 5 2 4 3 2 2 2 2" xfId="25139" xr:uid="{794F0FCB-B2A9-4131-A002-E4B742148A4B}"/>
    <cellStyle name="Normal 5 2 4 3 2 2 2 2 2" xfId="42033" xr:uid="{DD3EF2FA-E5B5-4FC1-805C-F51ED57D4B08}"/>
    <cellStyle name="Normal 5 2 4 3 2 2 2 3" xfId="16692" xr:uid="{D364A68A-4695-4943-B014-6B64513590E1}"/>
    <cellStyle name="Normal 5 2 4 3 2 2 2 4" xfId="33586" xr:uid="{833518EC-5218-4654-95EC-EE09DDA83541}"/>
    <cellStyle name="Normal 5 2 4 3 2 2 3" xfId="20922" xr:uid="{25A75BC0-D272-4630-A783-8D04EDB686BE}"/>
    <cellStyle name="Normal 5 2 4 3 2 2 3 2" xfId="37816" xr:uid="{58683483-D109-48BD-8DAB-3C95F39C1F9B}"/>
    <cellStyle name="Normal 5 2 4 3 2 2 4" xfId="12475" xr:uid="{83F347FA-B72F-4E4F-8206-68E2BD227D8C}"/>
    <cellStyle name="Normal 5 2 4 3 2 2 5" xfId="29369" xr:uid="{4E935A79-F7D0-489E-9984-048E56EBF65E}"/>
    <cellStyle name="Normal 5 2 4 3 2 3" xfId="5221" xr:uid="{00000000-0005-0000-0000-0000FF180000}"/>
    <cellStyle name="Normal 5 2 4 3 2 3 2" xfId="22994" xr:uid="{A5AF2ADB-1DBC-4486-97A9-547AB03DF784}"/>
    <cellStyle name="Normal 5 2 4 3 2 3 2 2" xfId="39888" xr:uid="{12FB3F94-5388-4202-8FE8-B7CD029BDA20}"/>
    <cellStyle name="Normal 5 2 4 3 2 3 3" xfId="14547" xr:uid="{300E5190-0912-4BA7-BD87-C94F0614B346}"/>
    <cellStyle name="Normal 5 2 4 3 2 3 4" xfId="31441" xr:uid="{D087A923-6621-47E3-B8CF-4CAE55E2231C}"/>
    <cellStyle name="Normal 5 2 4 3 2 4" xfId="9459" xr:uid="{ED2A936E-5624-4B26-A175-3FCE68E1BF5A}"/>
    <cellStyle name="Normal 5 2 4 3 2 4 2" xfId="18777" xr:uid="{33125D6B-B11F-4A9A-8176-16C1E4A566BE}"/>
    <cellStyle name="Normal 5 2 4 3 2 4 3" xfId="35671" xr:uid="{83A7AE56-D2AD-4B4B-A0D7-E51B2D59355D}"/>
    <cellStyle name="Normal 5 2 4 3 2 5" xfId="10330" xr:uid="{6C99B223-40CA-4E70-AAC3-DE5331BA6A54}"/>
    <cellStyle name="Normal 5 2 4 3 2 6" xfId="27224" xr:uid="{4CAB4B01-19D3-43AB-96CB-08552209BD79}"/>
    <cellStyle name="Normal 5 2 4 3 3" xfId="1327" xr:uid="{00000000-0005-0000-0000-000000190000}"/>
    <cellStyle name="Normal 5 2 4 3 3 2" xfId="3557" xr:uid="{00000000-0005-0000-0000-000001190000}"/>
    <cellStyle name="Normal 5 2 4 3 3 2 2" xfId="7779" xr:uid="{00000000-0005-0000-0000-000002190000}"/>
    <cellStyle name="Normal 5 2 4 3 3 2 2 2" xfId="25552" xr:uid="{29781E6A-50ED-4DA3-B9C6-4E5F71302602}"/>
    <cellStyle name="Normal 5 2 4 3 3 2 2 2 2" xfId="42446" xr:uid="{790716FF-874B-4CD6-9627-BB9156F69CDE}"/>
    <cellStyle name="Normal 5 2 4 3 3 2 2 3" xfId="17105" xr:uid="{6906FD86-F444-4F44-B272-B4F400DEF16D}"/>
    <cellStyle name="Normal 5 2 4 3 3 2 2 4" xfId="33999" xr:uid="{3A7258D1-9598-419C-9B17-65275FD9BE65}"/>
    <cellStyle name="Normal 5 2 4 3 3 2 3" xfId="21335" xr:uid="{27AF19DC-BA4A-4BD9-AA06-166FA86F87C2}"/>
    <cellStyle name="Normal 5 2 4 3 3 2 3 2" xfId="38229" xr:uid="{06552B24-D23A-4734-80D8-697DD2BD6EF4}"/>
    <cellStyle name="Normal 5 2 4 3 3 2 4" xfId="12888" xr:uid="{5D4CD5C9-570B-4CDE-8BF1-A2679E3EF0E0}"/>
    <cellStyle name="Normal 5 2 4 3 3 2 5" xfId="29782" xr:uid="{007A7C12-6E82-4963-984C-9032D8C4E2C4}"/>
    <cellStyle name="Normal 5 2 4 3 3 3" xfId="5634" xr:uid="{00000000-0005-0000-0000-000003190000}"/>
    <cellStyle name="Normal 5 2 4 3 3 3 2" xfId="23407" xr:uid="{7C8AA878-2679-4A45-B434-6B97D1B9261A}"/>
    <cellStyle name="Normal 5 2 4 3 3 3 2 2" xfId="40301" xr:uid="{177B502A-EC4F-4FF8-A502-B625517A3CBA}"/>
    <cellStyle name="Normal 5 2 4 3 3 3 3" xfId="14960" xr:uid="{A63DBF4F-5EEF-496A-BB68-34ADD203C41E}"/>
    <cellStyle name="Normal 5 2 4 3 3 3 4" xfId="31854" xr:uid="{C8AE589A-2587-4580-B66F-2FC356FA2B68}"/>
    <cellStyle name="Normal 5 2 4 3 3 4" xfId="19190" xr:uid="{15FE683B-CBBC-4ED2-A27D-1C17420AE0CF}"/>
    <cellStyle name="Normal 5 2 4 3 3 4 2" xfId="36084" xr:uid="{76E31BF3-F5DE-4546-9C05-0790AB6DA214}"/>
    <cellStyle name="Normal 5 2 4 3 3 5" xfId="10743" xr:uid="{58912C8C-BE97-4AA0-8833-8AA5699458C9}"/>
    <cellStyle name="Normal 5 2 4 3 3 6" xfId="27637" xr:uid="{E4A5A18A-CC5D-4E26-A967-CA2CE6985E6A}"/>
    <cellStyle name="Normal 5 2 4 3 4" xfId="1740" xr:uid="{00000000-0005-0000-0000-000004190000}"/>
    <cellStyle name="Normal 5 2 4 3 4 2" xfId="3970" xr:uid="{00000000-0005-0000-0000-000005190000}"/>
    <cellStyle name="Normal 5 2 4 3 4 2 2" xfId="8192" xr:uid="{00000000-0005-0000-0000-000006190000}"/>
    <cellStyle name="Normal 5 2 4 3 4 2 2 2" xfId="25965" xr:uid="{0C75B373-656F-49D3-A59E-F28898DF83EB}"/>
    <cellStyle name="Normal 5 2 4 3 4 2 2 2 2" xfId="42859" xr:uid="{C2540EE4-2909-48D2-9E75-427729FA1738}"/>
    <cellStyle name="Normal 5 2 4 3 4 2 2 3" xfId="17518" xr:uid="{9F09F4F9-2AC8-4761-858F-B78333906B87}"/>
    <cellStyle name="Normal 5 2 4 3 4 2 2 4" xfId="34412" xr:uid="{88171EB9-CC34-458E-AAD1-CD5049EB1202}"/>
    <cellStyle name="Normal 5 2 4 3 4 2 3" xfId="21748" xr:uid="{5CC64D40-AEF7-4E00-8E7A-945D7383DCCE}"/>
    <cellStyle name="Normal 5 2 4 3 4 2 3 2" xfId="38642" xr:uid="{91DCCD03-CC45-459B-9B59-F2C6C203AE1C}"/>
    <cellStyle name="Normal 5 2 4 3 4 2 4" xfId="13301" xr:uid="{12FCF9BE-DF6D-43C3-951E-B5C4694B9FF5}"/>
    <cellStyle name="Normal 5 2 4 3 4 2 5" xfId="30195" xr:uid="{094D1401-5DA6-4C8A-9966-125AD931D736}"/>
    <cellStyle name="Normal 5 2 4 3 4 3" xfId="6047" xr:uid="{00000000-0005-0000-0000-000007190000}"/>
    <cellStyle name="Normal 5 2 4 3 4 3 2" xfId="23820" xr:uid="{FE2AD741-CC00-4DF8-9F32-2D3706DB2D65}"/>
    <cellStyle name="Normal 5 2 4 3 4 3 2 2" xfId="40714" xr:uid="{FC521B4C-4351-499D-B612-1A19A75A3930}"/>
    <cellStyle name="Normal 5 2 4 3 4 3 3" xfId="15373" xr:uid="{F1E71461-A1CF-48E7-997F-A088EC0961AC}"/>
    <cellStyle name="Normal 5 2 4 3 4 3 4" xfId="32267" xr:uid="{A6E592F9-C9AA-40A6-BF4C-89BCB96AACC3}"/>
    <cellStyle name="Normal 5 2 4 3 4 4" xfId="19603" xr:uid="{E13D508E-AF87-4D93-9965-ABBE86AAEA03}"/>
    <cellStyle name="Normal 5 2 4 3 4 4 2" xfId="36497" xr:uid="{2D3BA80E-B2A7-4B56-8AD4-20E365508505}"/>
    <cellStyle name="Normal 5 2 4 3 4 5" xfId="11156" xr:uid="{24F14B4A-C4A7-43FA-A719-DA2E6D0B78F1}"/>
    <cellStyle name="Normal 5 2 4 3 4 6" xfId="28050" xr:uid="{18ACBE80-68A8-4484-AD9E-62DD80F8B125}"/>
    <cellStyle name="Normal 5 2 4 3 5" xfId="2154" xr:uid="{00000000-0005-0000-0000-000008190000}"/>
    <cellStyle name="Normal 5 2 4 3 5 2" xfId="4383" xr:uid="{00000000-0005-0000-0000-000009190000}"/>
    <cellStyle name="Normal 5 2 4 3 5 2 2" xfId="8605" xr:uid="{00000000-0005-0000-0000-00000A190000}"/>
    <cellStyle name="Normal 5 2 4 3 5 2 2 2" xfId="26378" xr:uid="{0D040180-7C1A-4532-B7DD-36431325E5F6}"/>
    <cellStyle name="Normal 5 2 4 3 5 2 2 2 2" xfId="43272" xr:uid="{3C9743DF-3BBF-4D57-A446-F47287093BAB}"/>
    <cellStyle name="Normal 5 2 4 3 5 2 2 3" xfId="17931" xr:uid="{C7AC2F06-EF37-4086-BD03-38662F8D0C95}"/>
    <cellStyle name="Normal 5 2 4 3 5 2 2 4" xfId="34825" xr:uid="{2DBDEE0E-1DD6-41BC-B81F-8FDE84A98461}"/>
    <cellStyle name="Normal 5 2 4 3 5 2 3" xfId="22161" xr:uid="{D6957A98-C9A3-4D48-8224-7FE26F34AF97}"/>
    <cellStyle name="Normal 5 2 4 3 5 2 3 2" xfId="39055" xr:uid="{3E7A868B-8A88-4410-873D-7A68ADE45D5D}"/>
    <cellStyle name="Normal 5 2 4 3 5 2 4" xfId="13714" xr:uid="{177680E7-4CBD-43D1-8708-608933604F84}"/>
    <cellStyle name="Normal 5 2 4 3 5 2 5" xfId="30608" xr:uid="{6F226CE3-EA34-464B-8676-4C7196191657}"/>
    <cellStyle name="Normal 5 2 4 3 5 3" xfId="6460" xr:uid="{00000000-0005-0000-0000-00000B190000}"/>
    <cellStyle name="Normal 5 2 4 3 5 3 2" xfId="24233" xr:uid="{9DECC47F-636A-47C7-B4C7-E48D8A319B80}"/>
    <cellStyle name="Normal 5 2 4 3 5 3 2 2" xfId="41127" xr:uid="{B4E75726-26DE-4776-929D-E01FEA736BF9}"/>
    <cellStyle name="Normal 5 2 4 3 5 3 3" xfId="15786" xr:uid="{0238E5C2-390F-468F-B967-75DEE72A848C}"/>
    <cellStyle name="Normal 5 2 4 3 5 3 4" xfId="32680" xr:uid="{A1B282BE-9866-4B0E-9410-B01AF93D38F4}"/>
    <cellStyle name="Normal 5 2 4 3 5 4" xfId="20016" xr:uid="{A68D532B-4AA1-4CF0-88C9-CA27487E0D6D}"/>
    <cellStyle name="Normal 5 2 4 3 5 4 2" xfId="36910" xr:uid="{E5C537FF-A6F3-470A-A226-96BAD26E8C76}"/>
    <cellStyle name="Normal 5 2 4 3 5 5" xfId="11569" xr:uid="{18DFABA6-9013-4C2D-8C29-86B301416A5F}"/>
    <cellStyle name="Normal 5 2 4 3 5 6" xfId="28463" xr:uid="{6497F8DE-D630-4A1A-A86B-3E737DF14014}"/>
    <cellStyle name="Normal 5 2 4 3 6" xfId="2590" xr:uid="{00000000-0005-0000-0000-00000C190000}"/>
    <cellStyle name="Normal 5 2 4 3 6 2" xfId="6873" xr:uid="{00000000-0005-0000-0000-00000D190000}"/>
    <cellStyle name="Normal 5 2 4 3 6 2 2" xfId="24646" xr:uid="{6042E429-387D-493B-9C95-EF073599DA3B}"/>
    <cellStyle name="Normal 5 2 4 3 6 2 2 2" xfId="41540" xr:uid="{AFC4E82C-0264-47E2-BD26-CDE584355300}"/>
    <cellStyle name="Normal 5 2 4 3 6 2 3" xfId="16199" xr:uid="{B4C25B3C-557A-4228-B47A-E4C3F866B3EC}"/>
    <cellStyle name="Normal 5 2 4 3 6 2 4" xfId="33093" xr:uid="{6EF8EBF6-9D58-4780-B9AA-272C55ECC7A9}"/>
    <cellStyle name="Normal 5 2 4 3 6 3" xfId="20429" xr:uid="{BAA28AC6-4B5F-4BF3-B6F1-990A6D34CB23}"/>
    <cellStyle name="Normal 5 2 4 3 6 3 2" xfId="37323" xr:uid="{1A4CD4F5-5DCB-4C30-82D5-2F9A38319B42}"/>
    <cellStyle name="Normal 5 2 4 3 6 4" xfId="11982" xr:uid="{94255B29-09D1-480F-9574-CFB907E08533}"/>
    <cellStyle name="Normal 5 2 4 3 6 5" xfId="28876" xr:uid="{00134A00-1135-4518-8F05-11C943A9C738}"/>
    <cellStyle name="Normal 5 2 4 3 7" xfId="4808" xr:uid="{00000000-0005-0000-0000-00000E190000}"/>
    <cellStyle name="Normal 5 2 4 3 7 2" xfId="22581" xr:uid="{C14A6BA9-6887-4D46-A502-1C0ED51CE138}"/>
    <cellStyle name="Normal 5 2 4 3 7 2 2" xfId="39475" xr:uid="{E2A10C4D-8CA4-482A-8A6C-3EB2C132E6E0}"/>
    <cellStyle name="Normal 5 2 4 3 7 3" xfId="14134" xr:uid="{3971390E-47EB-4E31-A3A0-2D4C5B23F85C}"/>
    <cellStyle name="Normal 5 2 4 3 7 4" xfId="31028" xr:uid="{84C84298-9676-4D30-9404-F971F79A081D}"/>
    <cellStyle name="Normal 5 2 4 3 8" xfId="9034" xr:uid="{82D3DE5B-E868-4CF9-BA07-6E197DA4FAA5}"/>
    <cellStyle name="Normal 5 2 4 3 8 2" xfId="18364" xr:uid="{782C463A-C2FD-4B34-B39E-107E1C3CC1D0}"/>
    <cellStyle name="Normal 5 2 4 3 8 3" xfId="35258" xr:uid="{A6F15666-4FE3-4866-A487-302CA8D36EA8}"/>
    <cellStyle name="Normal 5 2 4 3 9" xfId="9917" xr:uid="{DB2D933E-5A9C-4614-AB04-3B967A93CB40}"/>
    <cellStyle name="Normal 5 2 4 4" xfId="906" xr:uid="{00000000-0005-0000-0000-00000F190000}"/>
    <cellStyle name="Normal 5 2 4 4 2" xfId="3141" xr:uid="{00000000-0005-0000-0000-000010190000}"/>
    <cellStyle name="Normal 5 2 4 4 2 2" xfId="7363" xr:uid="{00000000-0005-0000-0000-000011190000}"/>
    <cellStyle name="Normal 5 2 4 4 2 2 2" xfId="25136" xr:uid="{C2D5DDB1-4FBE-46E3-8C0A-93AE0FA1AD8B}"/>
    <cellStyle name="Normal 5 2 4 4 2 2 2 2" xfId="42030" xr:uid="{C9936ADB-A02C-4F27-9859-763AF032F6F8}"/>
    <cellStyle name="Normal 5 2 4 4 2 2 3" xfId="16689" xr:uid="{94E030B9-7814-43FB-99C9-7B24BD38D6E8}"/>
    <cellStyle name="Normal 5 2 4 4 2 2 4" xfId="33583" xr:uid="{E6919074-56B6-4AEE-9C99-B91B341FFDC1}"/>
    <cellStyle name="Normal 5 2 4 4 2 3" xfId="20919" xr:uid="{46E024C6-CE0A-42C0-A7B9-A5D49543CB7F}"/>
    <cellStyle name="Normal 5 2 4 4 2 3 2" xfId="37813" xr:uid="{57A7550A-9DDC-4A63-87E1-7057177D3B84}"/>
    <cellStyle name="Normal 5 2 4 4 2 4" xfId="12472" xr:uid="{869F994C-27B2-4F85-BDE1-DA3836180C5F}"/>
    <cellStyle name="Normal 5 2 4 4 2 5" xfId="29366" xr:uid="{514BB101-2413-45D7-B5E0-98F6E5E77D25}"/>
    <cellStyle name="Normal 5 2 4 4 3" xfId="5218" xr:uid="{00000000-0005-0000-0000-000012190000}"/>
    <cellStyle name="Normal 5 2 4 4 3 2" xfId="22991" xr:uid="{049209D0-281F-46BA-A7F3-4C37633455B4}"/>
    <cellStyle name="Normal 5 2 4 4 3 2 2" xfId="39885" xr:uid="{D13619C9-7AD0-4E23-87D6-B88C52B5A7ED}"/>
    <cellStyle name="Normal 5 2 4 4 3 3" xfId="14544" xr:uid="{C4E5D516-3653-4B91-B449-BDEA9B177558}"/>
    <cellStyle name="Normal 5 2 4 4 3 4" xfId="31438" xr:uid="{15DFBBD2-B727-493D-AA7F-073264FE0C63}"/>
    <cellStyle name="Normal 5 2 4 4 4" xfId="9252" xr:uid="{1D1A8EC4-7286-46A1-B40C-E987F273E760}"/>
    <cellStyle name="Normal 5 2 4 4 4 2" xfId="18774" xr:uid="{26565FBE-0227-4845-8B69-3444C16F3A33}"/>
    <cellStyle name="Normal 5 2 4 4 4 3" xfId="35668" xr:uid="{02CE8F12-E23F-407E-A5A3-B40263480C7A}"/>
    <cellStyle name="Normal 5 2 4 4 5" xfId="10327" xr:uid="{B04E4E45-493D-4E4D-A91D-854123A6D57F}"/>
    <cellStyle name="Normal 5 2 4 4 6" xfId="27221" xr:uid="{20B51E2E-5692-484F-951C-45D6E1BD55A3}"/>
    <cellStyle name="Normal 5 2 4 5" xfId="1324" xr:uid="{00000000-0005-0000-0000-000013190000}"/>
    <cellStyle name="Normal 5 2 4 5 2" xfId="3554" xr:uid="{00000000-0005-0000-0000-000014190000}"/>
    <cellStyle name="Normal 5 2 4 5 2 2" xfId="7776" xr:uid="{00000000-0005-0000-0000-000015190000}"/>
    <cellStyle name="Normal 5 2 4 5 2 2 2" xfId="25549" xr:uid="{11EFE6D7-2541-4199-8E45-F909EC59A85F}"/>
    <cellStyle name="Normal 5 2 4 5 2 2 2 2" xfId="42443" xr:uid="{AEB8C781-5717-4170-B92B-F4283E847504}"/>
    <cellStyle name="Normal 5 2 4 5 2 2 3" xfId="17102" xr:uid="{DD8299F9-FC41-4CAC-8D35-A7B69EA972AF}"/>
    <cellStyle name="Normal 5 2 4 5 2 2 4" xfId="33996" xr:uid="{E7E80D17-7D65-41C1-A5C4-460643432FC2}"/>
    <cellStyle name="Normal 5 2 4 5 2 3" xfId="21332" xr:uid="{E0AA96E5-3E17-43D0-838B-C5333338DFC5}"/>
    <cellStyle name="Normal 5 2 4 5 2 3 2" xfId="38226" xr:uid="{80919674-5457-4C71-8ECE-30EACF86FB52}"/>
    <cellStyle name="Normal 5 2 4 5 2 4" xfId="12885" xr:uid="{CB26C8E6-772D-436F-9626-261C2D5D92D4}"/>
    <cellStyle name="Normal 5 2 4 5 2 5" xfId="29779" xr:uid="{9AB47A70-0188-4454-B602-3021AAB5F772}"/>
    <cellStyle name="Normal 5 2 4 5 3" xfId="5631" xr:uid="{00000000-0005-0000-0000-000016190000}"/>
    <cellStyle name="Normal 5 2 4 5 3 2" xfId="23404" xr:uid="{F5850821-61DC-420A-95D4-BF9F691BE26C}"/>
    <cellStyle name="Normal 5 2 4 5 3 2 2" xfId="40298" xr:uid="{757F3DBF-31D0-4166-8DE2-C50A491D937F}"/>
    <cellStyle name="Normal 5 2 4 5 3 3" xfId="14957" xr:uid="{A03C8F12-55C1-4453-8E90-6EBFDDDEFF29}"/>
    <cellStyle name="Normal 5 2 4 5 3 4" xfId="31851" xr:uid="{7D941BF8-3450-44CA-BE17-C8625DB8B27E}"/>
    <cellStyle name="Normal 5 2 4 5 4" xfId="19187" xr:uid="{3FB0F320-28CE-43B7-8E29-418602A14083}"/>
    <cellStyle name="Normal 5 2 4 5 4 2" xfId="36081" xr:uid="{97869C4D-8D7F-4F64-AD25-6BEBC5C693EA}"/>
    <cellStyle name="Normal 5 2 4 5 5" xfId="10740" xr:uid="{E38B9C42-32F1-425B-9AD6-CD5C4290687D}"/>
    <cellStyle name="Normal 5 2 4 5 6" xfId="27634" xr:uid="{3C9363A5-6197-4D64-8A97-7A4AFA7D16D4}"/>
    <cellStyle name="Normal 5 2 4 6" xfId="1737" xr:uid="{00000000-0005-0000-0000-000017190000}"/>
    <cellStyle name="Normal 5 2 4 6 2" xfId="3967" xr:uid="{00000000-0005-0000-0000-000018190000}"/>
    <cellStyle name="Normal 5 2 4 6 2 2" xfId="8189" xr:uid="{00000000-0005-0000-0000-000019190000}"/>
    <cellStyle name="Normal 5 2 4 6 2 2 2" xfId="25962" xr:uid="{996E73AB-0FC3-45A4-BCF8-7E140113F387}"/>
    <cellStyle name="Normal 5 2 4 6 2 2 2 2" xfId="42856" xr:uid="{D208255B-BEB0-442A-8AF0-7F9192EC73BD}"/>
    <cellStyle name="Normal 5 2 4 6 2 2 3" xfId="17515" xr:uid="{AE76E6AB-9EC1-4C7B-8FC2-6E69F92B0557}"/>
    <cellStyle name="Normal 5 2 4 6 2 2 4" xfId="34409" xr:uid="{F89F48C3-8DFA-4DF0-BDE5-3E6247AB846B}"/>
    <cellStyle name="Normal 5 2 4 6 2 3" xfId="21745" xr:uid="{54F7AA2A-EB91-4419-A220-CD9B435D4B7E}"/>
    <cellStyle name="Normal 5 2 4 6 2 3 2" xfId="38639" xr:uid="{0A5B33F7-5326-4B71-B476-37F592532D56}"/>
    <cellStyle name="Normal 5 2 4 6 2 4" xfId="13298" xr:uid="{169D3EE4-F8A3-4B96-964E-E71D50050959}"/>
    <cellStyle name="Normal 5 2 4 6 2 5" xfId="30192" xr:uid="{5BE45CB5-9A34-4B5A-B080-0094901E302C}"/>
    <cellStyle name="Normal 5 2 4 6 3" xfId="6044" xr:uid="{00000000-0005-0000-0000-00001A190000}"/>
    <cellStyle name="Normal 5 2 4 6 3 2" xfId="23817" xr:uid="{77BF5D2F-C313-448F-8713-382760851788}"/>
    <cellStyle name="Normal 5 2 4 6 3 2 2" xfId="40711" xr:uid="{FA9D139C-5230-4705-9E6F-A4BDA482D9C2}"/>
    <cellStyle name="Normal 5 2 4 6 3 3" xfId="15370" xr:uid="{8ADB8683-5B4A-4A36-AC43-24A9F4EF9DED}"/>
    <cellStyle name="Normal 5 2 4 6 3 4" xfId="32264" xr:uid="{63482CF2-0590-4C21-981D-0D38ABCD303C}"/>
    <cellStyle name="Normal 5 2 4 6 4" xfId="19600" xr:uid="{B86F17B6-CE0E-4680-8943-2B805223223C}"/>
    <cellStyle name="Normal 5 2 4 6 4 2" xfId="36494" xr:uid="{E8D21F8E-ED00-47F9-B955-7940F7440128}"/>
    <cellStyle name="Normal 5 2 4 6 5" xfId="11153" xr:uid="{6CF8B529-644F-45D6-9AAE-339636498A00}"/>
    <cellStyle name="Normal 5 2 4 6 6" xfId="28047" xr:uid="{7466BC7E-297F-4C6C-AFA9-D7202E8017D0}"/>
    <cellStyle name="Normal 5 2 4 7" xfId="2151" xr:uid="{00000000-0005-0000-0000-00001B190000}"/>
    <cellStyle name="Normal 5 2 4 7 2" xfId="4380" xr:uid="{00000000-0005-0000-0000-00001C190000}"/>
    <cellStyle name="Normal 5 2 4 7 2 2" xfId="8602" xr:uid="{00000000-0005-0000-0000-00001D190000}"/>
    <cellStyle name="Normal 5 2 4 7 2 2 2" xfId="26375" xr:uid="{0D930F6C-3B27-47CE-BF4B-A457C8D28E7D}"/>
    <cellStyle name="Normal 5 2 4 7 2 2 2 2" xfId="43269" xr:uid="{9E579A61-6992-48C8-B4ED-63BA8DAD84EE}"/>
    <cellStyle name="Normal 5 2 4 7 2 2 3" xfId="17928" xr:uid="{D7BE209B-5995-4483-9081-286F613F4420}"/>
    <cellStyle name="Normal 5 2 4 7 2 2 4" xfId="34822" xr:uid="{7B23BDD0-CE7E-46B4-8891-1A1A54FE218C}"/>
    <cellStyle name="Normal 5 2 4 7 2 3" xfId="22158" xr:uid="{2926EB4E-C832-411D-836F-D81C0769EA69}"/>
    <cellStyle name="Normal 5 2 4 7 2 3 2" xfId="39052" xr:uid="{95ACDE69-938D-4976-A15C-5736E09E5BE0}"/>
    <cellStyle name="Normal 5 2 4 7 2 4" xfId="13711" xr:uid="{1D714236-A7F8-4311-8988-0D317CC3BF17}"/>
    <cellStyle name="Normal 5 2 4 7 2 5" xfId="30605" xr:uid="{684D1549-459B-4F54-A158-4E3D0ABA9AFB}"/>
    <cellStyle name="Normal 5 2 4 7 3" xfId="6457" xr:uid="{00000000-0005-0000-0000-00001E190000}"/>
    <cellStyle name="Normal 5 2 4 7 3 2" xfId="24230" xr:uid="{5178F6CE-6072-466E-BB5B-FBC90A569583}"/>
    <cellStyle name="Normal 5 2 4 7 3 2 2" xfId="41124" xr:uid="{E245994F-3EE8-4BF7-9BA4-03222CD23644}"/>
    <cellStyle name="Normal 5 2 4 7 3 3" xfId="15783" xr:uid="{BA850704-BB91-474D-80A4-98DC8CBEEDFA}"/>
    <cellStyle name="Normal 5 2 4 7 3 4" xfId="32677" xr:uid="{E9CA0E73-D0E4-4336-A0A4-6DA77E5A0642}"/>
    <cellStyle name="Normal 5 2 4 7 4" xfId="20013" xr:uid="{6D17742E-8578-495B-A1DB-8D1E61F6AB6F}"/>
    <cellStyle name="Normal 5 2 4 7 4 2" xfId="36907" xr:uid="{DF57FB77-D7D3-4772-BFBD-C421137B0C99}"/>
    <cellStyle name="Normal 5 2 4 7 5" xfId="11566" xr:uid="{81D78323-91FC-4745-A780-3E121C19F1C2}"/>
    <cellStyle name="Normal 5 2 4 7 6" xfId="28460" xr:uid="{84592FED-0078-4BD0-AB9B-2BD01E889F95}"/>
    <cellStyle name="Normal 5 2 4 8" xfId="2587" xr:uid="{00000000-0005-0000-0000-00001F190000}"/>
    <cellStyle name="Normal 5 2 4 8 2" xfId="6870" xr:uid="{00000000-0005-0000-0000-000020190000}"/>
    <cellStyle name="Normal 5 2 4 8 2 2" xfId="24643" xr:uid="{D33C186D-DBBE-4E8A-BBF3-D1418CE890C3}"/>
    <cellStyle name="Normal 5 2 4 8 2 2 2" xfId="41537" xr:uid="{5FA85098-6C8A-4AEF-9AE0-00A8EB36C71B}"/>
    <cellStyle name="Normal 5 2 4 8 2 3" xfId="16196" xr:uid="{D85829EC-46A6-4E1E-89A4-1CEA6572E3B2}"/>
    <cellStyle name="Normal 5 2 4 8 2 4" xfId="33090" xr:uid="{1F77BD7B-48C3-4BC3-9F9B-C0D9984CA130}"/>
    <cellStyle name="Normal 5 2 4 8 3" xfId="20426" xr:uid="{836246F8-F9FB-4DAC-BA70-0981A9B5F366}"/>
    <cellStyle name="Normal 5 2 4 8 3 2" xfId="37320" xr:uid="{2F6D4F58-17F3-41B2-96FE-0B6E0B9CE166}"/>
    <cellStyle name="Normal 5 2 4 8 4" xfId="11979" xr:uid="{9A85F215-B33F-4E7F-ADA3-A44804FC42C5}"/>
    <cellStyle name="Normal 5 2 4 8 5" xfId="28873" xr:uid="{D9FB5EAD-B186-40C1-981F-B970C3910209}"/>
    <cellStyle name="Normal 5 2 4 9" xfId="4805" xr:uid="{00000000-0005-0000-0000-000021190000}"/>
    <cellStyle name="Normal 5 2 4 9 2" xfId="22578" xr:uid="{723E30B8-7B42-4BBF-80F5-E5E6888C5BE0}"/>
    <cellStyle name="Normal 5 2 4 9 2 2" xfId="39472" xr:uid="{9B21CD3C-3CB1-439C-87AC-A1C1105DD202}"/>
    <cellStyle name="Normal 5 2 4 9 3" xfId="14131" xr:uid="{B34E4D36-0D11-4926-A587-78F34771A1C5}"/>
    <cellStyle name="Normal 5 2 4 9 4" xfId="31025" xr:uid="{CFCF55D4-4791-4BD0-9B8A-DD796169B733}"/>
    <cellStyle name="Normal 5 2 5" xfId="436" xr:uid="{00000000-0005-0000-0000-000022190000}"/>
    <cellStyle name="Normal 5 2 5 10" xfId="9918" xr:uid="{1CB8DB93-9150-47A7-828D-6A8D189A75BD}"/>
    <cellStyle name="Normal 5 2 5 11" xfId="26812" xr:uid="{8E31C799-EC26-4EAA-A255-F753DA908726}"/>
    <cellStyle name="Normal 5 2 5 2" xfId="437" xr:uid="{00000000-0005-0000-0000-000023190000}"/>
    <cellStyle name="Normal 5 2 5 2 10" xfId="26813" xr:uid="{EFCA1ED3-DB5C-45C3-9567-228186742834}"/>
    <cellStyle name="Normal 5 2 5 2 2" xfId="911" xr:uid="{00000000-0005-0000-0000-000024190000}"/>
    <cellStyle name="Normal 5 2 5 2 2 2" xfId="3146" xr:uid="{00000000-0005-0000-0000-000025190000}"/>
    <cellStyle name="Normal 5 2 5 2 2 2 2" xfId="7368" xr:uid="{00000000-0005-0000-0000-000026190000}"/>
    <cellStyle name="Normal 5 2 5 2 2 2 2 2" xfId="25141" xr:uid="{6FD24EDB-EE4F-4ADB-95C6-6F42D1702506}"/>
    <cellStyle name="Normal 5 2 5 2 2 2 2 2 2" xfId="42035" xr:uid="{2D937FA4-97F3-44AB-B6B0-677907FF597D}"/>
    <cellStyle name="Normal 5 2 5 2 2 2 2 3" xfId="16694" xr:uid="{F04EA638-2468-4ABC-B4A3-DCF1EB806990}"/>
    <cellStyle name="Normal 5 2 5 2 2 2 2 4" xfId="33588" xr:uid="{94D115E4-0074-42DC-A845-2C73EAB901D1}"/>
    <cellStyle name="Normal 5 2 5 2 2 2 3" xfId="20924" xr:uid="{10C568CB-0C58-4B7E-8428-AD51D51EF7D5}"/>
    <cellStyle name="Normal 5 2 5 2 2 2 3 2" xfId="37818" xr:uid="{5C2ADC94-77B7-4532-93B4-08FF539D4165}"/>
    <cellStyle name="Normal 5 2 5 2 2 2 4" xfId="12477" xr:uid="{CDAEC471-CAD9-4F2F-9C5C-43EB9990E6D8}"/>
    <cellStyle name="Normal 5 2 5 2 2 2 5" xfId="29371" xr:uid="{7EC23482-D4A3-4EA3-91F1-52AF6E827AC3}"/>
    <cellStyle name="Normal 5 2 5 2 2 3" xfId="5223" xr:uid="{00000000-0005-0000-0000-000027190000}"/>
    <cellStyle name="Normal 5 2 5 2 2 3 2" xfId="22996" xr:uid="{8D10D929-435F-46CF-B17A-D06148538B12}"/>
    <cellStyle name="Normal 5 2 5 2 2 3 2 2" xfId="39890" xr:uid="{895A3F5A-6DA3-4930-BE90-BA09E5B38F28}"/>
    <cellStyle name="Normal 5 2 5 2 2 3 3" xfId="14549" xr:uid="{DBC9F04A-9E0C-4734-B91B-AB7453E0F757}"/>
    <cellStyle name="Normal 5 2 5 2 2 3 4" xfId="31443" xr:uid="{D5E56F51-97FE-4395-9DCA-AED76B309B0A}"/>
    <cellStyle name="Normal 5 2 5 2 2 4" xfId="9479" xr:uid="{0DDFFFD4-5D62-4038-B6D4-9E9BD7CBA380}"/>
    <cellStyle name="Normal 5 2 5 2 2 4 2" xfId="18779" xr:uid="{F570B065-E413-4EA9-90BD-250F3E332E80}"/>
    <cellStyle name="Normal 5 2 5 2 2 4 3" xfId="35673" xr:uid="{31BCB034-6876-43E2-9A57-A80C2FDC66F6}"/>
    <cellStyle name="Normal 5 2 5 2 2 5" xfId="10332" xr:uid="{4CA01E98-8871-4665-B55A-8E22E2F74047}"/>
    <cellStyle name="Normal 5 2 5 2 2 6" xfId="27226" xr:uid="{6EEF0068-29A1-44B8-87C1-B74E12A9D335}"/>
    <cellStyle name="Normal 5 2 5 2 3" xfId="1329" xr:uid="{00000000-0005-0000-0000-000028190000}"/>
    <cellStyle name="Normal 5 2 5 2 3 2" xfId="3559" xr:uid="{00000000-0005-0000-0000-000029190000}"/>
    <cellStyle name="Normal 5 2 5 2 3 2 2" xfId="7781" xr:uid="{00000000-0005-0000-0000-00002A190000}"/>
    <cellStyle name="Normal 5 2 5 2 3 2 2 2" xfId="25554" xr:uid="{AB0231DF-E4F4-44D4-8613-43329FBBB109}"/>
    <cellStyle name="Normal 5 2 5 2 3 2 2 2 2" xfId="42448" xr:uid="{3E89291F-60E5-4F97-B10D-0582ABE05D55}"/>
    <cellStyle name="Normal 5 2 5 2 3 2 2 3" xfId="17107" xr:uid="{B663371A-D2F7-439F-B18B-15418A51F7F9}"/>
    <cellStyle name="Normal 5 2 5 2 3 2 2 4" xfId="34001" xr:uid="{6476788E-D0B1-40F2-8356-0C2B034DB9F3}"/>
    <cellStyle name="Normal 5 2 5 2 3 2 3" xfId="21337" xr:uid="{F0C678B8-1FB6-4357-A760-A93CAB164B4D}"/>
    <cellStyle name="Normal 5 2 5 2 3 2 3 2" xfId="38231" xr:uid="{B0D4BCB7-DE07-420B-B215-3F770646B953}"/>
    <cellStyle name="Normal 5 2 5 2 3 2 4" xfId="12890" xr:uid="{D0BED095-32E7-41F2-A807-8A6151FD4689}"/>
    <cellStyle name="Normal 5 2 5 2 3 2 5" xfId="29784" xr:uid="{EEF7250A-3147-42F2-AE89-6BDE8FDA1E9F}"/>
    <cellStyle name="Normal 5 2 5 2 3 3" xfId="5636" xr:uid="{00000000-0005-0000-0000-00002B190000}"/>
    <cellStyle name="Normal 5 2 5 2 3 3 2" xfId="23409" xr:uid="{306936E8-8206-4DF0-A3D1-8D276C51BA81}"/>
    <cellStyle name="Normal 5 2 5 2 3 3 2 2" xfId="40303" xr:uid="{7ACE9749-CCC9-4BEA-A19D-34976FD86C75}"/>
    <cellStyle name="Normal 5 2 5 2 3 3 3" xfId="14962" xr:uid="{E33DBB77-AD15-42CA-8868-704113380B8F}"/>
    <cellStyle name="Normal 5 2 5 2 3 3 4" xfId="31856" xr:uid="{2B56D11A-6F54-4928-86E1-C6A5B81E2B13}"/>
    <cellStyle name="Normal 5 2 5 2 3 4" xfId="19192" xr:uid="{46E28F1A-0ED2-4472-BD17-42F7814CAAB7}"/>
    <cellStyle name="Normal 5 2 5 2 3 4 2" xfId="36086" xr:uid="{D07EA897-2A16-4613-B7BD-2A10B829AB45}"/>
    <cellStyle name="Normal 5 2 5 2 3 5" xfId="10745" xr:uid="{5702E6A0-5A82-4EBE-90F6-E56503A65653}"/>
    <cellStyle name="Normal 5 2 5 2 3 6" xfId="27639" xr:uid="{1C16F273-0562-4543-ABB7-8164627EBB55}"/>
    <cellStyle name="Normal 5 2 5 2 4" xfId="1742" xr:uid="{00000000-0005-0000-0000-00002C190000}"/>
    <cellStyle name="Normal 5 2 5 2 4 2" xfId="3972" xr:uid="{00000000-0005-0000-0000-00002D190000}"/>
    <cellStyle name="Normal 5 2 5 2 4 2 2" xfId="8194" xr:uid="{00000000-0005-0000-0000-00002E190000}"/>
    <cellStyle name="Normal 5 2 5 2 4 2 2 2" xfId="25967" xr:uid="{E50FE931-2BDB-4FB3-B1FE-95070E020B4F}"/>
    <cellStyle name="Normal 5 2 5 2 4 2 2 2 2" xfId="42861" xr:uid="{F97D72A0-261B-4002-8A4C-862474CF03F9}"/>
    <cellStyle name="Normal 5 2 5 2 4 2 2 3" xfId="17520" xr:uid="{01964080-ABA0-4F91-97CA-4EB1F4628A4B}"/>
    <cellStyle name="Normal 5 2 5 2 4 2 2 4" xfId="34414" xr:uid="{483A5251-C630-4D98-AD5E-10B90BC33771}"/>
    <cellStyle name="Normal 5 2 5 2 4 2 3" xfId="21750" xr:uid="{B71952A0-6674-4691-8B0C-9AF5CAE0DC57}"/>
    <cellStyle name="Normal 5 2 5 2 4 2 3 2" xfId="38644" xr:uid="{E51339E3-8E43-499F-AED7-1C1B0235F3D0}"/>
    <cellStyle name="Normal 5 2 5 2 4 2 4" xfId="13303" xr:uid="{437CEFB7-6236-44F8-B02B-DB1707116A45}"/>
    <cellStyle name="Normal 5 2 5 2 4 2 5" xfId="30197" xr:uid="{3432FBFE-3672-456C-AF2F-BCB68611B3B7}"/>
    <cellStyle name="Normal 5 2 5 2 4 3" xfId="6049" xr:uid="{00000000-0005-0000-0000-00002F190000}"/>
    <cellStyle name="Normal 5 2 5 2 4 3 2" xfId="23822" xr:uid="{C4CB1B4C-D54B-4C60-97FA-D781CA71B933}"/>
    <cellStyle name="Normal 5 2 5 2 4 3 2 2" xfId="40716" xr:uid="{47A06B01-48A7-4882-A443-75F32F842D13}"/>
    <cellStyle name="Normal 5 2 5 2 4 3 3" xfId="15375" xr:uid="{B53BDDEE-8B61-489A-871E-5848CD8D12C7}"/>
    <cellStyle name="Normal 5 2 5 2 4 3 4" xfId="32269" xr:uid="{ECD14B3F-91F5-46EB-8D09-B62913D6F042}"/>
    <cellStyle name="Normal 5 2 5 2 4 4" xfId="19605" xr:uid="{2CD3FF70-ADE3-4344-8753-C1CDC6C09382}"/>
    <cellStyle name="Normal 5 2 5 2 4 4 2" xfId="36499" xr:uid="{DCBF18A8-E468-482E-B065-2521931F7D9B}"/>
    <cellStyle name="Normal 5 2 5 2 4 5" xfId="11158" xr:uid="{9B319AA4-3FB1-4C88-BC79-0525B45D29BE}"/>
    <cellStyle name="Normal 5 2 5 2 4 6" xfId="28052" xr:uid="{EB2C9DA0-B793-4B06-A317-02990C61C9F5}"/>
    <cellStyle name="Normal 5 2 5 2 5" xfId="2156" xr:uid="{00000000-0005-0000-0000-000030190000}"/>
    <cellStyle name="Normal 5 2 5 2 5 2" xfId="4385" xr:uid="{00000000-0005-0000-0000-000031190000}"/>
    <cellStyle name="Normal 5 2 5 2 5 2 2" xfId="8607" xr:uid="{00000000-0005-0000-0000-000032190000}"/>
    <cellStyle name="Normal 5 2 5 2 5 2 2 2" xfId="26380" xr:uid="{A53CBB75-BC25-4FC9-B761-5B1FC4061F35}"/>
    <cellStyle name="Normal 5 2 5 2 5 2 2 2 2" xfId="43274" xr:uid="{9E7ED491-18F7-44B1-946B-239DC95F13B3}"/>
    <cellStyle name="Normal 5 2 5 2 5 2 2 3" xfId="17933" xr:uid="{C5F245EB-ECFE-4130-9ED5-BDF913A40016}"/>
    <cellStyle name="Normal 5 2 5 2 5 2 2 4" xfId="34827" xr:uid="{C98FB9A5-911C-4D55-8FB5-664582BA5738}"/>
    <cellStyle name="Normal 5 2 5 2 5 2 3" xfId="22163" xr:uid="{D4C2125E-DA4E-42D0-902D-54ABD5728108}"/>
    <cellStyle name="Normal 5 2 5 2 5 2 3 2" xfId="39057" xr:uid="{FE623E75-9BEA-4974-AAED-15C6D0E22531}"/>
    <cellStyle name="Normal 5 2 5 2 5 2 4" xfId="13716" xr:uid="{7FBA1553-AC72-42D6-9B09-BD6343003412}"/>
    <cellStyle name="Normal 5 2 5 2 5 2 5" xfId="30610" xr:uid="{F6E54DD7-8BE8-4385-BAA0-9DD4FFB88B85}"/>
    <cellStyle name="Normal 5 2 5 2 5 3" xfId="6462" xr:uid="{00000000-0005-0000-0000-000033190000}"/>
    <cellStyle name="Normal 5 2 5 2 5 3 2" xfId="24235" xr:uid="{55A7DE1A-AAE5-4DDB-AA41-9F5191AEB430}"/>
    <cellStyle name="Normal 5 2 5 2 5 3 2 2" xfId="41129" xr:uid="{78ECF058-AC8D-400C-814C-1EAD51138E99}"/>
    <cellStyle name="Normal 5 2 5 2 5 3 3" xfId="15788" xr:uid="{5E5455B2-0CDE-4453-9B91-CD25C909A94C}"/>
    <cellStyle name="Normal 5 2 5 2 5 3 4" xfId="32682" xr:uid="{F4AAA309-587C-4C65-8AD0-909C74D0E5CF}"/>
    <cellStyle name="Normal 5 2 5 2 5 4" xfId="20018" xr:uid="{0F82EEC2-7ACA-4015-BFA3-1F4B2F01CC26}"/>
    <cellStyle name="Normal 5 2 5 2 5 4 2" xfId="36912" xr:uid="{A346E7CF-A66F-4A54-8DCB-6C99AB4AE807}"/>
    <cellStyle name="Normal 5 2 5 2 5 5" xfId="11571" xr:uid="{345B6B89-789C-46EF-B6BE-73EF7F44F52B}"/>
    <cellStyle name="Normal 5 2 5 2 5 6" xfId="28465" xr:uid="{2ADDEB72-D84C-457D-B1D8-36C68BDD8772}"/>
    <cellStyle name="Normal 5 2 5 2 6" xfId="2592" xr:uid="{00000000-0005-0000-0000-000034190000}"/>
    <cellStyle name="Normal 5 2 5 2 6 2" xfId="6875" xr:uid="{00000000-0005-0000-0000-000035190000}"/>
    <cellStyle name="Normal 5 2 5 2 6 2 2" xfId="24648" xr:uid="{9A5572BE-C6BC-4462-96F6-EE75488807D5}"/>
    <cellStyle name="Normal 5 2 5 2 6 2 2 2" xfId="41542" xr:uid="{142E9C32-932C-483F-97DA-7BC02AACCBC0}"/>
    <cellStyle name="Normal 5 2 5 2 6 2 3" xfId="16201" xr:uid="{4D271979-AE70-4443-BC37-C1F9D9B9DBCC}"/>
    <cellStyle name="Normal 5 2 5 2 6 2 4" xfId="33095" xr:uid="{80F3EB5E-5E10-47E2-B8F1-38BD68BC9439}"/>
    <cellStyle name="Normal 5 2 5 2 6 3" xfId="20431" xr:uid="{9DD1A6BB-63C0-4F6A-BB5D-50DC27CCAA4F}"/>
    <cellStyle name="Normal 5 2 5 2 6 3 2" xfId="37325" xr:uid="{4936309F-305A-4670-9E09-5B643CA367F4}"/>
    <cellStyle name="Normal 5 2 5 2 6 4" xfId="11984" xr:uid="{0E3981D5-9665-4EE7-86B6-DCE857D41B86}"/>
    <cellStyle name="Normal 5 2 5 2 6 5" xfId="28878" xr:uid="{AC192F35-23E3-48E7-91BC-2A8F0C649AFD}"/>
    <cellStyle name="Normal 5 2 5 2 7" xfId="4810" xr:uid="{00000000-0005-0000-0000-000036190000}"/>
    <cellStyle name="Normal 5 2 5 2 7 2" xfId="22583" xr:uid="{D39410C5-D1EE-4D2F-8E8A-FCB352CF13F3}"/>
    <cellStyle name="Normal 5 2 5 2 7 2 2" xfId="39477" xr:uid="{EA5E40AD-CF12-4EDD-8DE8-67E0F30927DD}"/>
    <cellStyle name="Normal 5 2 5 2 7 3" xfId="14136" xr:uid="{4DBAF6B5-DCFE-4EE6-9082-CD0D6056FD22}"/>
    <cellStyle name="Normal 5 2 5 2 7 4" xfId="31030" xr:uid="{E538F24C-6CFD-4514-AB86-83D7E97702D6}"/>
    <cellStyle name="Normal 5 2 5 2 8" xfId="9054" xr:uid="{844F6476-DDB9-4C38-A2B2-83AB0DCF1773}"/>
    <cellStyle name="Normal 5 2 5 2 8 2" xfId="18366" xr:uid="{79C585E9-60D8-4C63-BBF7-941AB26E183A}"/>
    <cellStyle name="Normal 5 2 5 2 8 3" xfId="35260" xr:uid="{83D3661F-127D-4A4F-9C01-5329228FD635}"/>
    <cellStyle name="Normal 5 2 5 2 9" xfId="9919" xr:uid="{DA5311FB-E073-4DB7-9F59-B22256E3278B}"/>
    <cellStyle name="Normal 5 2 5 3" xfId="910" xr:uid="{00000000-0005-0000-0000-000037190000}"/>
    <cellStyle name="Normal 5 2 5 3 2" xfId="3145" xr:uid="{00000000-0005-0000-0000-000038190000}"/>
    <cellStyle name="Normal 5 2 5 3 2 2" xfId="7367" xr:uid="{00000000-0005-0000-0000-000039190000}"/>
    <cellStyle name="Normal 5 2 5 3 2 2 2" xfId="25140" xr:uid="{AFE1947A-DCA1-464E-BE17-4190687665B3}"/>
    <cellStyle name="Normal 5 2 5 3 2 2 2 2" xfId="42034" xr:uid="{99C590D9-7745-4E9C-8BE8-290ABA892078}"/>
    <cellStyle name="Normal 5 2 5 3 2 2 3" xfId="16693" xr:uid="{F9923D4E-A535-49FA-9C54-F7BFB38EAE56}"/>
    <cellStyle name="Normal 5 2 5 3 2 2 4" xfId="33587" xr:uid="{AD6E3242-7120-47C9-A0EC-4A76B520A189}"/>
    <cellStyle name="Normal 5 2 5 3 2 3" xfId="20923" xr:uid="{EA33BDE9-EF66-49A6-926F-00ED2DAA258F}"/>
    <cellStyle name="Normal 5 2 5 3 2 3 2" xfId="37817" xr:uid="{E596FC4D-6095-447A-9FAF-D4B389B02567}"/>
    <cellStyle name="Normal 5 2 5 3 2 4" xfId="12476" xr:uid="{720C906D-E643-4E49-984D-06C2046D60ED}"/>
    <cellStyle name="Normal 5 2 5 3 2 5" xfId="29370" xr:uid="{B19B6CE0-229C-4798-ADC5-5E4B9152263A}"/>
    <cellStyle name="Normal 5 2 5 3 3" xfId="5222" xr:uid="{00000000-0005-0000-0000-00003A190000}"/>
    <cellStyle name="Normal 5 2 5 3 3 2" xfId="22995" xr:uid="{682E3EC2-7F28-4409-8D56-120E5A2E67D9}"/>
    <cellStyle name="Normal 5 2 5 3 3 2 2" xfId="39889" xr:uid="{D87B6162-3F3B-494F-AB49-9C1B970361B6}"/>
    <cellStyle name="Normal 5 2 5 3 3 3" xfId="14548" xr:uid="{41E3E9F9-3056-4197-A92E-0C65DBE521E3}"/>
    <cellStyle name="Normal 5 2 5 3 3 4" xfId="31442" xr:uid="{9E1DE393-2693-4383-80D4-ACEAE22DDDBB}"/>
    <cellStyle name="Normal 5 2 5 3 4" xfId="9272" xr:uid="{8865498C-CC61-4C5F-A1F4-57A1D301E1CE}"/>
    <cellStyle name="Normal 5 2 5 3 4 2" xfId="18778" xr:uid="{EF27A393-95F1-43E7-9CE9-A03291259BC0}"/>
    <cellStyle name="Normal 5 2 5 3 4 3" xfId="35672" xr:uid="{498B2BD3-B6A8-4A1A-9720-A117235EE86B}"/>
    <cellStyle name="Normal 5 2 5 3 5" xfId="10331" xr:uid="{7ECC5A39-E928-4A1E-A2E8-CA7B2A5BC943}"/>
    <cellStyle name="Normal 5 2 5 3 6" xfId="27225" xr:uid="{F5116270-1150-4403-8E44-4D6DE48FE855}"/>
    <cellStyle name="Normal 5 2 5 4" xfId="1328" xr:uid="{00000000-0005-0000-0000-00003B190000}"/>
    <cellStyle name="Normal 5 2 5 4 2" xfId="3558" xr:uid="{00000000-0005-0000-0000-00003C190000}"/>
    <cellStyle name="Normal 5 2 5 4 2 2" xfId="7780" xr:uid="{00000000-0005-0000-0000-00003D190000}"/>
    <cellStyle name="Normal 5 2 5 4 2 2 2" xfId="25553" xr:uid="{82D22892-65C8-4401-89BC-ECC4684B5A19}"/>
    <cellStyle name="Normal 5 2 5 4 2 2 2 2" xfId="42447" xr:uid="{B9CDCD5A-F893-42D5-8D5F-AA9B68495DFD}"/>
    <cellStyle name="Normal 5 2 5 4 2 2 3" xfId="17106" xr:uid="{8E761CB9-F53A-4B88-91DC-52244BAFCA6A}"/>
    <cellStyle name="Normal 5 2 5 4 2 2 4" xfId="34000" xr:uid="{055F0066-0A57-4904-9C40-FF220383B1D5}"/>
    <cellStyle name="Normal 5 2 5 4 2 3" xfId="21336" xr:uid="{6CC0A78C-09A0-4F79-BFAE-F56E1F7201AE}"/>
    <cellStyle name="Normal 5 2 5 4 2 3 2" xfId="38230" xr:uid="{3C31CA12-C984-4019-B821-7441673A601B}"/>
    <cellStyle name="Normal 5 2 5 4 2 4" xfId="12889" xr:uid="{B024AA07-AA64-4611-8805-B36F3431C881}"/>
    <cellStyle name="Normal 5 2 5 4 2 5" xfId="29783" xr:uid="{AEAA7B16-3063-4C1F-BF76-64BA4774B763}"/>
    <cellStyle name="Normal 5 2 5 4 3" xfId="5635" xr:uid="{00000000-0005-0000-0000-00003E190000}"/>
    <cellStyle name="Normal 5 2 5 4 3 2" xfId="23408" xr:uid="{AE17A961-CD2C-414B-B2FF-26DC57EFB4C9}"/>
    <cellStyle name="Normal 5 2 5 4 3 2 2" xfId="40302" xr:uid="{15EAD69E-92FB-49B7-83C3-E5E3CC26A5C4}"/>
    <cellStyle name="Normal 5 2 5 4 3 3" xfId="14961" xr:uid="{AA10ABD7-81B4-4753-B9AE-BA2A57E831A4}"/>
    <cellStyle name="Normal 5 2 5 4 3 4" xfId="31855" xr:uid="{4C3DDB32-098B-476D-BED2-25CC2EC20C9E}"/>
    <cellStyle name="Normal 5 2 5 4 4" xfId="19191" xr:uid="{AAD338DE-BF14-4B99-ABA5-F6CE312CABD1}"/>
    <cellStyle name="Normal 5 2 5 4 4 2" xfId="36085" xr:uid="{B3636622-D0F0-4C13-A6F4-19D701AEA8DA}"/>
    <cellStyle name="Normal 5 2 5 4 5" xfId="10744" xr:uid="{962AFEAB-67A0-4154-9F6C-26CE2A24DCEA}"/>
    <cellStyle name="Normal 5 2 5 4 6" xfId="27638" xr:uid="{A91EA82E-F37B-4CCC-AE08-6BA74426F1FF}"/>
    <cellStyle name="Normal 5 2 5 5" xfId="1741" xr:uid="{00000000-0005-0000-0000-00003F190000}"/>
    <cellStyle name="Normal 5 2 5 5 2" xfId="3971" xr:uid="{00000000-0005-0000-0000-000040190000}"/>
    <cellStyle name="Normal 5 2 5 5 2 2" xfId="8193" xr:uid="{00000000-0005-0000-0000-000041190000}"/>
    <cellStyle name="Normal 5 2 5 5 2 2 2" xfId="25966" xr:uid="{468AF783-678E-45D7-BDC6-38435988A3D3}"/>
    <cellStyle name="Normal 5 2 5 5 2 2 2 2" xfId="42860" xr:uid="{BFCAAE56-560D-4755-B986-FB31E304FAD6}"/>
    <cellStyle name="Normal 5 2 5 5 2 2 3" xfId="17519" xr:uid="{6E06F01B-E9DA-44D5-9E3A-272B5CC11BB0}"/>
    <cellStyle name="Normal 5 2 5 5 2 2 4" xfId="34413" xr:uid="{04FAB9F6-0840-44FE-B32C-1FB17927692D}"/>
    <cellStyle name="Normal 5 2 5 5 2 3" xfId="21749" xr:uid="{22C96F18-1F3D-4EAD-AA18-B6F8D557B1DE}"/>
    <cellStyle name="Normal 5 2 5 5 2 3 2" xfId="38643" xr:uid="{B8AEDD37-D56F-4BD6-8393-4AF03627308C}"/>
    <cellStyle name="Normal 5 2 5 5 2 4" xfId="13302" xr:uid="{11C2611D-DA7A-4830-9BEE-3871ED743ED5}"/>
    <cellStyle name="Normal 5 2 5 5 2 5" xfId="30196" xr:uid="{AC3CC662-59A5-4DAD-B809-94573623374E}"/>
    <cellStyle name="Normal 5 2 5 5 3" xfId="6048" xr:uid="{00000000-0005-0000-0000-000042190000}"/>
    <cellStyle name="Normal 5 2 5 5 3 2" xfId="23821" xr:uid="{9FF09F97-335D-497F-B740-95536D111CBD}"/>
    <cellStyle name="Normal 5 2 5 5 3 2 2" xfId="40715" xr:uid="{8FE1230B-EB52-41D4-8E10-2C7436012FC9}"/>
    <cellStyle name="Normal 5 2 5 5 3 3" xfId="15374" xr:uid="{F0F2BD26-3936-4409-BE2D-2320179B5E40}"/>
    <cellStyle name="Normal 5 2 5 5 3 4" xfId="32268" xr:uid="{99C3873A-1EEB-494B-B5C0-0C58FBC8F805}"/>
    <cellStyle name="Normal 5 2 5 5 4" xfId="19604" xr:uid="{ECF23DD7-C516-4A60-8336-2130CEB3C543}"/>
    <cellStyle name="Normal 5 2 5 5 4 2" xfId="36498" xr:uid="{8489C896-B118-4A81-A447-FC6E53299BD8}"/>
    <cellStyle name="Normal 5 2 5 5 5" xfId="11157" xr:uid="{82C798CF-0E54-41B4-A87F-EEE464D1D110}"/>
    <cellStyle name="Normal 5 2 5 5 6" xfId="28051" xr:uid="{F91174C4-FEF8-4040-9900-A116BE3F5029}"/>
    <cellStyle name="Normal 5 2 5 6" xfId="2155" xr:uid="{00000000-0005-0000-0000-000043190000}"/>
    <cellStyle name="Normal 5 2 5 6 2" xfId="4384" xr:uid="{00000000-0005-0000-0000-000044190000}"/>
    <cellStyle name="Normal 5 2 5 6 2 2" xfId="8606" xr:uid="{00000000-0005-0000-0000-000045190000}"/>
    <cellStyle name="Normal 5 2 5 6 2 2 2" xfId="26379" xr:uid="{EE6879E0-0BA5-436E-8909-EC77C782E66C}"/>
    <cellStyle name="Normal 5 2 5 6 2 2 2 2" xfId="43273" xr:uid="{4D999776-94C0-420B-B4D7-04B810AB3952}"/>
    <cellStyle name="Normal 5 2 5 6 2 2 3" xfId="17932" xr:uid="{3EF5704E-87AB-4E92-974E-B58D7EF99DBB}"/>
    <cellStyle name="Normal 5 2 5 6 2 2 4" xfId="34826" xr:uid="{E22CB152-63AC-436E-A40D-73E928F241C2}"/>
    <cellStyle name="Normal 5 2 5 6 2 3" xfId="22162" xr:uid="{A68AFD89-9CA2-49C7-8A60-B88257D9ADCF}"/>
    <cellStyle name="Normal 5 2 5 6 2 3 2" xfId="39056" xr:uid="{18E7887A-2153-4BAA-9AF3-78735880F5F2}"/>
    <cellStyle name="Normal 5 2 5 6 2 4" xfId="13715" xr:uid="{A0014542-F3E5-43AA-B881-06C37645697F}"/>
    <cellStyle name="Normal 5 2 5 6 2 5" xfId="30609" xr:uid="{695D368D-0EA3-469B-8B3F-01F10C414226}"/>
    <cellStyle name="Normal 5 2 5 6 3" xfId="6461" xr:uid="{00000000-0005-0000-0000-000046190000}"/>
    <cellStyle name="Normal 5 2 5 6 3 2" xfId="24234" xr:uid="{8587D1A9-BEC4-477D-967D-43BFADBDFAEE}"/>
    <cellStyle name="Normal 5 2 5 6 3 2 2" xfId="41128" xr:uid="{100D964E-5E78-42DA-A123-EC20FB860809}"/>
    <cellStyle name="Normal 5 2 5 6 3 3" xfId="15787" xr:uid="{3E2F2241-63C3-47A5-AEB6-67BB82485E69}"/>
    <cellStyle name="Normal 5 2 5 6 3 4" xfId="32681" xr:uid="{B58863C9-5137-4C04-BFA1-A0FFA978E6C3}"/>
    <cellStyle name="Normal 5 2 5 6 4" xfId="20017" xr:uid="{DE18E1B6-5F59-47BC-8412-4FC934EABDF0}"/>
    <cellStyle name="Normal 5 2 5 6 4 2" xfId="36911" xr:uid="{FB78B6B4-E0CC-4096-B0CA-78895D79B1BB}"/>
    <cellStyle name="Normal 5 2 5 6 5" xfId="11570" xr:uid="{019790C6-C512-4A24-AB5E-5A3A246D6361}"/>
    <cellStyle name="Normal 5 2 5 6 6" xfId="28464" xr:uid="{76D81510-DD9B-4EE9-A32D-0F7A9145E641}"/>
    <cellStyle name="Normal 5 2 5 7" xfId="2591" xr:uid="{00000000-0005-0000-0000-000047190000}"/>
    <cellStyle name="Normal 5 2 5 7 2" xfId="6874" xr:uid="{00000000-0005-0000-0000-000048190000}"/>
    <cellStyle name="Normal 5 2 5 7 2 2" xfId="24647" xr:uid="{C00EFD6F-7D12-470C-8E6B-FA79FF9FF6F9}"/>
    <cellStyle name="Normal 5 2 5 7 2 2 2" xfId="41541" xr:uid="{572B1C7F-1F09-49B8-8421-B471A93FF6DD}"/>
    <cellStyle name="Normal 5 2 5 7 2 3" xfId="16200" xr:uid="{093A26E1-FD72-4FA3-85CD-21BCF4186F5F}"/>
    <cellStyle name="Normal 5 2 5 7 2 4" xfId="33094" xr:uid="{C7B304A6-78C6-4B99-9084-0AB8674E5076}"/>
    <cellStyle name="Normal 5 2 5 7 3" xfId="20430" xr:uid="{617C668E-CC8B-48DF-82D2-B454F1FCFBA4}"/>
    <cellStyle name="Normal 5 2 5 7 3 2" xfId="37324" xr:uid="{2A4CF2A1-EF75-442B-B65D-CD757D2483AB}"/>
    <cellStyle name="Normal 5 2 5 7 4" xfId="11983" xr:uid="{A8090E5A-7DD6-415B-BEA8-681A7795F261}"/>
    <cellStyle name="Normal 5 2 5 7 5" xfId="28877" xr:uid="{EDADDCCF-9205-46CE-A158-C2AF709BCF6D}"/>
    <cellStyle name="Normal 5 2 5 8" xfId="4809" xr:uid="{00000000-0005-0000-0000-000049190000}"/>
    <cellStyle name="Normal 5 2 5 8 2" xfId="22582" xr:uid="{B52428D9-5C3F-449A-AB03-59E540398906}"/>
    <cellStyle name="Normal 5 2 5 8 2 2" xfId="39476" xr:uid="{3E036BF2-124D-487A-A2FE-6E35EF72F6BB}"/>
    <cellStyle name="Normal 5 2 5 8 3" xfId="14135" xr:uid="{8A812FE8-1811-4C63-8409-8A8E3A4215AC}"/>
    <cellStyle name="Normal 5 2 5 8 4" xfId="31029" xr:uid="{A5D3B9F5-741E-49E9-AD3F-0B588B8E87B0}"/>
    <cellStyle name="Normal 5 2 5 9" xfId="8847" xr:uid="{504334B5-BB84-4906-81A5-68746D711AC3}"/>
    <cellStyle name="Normal 5 2 5 9 2" xfId="18365" xr:uid="{F49A55C8-E185-4568-A0CF-E8C21E9AC8A6}"/>
    <cellStyle name="Normal 5 2 5 9 3" xfId="35259" xr:uid="{86BBA45B-4D78-4674-B925-3F71F88DC6E4}"/>
    <cellStyle name="Normal 5 2 6" xfId="438" xr:uid="{00000000-0005-0000-0000-00004A190000}"/>
    <cellStyle name="Normal 5 2 6 10" xfId="26814" xr:uid="{BAF36D81-1E6D-468D-ABD2-A0A307D77475}"/>
    <cellStyle name="Normal 5 2 6 2" xfId="912" xr:uid="{00000000-0005-0000-0000-00004B190000}"/>
    <cellStyle name="Normal 5 2 6 2 2" xfId="3147" xr:uid="{00000000-0005-0000-0000-00004C190000}"/>
    <cellStyle name="Normal 5 2 6 2 2 2" xfId="7369" xr:uid="{00000000-0005-0000-0000-00004D190000}"/>
    <cellStyle name="Normal 5 2 6 2 2 2 2" xfId="25142" xr:uid="{F5B3B1F7-33AE-4160-9389-A35884E5C847}"/>
    <cellStyle name="Normal 5 2 6 2 2 2 2 2" xfId="42036" xr:uid="{95D47C30-A143-4FFC-90C3-7156330A14EE}"/>
    <cellStyle name="Normal 5 2 6 2 2 2 3" xfId="16695" xr:uid="{03DB5F05-0EC7-4FAB-805D-6CBFF4B17B5D}"/>
    <cellStyle name="Normal 5 2 6 2 2 2 4" xfId="33589" xr:uid="{20F4E559-E169-438A-B0A5-182047CF4C5F}"/>
    <cellStyle name="Normal 5 2 6 2 2 3" xfId="20925" xr:uid="{181B308F-D851-4B8E-BE1A-52B16954416D}"/>
    <cellStyle name="Normal 5 2 6 2 2 3 2" xfId="37819" xr:uid="{65ECB428-65C8-4361-AAF3-EEC2E93E0744}"/>
    <cellStyle name="Normal 5 2 6 2 2 4" xfId="12478" xr:uid="{8363351D-4C40-4ADD-9D11-E1C0ECD2B452}"/>
    <cellStyle name="Normal 5 2 6 2 2 5" xfId="29372" xr:uid="{5865CC38-6B5B-4280-920D-713FFF464C9E}"/>
    <cellStyle name="Normal 5 2 6 2 3" xfId="5224" xr:uid="{00000000-0005-0000-0000-00004E190000}"/>
    <cellStyle name="Normal 5 2 6 2 3 2" xfId="22997" xr:uid="{1C31ECA1-23D6-4D08-8C93-86187401C79E}"/>
    <cellStyle name="Normal 5 2 6 2 3 2 2" xfId="39891" xr:uid="{037D4F70-549A-4904-A0A1-803D5F714DAE}"/>
    <cellStyle name="Normal 5 2 6 2 3 3" xfId="14550" xr:uid="{E217D8CC-F579-4DE3-90DF-243938C9082E}"/>
    <cellStyle name="Normal 5 2 6 2 3 4" xfId="31444" xr:uid="{D3150F9F-B9D9-40CB-8103-85F6C4CE19DE}"/>
    <cellStyle name="Normal 5 2 6 2 4" xfId="9388" xr:uid="{38BE55A5-085B-499D-8766-DF826B77D03C}"/>
    <cellStyle name="Normal 5 2 6 2 4 2" xfId="18780" xr:uid="{87635BBD-DA5E-4D43-ACA0-6525E4811928}"/>
    <cellStyle name="Normal 5 2 6 2 4 3" xfId="35674" xr:uid="{D0314100-71F3-421C-9BE6-D10D8E28F692}"/>
    <cellStyle name="Normal 5 2 6 2 5" xfId="10333" xr:uid="{68CB847D-FD16-4EBD-A752-34EA2EDBFEB4}"/>
    <cellStyle name="Normal 5 2 6 2 6" xfId="27227" xr:uid="{BD179894-399F-4419-A2DF-985711FF5260}"/>
    <cellStyle name="Normal 5 2 6 3" xfId="1330" xr:uid="{00000000-0005-0000-0000-00004F190000}"/>
    <cellStyle name="Normal 5 2 6 3 2" xfId="3560" xr:uid="{00000000-0005-0000-0000-000050190000}"/>
    <cellStyle name="Normal 5 2 6 3 2 2" xfId="7782" xr:uid="{00000000-0005-0000-0000-000051190000}"/>
    <cellStyle name="Normal 5 2 6 3 2 2 2" xfId="25555" xr:uid="{349F1DEF-F939-4C45-AC69-CF7E2F7AC799}"/>
    <cellStyle name="Normal 5 2 6 3 2 2 2 2" xfId="42449" xr:uid="{4A096AF4-9FD1-4CFD-969E-C53D9C25DB60}"/>
    <cellStyle name="Normal 5 2 6 3 2 2 3" xfId="17108" xr:uid="{52B816B0-1828-44E0-8F7D-ABCB9BF8655F}"/>
    <cellStyle name="Normal 5 2 6 3 2 2 4" xfId="34002" xr:uid="{E2AA8324-3282-4743-9019-EDDDE7953FE9}"/>
    <cellStyle name="Normal 5 2 6 3 2 3" xfId="21338" xr:uid="{507FC03E-59E9-4831-A2AF-85E0CC9B4E59}"/>
    <cellStyle name="Normal 5 2 6 3 2 3 2" xfId="38232" xr:uid="{C65A06EA-DE14-4A74-A754-2CBAB6E75759}"/>
    <cellStyle name="Normal 5 2 6 3 2 4" xfId="12891" xr:uid="{AE170161-F549-4F9C-9CEA-F2335DB7ADBF}"/>
    <cellStyle name="Normal 5 2 6 3 2 5" xfId="29785" xr:uid="{062E2EBF-8278-4A90-A31B-C96DEE9AA060}"/>
    <cellStyle name="Normal 5 2 6 3 3" xfId="5637" xr:uid="{00000000-0005-0000-0000-000052190000}"/>
    <cellStyle name="Normal 5 2 6 3 3 2" xfId="23410" xr:uid="{754890B2-A352-4201-8E96-9D64D6E84CB3}"/>
    <cellStyle name="Normal 5 2 6 3 3 2 2" xfId="40304" xr:uid="{6C3D53D4-0D42-4B96-AB16-B72AAA18978A}"/>
    <cellStyle name="Normal 5 2 6 3 3 3" xfId="14963" xr:uid="{5D7A61D3-B0E3-454F-AE4C-1F029E27C1C8}"/>
    <cellStyle name="Normal 5 2 6 3 3 4" xfId="31857" xr:uid="{393BD147-3D38-4830-8641-A17E212C4668}"/>
    <cellStyle name="Normal 5 2 6 3 4" xfId="19193" xr:uid="{E54F62E1-81FB-4EB8-9041-E4894F948F7D}"/>
    <cellStyle name="Normal 5 2 6 3 4 2" xfId="36087" xr:uid="{FF1A5829-C5D1-4E19-810D-3F788909D733}"/>
    <cellStyle name="Normal 5 2 6 3 5" xfId="10746" xr:uid="{A60614EF-F8C0-4EC4-BACF-D43D9E22FCEA}"/>
    <cellStyle name="Normal 5 2 6 3 6" xfId="27640" xr:uid="{0F51884E-1218-4743-9482-077A5CC0AD9B}"/>
    <cellStyle name="Normal 5 2 6 4" xfId="1743" xr:uid="{00000000-0005-0000-0000-000053190000}"/>
    <cellStyle name="Normal 5 2 6 4 2" xfId="3973" xr:uid="{00000000-0005-0000-0000-000054190000}"/>
    <cellStyle name="Normal 5 2 6 4 2 2" xfId="8195" xr:uid="{00000000-0005-0000-0000-000055190000}"/>
    <cellStyle name="Normal 5 2 6 4 2 2 2" xfId="25968" xr:uid="{08123D38-48D8-4C29-84D6-26069D5F6CBE}"/>
    <cellStyle name="Normal 5 2 6 4 2 2 2 2" xfId="42862" xr:uid="{EA5E77C0-38E9-4FAB-B888-0ED65CB9F4A2}"/>
    <cellStyle name="Normal 5 2 6 4 2 2 3" xfId="17521" xr:uid="{48F56F32-B40D-4824-9D30-F381DB9E76E3}"/>
    <cellStyle name="Normal 5 2 6 4 2 2 4" xfId="34415" xr:uid="{054A4B07-1519-47B6-AC52-87C1160864D5}"/>
    <cellStyle name="Normal 5 2 6 4 2 3" xfId="21751" xr:uid="{A11ABFC4-D949-45A0-BD94-116BF475C9EC}"/>
    <cellStyle name="Normal 5 2 6 4 2 3 2" xfId="38645" xr:uid="{B9DA1372-4DDB-46FB-A80D-FF9411F24F21}"/>
    <cellStyle name="Normal 5 2 6 4 2 4" xfId="13304" xr:uid="{C8AA5A06-2342-41E2-832F-B1C2696477EC}"/>
    <cellStyle name="Normal 5 2 6 4 2 5" xfId="30198" xr:uid="{0B7E57E6-C3FE-4049-98E6-BF1BAB23D5DD}"/>
    <cellStyle name="Normal 5 2 6 4 3" xfId="6050" xr:uid="{00000000-0005-0000-0000-000056190000}"/>
    <cellStyle name="Normal 5 2 6 4 3 2" xfId="23823" xr:uid="{299117B8-568C-490E-A1CD-0A37B473D91D}"/>
    <cellStyle name="Normal 5 2 6 4 3 2 2" xfId="40717" xr:uid="{D7F8DF66-AD10-4C6D-B249-52D2DB04325F}"/>
    <cellStyle name="Normal 5 2 6 4 3 3" xfId="15376" xr:uid="{0AFCB8F6-F508-47D6-87BA-E3E2CDAA20C7}"/>
    <cellStyle name="Normal 5 2 6 4 3 4" xfId="32270" xr:uid="{4C45D099-357A-4EE5-99E4-36228FA2A363}"/>
    <cellStyle name="Normal 5 2 6 4 4" xfId="19606" xr:uid="{FCBDDD7C-365A-4D08-BF35-DF43B6961EFF}"/>
    <cellStyle name="Normal 5 2 6 4 4 2" xfId="36500" xr:uid="{43780F1B-B494-482C-A149-AE566AB9F3F9}"/>
    <cellStyle name="Normal 5 2 6 4 5" xfId="11159" xr:uid="{CFDD6427-7322-43C6-9FF1-657B55E5DD5F}"/>
    <cellStyle name="Normal 5 2 6 4 6" xfId="28053" xr:uid="{C756990B-44F9-4DDB-8077-AD180CB44422}"/>
    <cellStyle name="Normal 5 2 6 5" xfId="2157" xr:uid="{00000000-0005-0000-0000-000057190000}"/>
    <cellStyle name="Normal 5 2 6 5 2" xfId="4386" xr:uid="{00000000-0005-0000-0000-000058190000}"/>
    <cellStyle name="Normal 5 2 6 5 2 2" xfId="8608" xr:uid="{00000000-0005-0000-0000-000059190000}"/>
    <cellStyle name="Normal 5 2 6 5 2 2 2" xfId="26381" xr:uid="{B70C5CEC-6EEE-42E9-B8BB-5A0A2CAC8306}"/>
    <cellStyle name="Normal 5 2 6 5 2 2 2 2" xfId="43275" xr:uid="{209F16DC-1D87-4D71-A377-3D6F2CB25C73}"/>
    <cellStyle name="Normal 5 2 6 5 2 2 3" xfId="17934" xr:uid="{2D74CE65-A3E6-4370-BEF3-68C0995E87C5}"/>
    <cellStyle name="Normal 5 2 6 5 2 2 4" xfId="34828" xr:uid="{EF488E70-9F15-4343-AFB2-2590BD2017BE}"/>
    <cellStyle name="Normal 5 2 6 5 2 3" xfId="22164" xr:uid="{459B154A-0D64-4A9F-B58F-51416119A92F}"/>
    <cellStyle name="Normal 5 2 6 5 2 3 2" xfId="39058" xr:uid="{97CF6E92-D358-4105-8924-90FB047B0E29}"/>
    <cellStyle name="Normal 5 2 6 5 2 4" xfId="13717" xr:uid="{A49EECBD-FBD4-45B1-A40E-498F94B3F81E}"/>
    <cellStyle name="Normal 5 2 6 5 2 5" xfId="30611" xr:uid="{AFD4F1A7-65F7-4D14-ABC4-A176F541CF1E}"/>
    <cellStyle name="Normal 5 2 6 5 3" xfId="6463" xr:uid="{00000000-0005-0000-0000-00005A190000}"/>
    <cellStyle name="Normal 5 2 6 5 3 2" xfId="24236" xr:uid="{31C2253C-8487-46FF-81FD-8F31D3E72E85}"/>
    <cellStyle name="Normal 5 2 6 5 3 2 2" xfId="41130" xr:uid="{89FEE56D-E37C-4BCF-8AD7-DFA3AA3CA09E}"/>
    <cellStyle name="Normal 5 2 6 5 3 3" xfId="15789" xr:uid="{8CEE28F9-EE87-42FB-8C11-361C6B3C28EF}"/>
    <cellStyle name="Normal 5 2 6 5 3 4" xfId="32683" xr:uid="{B3CC5358-09F0-48A9-95B3-AA6216056BB0}"/>
    <cellStyle name="Normal 5 2 6 5 4" xfId="20019" xr:uid="{CE0ECC68-724E-4B7D-AA96-725E7A65E785}"/>
    <cellStyle name="Normal 5 2 6 5 4 2" xfId="36913" xr:uid="{8A680E1F-16C3-465C-81C0-745C73EE403C}"/>
    <cellStyle name="Normal 5 2 6 5 5" xfId="11572" xr:uid="{FDE302DE-0ADE-486F-A5C6-FCD1129CECB7}"/>
    <cellStyle name="Normal 5 2 6 5 6" xfId="28466" xr:uid="{B66B0DA3-41A0-4287-AF28-BDBE93C8F78B}"/>
    <cellStyle name="Normal 5 2 6 6" xfId="2593" xr:uid="{00000000-0005-0000-0000-00005B190000}"/>
    <cellStyle name="Normal 5 2 6 6 2" xfId="6876" xr:uid="{00000000-0005-0000-0000-00005C190000}"/>
    <cellStyle name="Normal 5 2 6 6 2 2" xfId="24649" xr:uid="{FACBDB2E-78F6-4032-9205-13D8148F369F}"/>
    <cellStyle name="Normal 5 2 6 6 2 2 2" xfId="41543" xr:uid="{375E88F4-54C0-47AA-86C7-22A659F94998}"/>
    <cellStyle name="Normal 5 2 6 6 2 3" xfId="16202" xr:uid="{DAC0D9C8-0828-4DF6-A1CB-F08647F0AF7B}"/>
    <cellStyle name="Normal 5 2 6 6 2 4" xfId="33096" xr:uid="{E1423C05-FE80-4F35-B19D-2CDF01F961AE}"/>
    <cellStyle name="Normal 5 2 6 6 3" xfId="20432" xr:uid="{7FEF67FA-195C-4A7D-A1DE-398F9A811D45}"/>
    <cellStyle name="Normal 5 2 6 6 3 2" xfId="37326" xr:uid="{F6D82EE1-34C1-4F6A-807E-8D2F511D2175}"/>
    <cellStyle name="Normal 5 2 6 6 4" xfId="11985" xr:uid="{CD0B0E3A-A362-449A-AE4F-64D812FAE524}"/>
    <cellStyle name="Normal 5 2 6 6 5" xfId="28879" xr:uid="{84CD0E0C-1510-4B78-8A3B-7C4ABA3477A9}"/>
    <cellStyle name="Normal 5 2 6 7" xfId="4811" xr:uid="{00000000-0005-0000-0000-00005D190000}"/>
    <cellStyle name="Normal 5 2 6 7 2" xfId="22584" xr:uid="{90D1D851-5C83-43C6-80D7-5F8B99158714}"/>
    <cellStyle name="Normal 5 2 6 7 2 2" xfId="39478" xr:uid="{6617F474-4598-4B85-9D93-39A7755513AB}"/>
    <cellStyle name="Normal 5 2 6 7 3" xfId="14137" xr:uid="{0E88C44A-AC5C-44FF-9BDC-B9863FCE8663}"/>
    <cellStyle name="Normal 5 2 6 7 4" xfId="31031" xr:uid="{27871F04-4C5E-4F52-8BF5-300A6571E897}"/>
    <cellStyle name="Normal 5 2 6 8" xfId="8963" xr:uid="{01BDB756-0B70-4C0D-AC32-9959EE0C8F11}"/>
    <cellStyle name="Normal 5 2 6 8 2" xfId="18367" xr:uid="{DB7C3DB2-3118-41AE-9AD4-4C294C4B2E71}"/>
    <cellStyle name="Normal 5 2 6 8 3" xfId="35261" xr:uid="{F7FF130F-9BC0-42AB-A379-035BDE048BBF}"/>
    <cellStyle name="Normal 5 2 6 9" xfId="9920" xr:uid="{35BB3A57-0F04-44D7-A14A-FEE501976D79}"/>
    <cellStyle name="Normal 5 2 7" xfId="881" xr:uid="{00000000-0005-0000-0000-00005E190000}"/>
    <cellStyle name="Normal 5 2 7 2" xfId="3116" xr:uid="{00000000-0005-0000-0000-00005F190000}"/>
    <cellStyle name="Normal 5 2 7 2 2" xfId="7338" xr:uid="{00000000-0005-0000-0000-000060190000}"/>
    <cellStyle name="Normal 5 2 7 2 2 2" xfId="25111" xr:uid="{F75B643A-FA54-43DC-B5DE-4C93A3742783}"/>
    <cellStyle name="Normal 5 2 7 2 2 2 2" xfId="42005" xr:uid="{3F17A652-BDCD-46EB-B7EF-BD1194E2A2DE}"/>
    <cellStyle name="Normal 5 2 7 2 2 3" xfId="16664" xr:uid="{A9E6D73B-96D9-4801-8305-EB41CEFE6532}"/>
    <cellStyle name="Normal 5 2 7 2 2 4" xfId="33558" xr:uid="{147A130D-976D-4E41-91A5-25DE10C5E6E8}"/>
    <cellStyle name="Normal 5 2 7 2 3" xfId="20894" xr:uid="{FDBB2749-D7C5-429D-9F31-6C94D0907BCE}"/>
    <cellStyle name="Normal 5 2 7 2 3 2" xfId="37788" xr:uid="{8931C639-7E56-4EBF-A636-9241551A73A6}"/>
    <cellStyle name="Normal 5 2 7 2 4" xfId="12447" xr:uid="{83C614DD-FE61-427C-94E7-3906BF17DDA6}"/>
    <cellStyle name="Normal 5 2 7 2 5" xfId="29341" xr:uid="{DC6443D0-FD2A-44DF-8D0F-A799AB6CB7BE}"/>
    <cellStyle name="Normal 5 2 7 3" xfId="5193" xr:uid="{00000000-0005-0000-0000-000061190000}"/>
    <cellStyle name="Normal 5 2 7 3 2" xfId="22966" xr:uid="{82836019-F7FE-472C-9C27-DDA59E9D4662}"/>
    <cellStyle name="Normal 5 2 7 3 2 2" xfId="39860" xr:uid="{10F6FB77-294E-426C-9A92-A0009A3BC96D}"/>
    <cellStyle name="Normal 5 2 7 3 3" xfId="14519" xr:uid="{9FEED343-D648-44C5-B981-C6712CEC4198}"/>
    <cellStyle name="Normal 5 2 7 3 4" xfId="31413" xr:uid="{34A770D9-CC63-4669-82D1-3B1915EFC0D9}"/>
    <cellStyle name="Normal 5 2 7 4" xfId="9166" xr:uid="{903BB692-5043-4803-B109-F7C532EB2A09}"/>
    <cellStyle name="Normal 5 2 7 4 2" xfId="18749" xr:uid="{0CEBC10A-1177-400B-8E51-7A42CFA0C4FF}"/>
    <cellStyle name="Normal 5 2 7 4 3" xfId="35643" xr:uid="{7E12DEE1-3DFF-485B-8A18-3F9360A5D252}"/>
    <cellStyle name="Normal 5 2 7 5" xfId="10302" xr:uid="{D9277664-A1EA-4E37-91CF-72D517F533EE}"/>
    <cellStyle name="Normal 5 2 7 6" xfId="27196" xr:uid="{B74EDDCA-3625-4C5D-A4CB-C094F5F08EFF}"/>
    <cellStyle name="Normal 5 2 8" xfId="1299" xr:uid="{00000000-0005-0000-0000-000062190000}"/>
    <cellStyle name="Normal 5 2 8 2" xfId="3529" xr:uid="{00000000-0005-0000-0000-000063190000}"/>
    <cellStyle name="Normal 5 2 8 2 2" xfId="7751" xr:uid="{00000000-0005-0000-0000-000064190000}"/>
    <cellStyle name="Normal 5 2 8 2 2 2" xfId="25524" xr:uid="{8CD75AF8-7C90-48AE-A7DD-F011296B3BC6}"/>
    <cellStyle name="Normal 5 2 8 2 2 2 2" xfId="42418" xr:uid="{04983B96-0F6D-4082-BE25-70994CF46A99}"/>
    <cellStyle name="Normal 5 2 8 2 2 3" xfId="17077" xr:uid="{3B79AAC7-FBCA-40E9-B7D2-7C470668E5E2}"/>
    <cellStyle name="Normal 5 2 8 2 2 4" xfId="33971" xr:uid="{CA7CC829-A458-4C54-803D-76B933B173B0}"/>
    <cellStyle name="Normal 5 2 8 2 3" xfId="21307" xr:uid="{6603D589-3DBD-46DB-BE39-D9B0F561FB80}"/>
    <cellStyle name="Normal 5 2 8 2 3 2" xfId="38201" xr:uid="{0EF5FE7F-8F0D-4408-BBAB-2F37F5BECD88}"/>
    <cellStyle name="Normal 5 2 8 2 4" xfId="12860" xr:uid="{4760A3EB-5CA9-4810-A574-3A80C9B9C27C}"/>
    <cellStyle name="Normal 5 2 8 2 5" xfId="29754" xr:uid="{898BB94F-66B2-46D0-9A9B-89D12DF42A2E}"/>
    <cellStyle name="Normal 5 2 8 3" xfId="5606" xr:uid="{00000000-0005-0000-0000-000065190000}"/>
    <cellStyle name="Normal 5 2 8 3 2" xfId="23379" xr:uid="{1E9A5A5E-BA8D-4760-82D2-B6723FC8F629}"/>
    <cellStyle name="Normal 5 2 8 3 2 2" xfId="40273" xr:uid="{31235657-F15A-44FA-B325-591653FF8ED9}"/>
    <cellStyle name="Normal 5 2 8 3 3" xfId="14932" xr:uid="{7037F2DD-B00C-403E-97E3-141DB0159C76}"/>
    <cellStyle name="Normal 5 2 8 3 4" xfId="31826" xr:uid="{D8FDE33D-8CD4-4A96-B176-496A0CFCF610}"/>
    <cellStyle name="Normal 5 2 8 4" xfId="19162" xr:uid="{E3BCA22C-A8CE-436E-B793-836DB5720F21}"/>
    <cellStyle name="Normal 5 2 8 4 2" xfId="36056" xr:uid="{0BFE6B4C-B578-45F1-8F1D-6C20633774D2}"/>
    <cellStyle name="Normal 5 2 8 5" xfId="10715" xr:uid="{35193F8A-784B-4CF4-9D2C-19AE1D8C09CD}"/>
    <cellStyle name="Normal 5 2 8 6" xfId="27609" xr:uid="{18DB84DD-F6AB-4DEE-AF9D-6296B9131F4B}"/>
    <cellStyle name="Normal 5 2 9" xfId="1712" xr:uid="{00000000-0005-0000-0000-000066190000}"/>
    <cellStyle name="Normal 5 2 9 2" xfId="3942" xr:uid="{00000000-0005-0000-0000-000067190000}"/>
    <cellStyle name="Normal 5 2 9 2 2" xfId="8164" xr:uid="{00000000-0005-0000-0000-000068190000}"/>
    <cellStyle name="Normal 5 2 9 2 2 2" xfId="25937" xr:uid="{9447E2AC-ABCE-4D41-A8A9-848706D78C2B}"/>
    <cellStyle name="Normal 5 2 9 2 2 2 2" xfId="42831" xr:uid="{0F1D80DF-6E55-49EC-A0F9-D97EC662DB98}"/>
    <cellStyle name="Normal 5 2 9 2 2 3" xfId="17490" xr:uid="{EEC134AA-C924-4764-8DFA-EE0A5F48380B}"/>
    <cellStyle name="Normal 5 2 9 2 2 4" xfId="34384" xr:uid="{4F71EF8C-0509-4AA8-B0E6-47793547058A}"/>
    <cellStyle name="Normal 5 2 9 2 3" xfId="21720" xr:uid="{BB0FB82A-A77E-4248-B6F6-D99D0456E868}"/>
    <cellStyle name="Normal 5 2 9 2 3 2" xfId="38614" xr:uid="{37661176-5B49-4DD8-B699-F0D101F42C1B}"/>
    <cellStyle name="Normal 5 2 9 2 4" xfId="13273" xr:uid="{A1A44C4A-EE41-4D22-84E0-C1829652BE1B}"/>
    <cellStyle name="Normal 5 2 9 2 5" xfId="30167" xr:uid="{9B590B8C-BCC6-4282-9057-79D8C8E39E09}"/>
    <cellStyle name="Normal 5 2 9 3" xfId="6019" xr:uid="{00000000-0005-0000-0000-000069190000}"/>
    <cellStyle name="Normal 5 2 9 3 2" xfId="23792" xr:uid="{81ACB7D6-5096-483D-8ABA-6F9BC9F76275}"/>
    <cellStyle name="Normal 5 2 9 3 2 2" xfId="40686" xr:uid="{67023B11-2314-404A-B886-4E0D2FB5D201}"/>
    <cellStyle name="Normal 5 2 9 3 3" xfId="15345" xr:uid="{9B1F6C79-DD40-41DE-9E9D-82FAC63206AC}"/>
    <cellStyle name="Normal 5 2 9 3 4" xfId="32239" xr:uid="{7639D5C1-4F52-4CD7-BA32-CCAC0246396D}"/>
    <cellStyle name="Normal 5 2 9 4" xfId="19575" xr:uid="{028F309A-940D-4492-A3DE-D5873CD227F2}"/>
    <cellStyle name="Normal 5 2 9 4 2" xfId="36469" xr:uid="{A00BE6A4-DC62-4647-A425-27332EAB1BBE}"/>
    <cellStyle name="Normal 5 2 9 5" xfId="11128" xr:uid="{49FDA556-4B2D-4A90-AE99-910A17576D12}"/>
    <cellStyle name="Normal 5 2 9 6" xfId="28022" xr:uid="{8600DE50-5ACA-4ED7-97AB-BE0611DF09CC}"/>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2 2 2" xfId="26382" xr:uid="{475E3816-0E73-4736-94C4-240C08DC6C7B}"/>
    <cellStyle name="Normal 5 3 10 2 2 2 2" xfId="43276" xr:uid="{183B434B-3D06-4736-AF21-1DA0D0025696}"/>
    <cellStyle name="Normal 5 3 10 2 2 3" xfId="17935" xr:uid="{677ECE8A-DA7B-4B3D-B27F-5CC51E683815}"/>
    <cellStyle name="Normal 5 3 10 2 2 4" xfId="34829" xr:uid="{E42D4541-C770-4DEA-8A62-13C122178ED2}"/>
    <cellStyle name="Normal 5 3 10 2 3" xfId="22165" xr:uid="{154A5340-51E7-4DD9-AC55-D5359C8A53AF}"/>
    <cellStyle name="Normal 5 3 10 2 3 2" xfId="39059" xr:uid="{9A0265DF-968C-44BB-9EFB-9EAA7E8CFA6F}"/>
    <cellStyle name="Normal 5 3 10 2 4" xfId="13718" xr:uid="{CAD623DD-A9B7-40A4-95FC-2AAEADA02422}"/>
    <cellStyle name="Normal 5 3 10 2 5" xfId="30612" xr:uid="{42FB5BBA-3DE9-4E9F-B9EA-7CADAD167DB3}"/>
    <cellStyle name="Normal 5 3 10 3" xfId="6464" xr:uid="{00000000-0005-0000-0000-00006E190000}"/>
    <cellStyle name="Normal 5 3 10 3 2" xfId="24237" xr:uid="{2BDAEDC1-A663-4E29-B327-4A7776CCF4F0}"/>
    <cellStyle name="Normal 5 3 10 3 2 2" xfId="41131" xr:uid="{EA40E43A-FCDA-45DD-8417-54467E1A838F}"/>
    <cellStyle name="Normal 5 3 10 3 3" xfId="15790" xr:uid="{FD9A34D7-3DD4-4EB9-ADBC-8FE22E3844CF}"/>
    <cellStyle name="Normal 5 3 10 3 4" xfId="32684" xr:uid="{A60CAB8F-D5AE-4B09-AF65-2CF3348A953A}"/>
    <cellStyle name="Normal 5 3 10 4" xfId="20020" xr:uid="{19FEC144-7F0F-4991-B6D9-D64F92C72F17}"/>
    <cellStyle name="Normal 5 3 10 4 2" xfId="36914" xr:uid="{A04520E1-5585-421C-9D00-9723DED0BA51}"/>
    <cellStyle name="Normal 5 3 10 5" xfId="11573" xr:uid="{F706DAAA-15CC-4CD6-880A-0A9C789D1F7E}"/>
    <cellStyle name="Normal 5 3 10 6" xfId="28467" xr:uid="{EFEEA1FC-20C2-46E7-9B6E-4037BBCC682E}"/>
    <cellStyle name="Normal 5 3 11" xfId="2594" xr:uid="{00000000-0005-0000-0000-00006F190000}"/>
    <cellStyle name="Normal 5 3 11 2" xfId="6877" xr:uid="{00000000-0005-0000-0000-000070190000}"/>
    <cellStyle name="Normal 5 3 11 2 2" xfId="24650" xr:uid="{DF59E140-F5B6-4388-A930-D3D04925CB7B}"/>
    <cellStyle name="Normal 5 3 11 2 2 2" xfId="41544" xr:uid="{3721D062-825D-487B-B24A-DC8700233AB4}"/>
    <cellStyle name="Normal 5 3 11 2 3" xfId="16203" xr:uid="{ED73C6DF-C1C8-4361-B636-4A052744DC69}"/>
    <cellStyle name="Normal 5 3 11 2 4" xfId="33097" xr:uid="{18E1B37C-EEE1-4C88-94AB-B6E4F7112412}"/>
    <cellStyle name="Normal 5 3 11 3" xfId="20433" xr:uid="{EFD312A5-85E4-49A4-971C-3D98DE4426E6}"/>
    <cellStyle name="Normal 5 3 11 3 2" xfId="37327" xr:uid="{1CD35966-0B9A-4FDA-B644-E3BA39E89A78}"/>
    <cellStyle name="Normal 5 3 11 4" xfId="11986" xr:uid="{52A7202B-7F0F-465B-8C67-FD421ED06FC8}"/>
    <cellStyle name="Normal 5 3 11 5" xfId="28880" xr:uid="{CB9F4E98-D604-48F1-8120-AFFBFFE38AEF}"/>
    <cellStyle name="Normal 5 3 12" xfId="4812" xr:uid="{00000000-0005-0000-0000-000071190000}"/>
    <cellStyle name="Normal 5 3 12 2" xfId="22585" xr:uid="{59906FB5-A201-46B6-B961-CCFECB2E3F10}"/>
    <cellStyle name="Normal 5 3 12 2 2" xfId="39479" xr:uid="{4031C95E-9345-4EB3-B787-3C3B768187B8}"/>
    <cellStyle name="Normal 5 3 12 3" xfId="14138" xr:uid="{179FA9B0-16A0-48BF-8FE7-B25B33972FF6}"/>
    <cellStyle name="Normal 5 3 12 4" xfId="31032" xr:uid="{69E1ADD5-0E73-4E84-B249-05710C6C7A6E}"/>
    <cellStyle name="Normal 5 3 13" xfId="8750" xr:uid="{36957AEF-D081-4A23-AEE3-073A5901863C}"/>
    <cellStyle name="Normal 5 3 13 2" xfId="18368" xr:uid="{26905644-2DCE-4F97-A6EC-69BE6DD5CB24}"/>
    <cellStyle name="Normal 5 3 13 3" xfId="35262" xr:uid="{12FB8A8F-4ACC-4C81-A213-ED521815BF7F}"/>
    <cellStyle name="Normal 5 3 14" xfId="9921" xr:uid="{D88BD2F7-908E-4530-ACD2-8E620240E78F}"/>
    <cellStyle name="Normal 5 3 15" xfId="26815" xr:uid="{D41C1F05-DB4F-4720-80D6-C19D83FA5A1E}"/>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0 2" xfId="22586" xr:uid="{E83358FD-4AD8-4B10-AB39-3239FC02FB07}"/>
    <cellStyle name="Normal 5 3 3 10 2 2" xfId="39480" xr:uid="{3073F266-B53E-41CD-81B2-864A6EF97D8C}"/>
    <cellStyle name="Normal 5 3 3 10 3" xfId="14139" xr:uid="{A7B7E1D2-A0D1-4DC9-8F16-230595EEDA15}"/>
    <cellStyle name="Normal 5 3 3 10 4" xfId="31033" xr:uid="{E622D253-E771-4C9D-AD11-2CD4F6E0099B}"/>
    <cellStyle name="Normal 5 3 3 11" xfId="8782" xr:uid="{4219AD28-469A-4693-BD0B-B0536AC433E5}"/>
    <cellStyle name="Normal 5 3 3 11 2" xfId="18369" xr:uid="{19FCC650-FCE5-4C0C-B2C6-927A3D4613E7}"/>
    <cellStyle name="Normal 5 3 3 11 3" xfId="35263" xr:uid="{EC4E6CDC-4E13-4C43-9A82-A55609626085}"/>
    <cellStyle name="Normal 5 3 3 12" xfId="9922" xr:uid="{41CDCA75-706A-4104-827A-8564FE3E6231}"/>
    <cellStyle name="Normal 5 3 3 13" xfId="26816" xr:uid="{295E491E-D8C9-4FFD-BC33-E01B37B42FFE}"/>
    <cellStyle name="Normal 5 3 3 2" xfId="442" xr:uid="{00000000-0005-0000-0000-000076190000}"/>
    <cellStyle name="Normal 5 3 3 2 10" xfId="8832" xr:uid="{03323DDB-E4E1-4078-8BBE-EA3DD4471E1B}"/>
    <cellStyle name="Normal 5 3 3 2 10 2" xfId="18370" xr:uid="{F7E461D7-0265-4E98-90E5-4C8871AA2763}"/>
    <cellStyle name="Normal 5 3 3 2 10 3" xfId="35264" xr:uid="{B27AB935-B41F-4DD0-A4A1-452DD0816217}"/>
    <cellStyle name="Normal 5 3 3 2 11" xfId="9923" xr:uid="{EAC5666C-D508-418F-B420-77843854C29E}"/>
    <cellStyle name="Normal 5 3 3 2 12" xfId="26817" xr:uid="{56B8CA5B-A498-496E-9FBC-A5C757211A75}"/>
    <cellStyle name="Normal 5 3 3 2 2" xfId="443" xr:uid="{00000000-0005-0000-0000-000077190000}"/>
    <cellStyle name="Normal 5 3 3 2 2 10" xfId="9924" xr:uid="{D0A37A72-E456-433A-B26B-772FA07B2655}"/>
    <cellStyle name="Normal 5 3 3 2 2 11" xfId="26818" xr:uid="{70D03B42-1115-4330-81CC-21AB81888070}"/>
    <cellStyle name="Normal 5 3 3 2 2 2" xfId="444" xr:uid="{00000000-0005-0000-0000-000078190000}"/>
    <cellStyle name="Normal 5 3 3 2 2 2 10" xfId="26819" xr:uid="{83FBA01B-56FD-4D98-8ED2-E0B7ED5840E5}"/>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2 2 2" xfId="25147" xr:uid="{09B26299-7E71-4F13-9F42-AEADE529AB38}"/>
    <cellStyle name="Normal 5 3 3 2 2 2 2 2 2 2 2" xfId="42041" xr:uid="{B007E9E9-79C2-4C06-90A7-3D0A5D8D55CE}"/>
    <cellStyle name="Normal 5 3 3 2 2 2 2 2 2 3" xfId="16700" xr:uid="{ED44BCAA-1C07-44CF-A345-030E3ADC967B}"/>
    <cellStyle name="Normal 5 3 3 2 2 2 2 2 2 4" xfId="33594" xr:uid="{F7769FFA-BCD2-417F-B59A-F57F899FA77E}"/>
    <cellStyle name="Normal 5 3 3 2 2 2 2 2 3" xfId="20930" xr:uid="{B061A56D-11F0-4E89-8F0F-F7722004DE96}"/>
    <cellStyle name="Normal 5 3 3 2 2 2 2 2 3 2" xfId="37824" xr:uid="{FCFDEDF9-0F3B-47D4-83A7-0DD47AB001DE}"/>
    <cellStyle name="Normal 5 3 3 2 2 2 2 2 4" xfId="12483" xr:uid="{5C178C20-C56C-4AD2-ADDC-9067F3107F3B}"/>
    <cellStyle name="Normal 5 3 3 2 2 2 2 2 5" xfId="29377" xr:uid="{A3B9DDDF-023E-4904-B719-82695FDDB5D4}"/>
    <cellStyle name="Normal 5 3 3 2 2 2 2 3" xfId="5229" xr:uid="{00000000-0005-0000-0000-00007C190000}"/>
    <cellStyle name="Normal 5 3 3 2 2 2 2 3 2" xfId="23002" xr:uid="{A4658954-8D3D-48FC-9E11-8CDA9361BB46}"/>
    <cellStyle name="Normal 5 3 3 2 2 2 2 3 2 2" xfId="39896" xr:uid="{F838093F-0E28-4B88-B1F1-54F409B64854}"/>
    <cellStyle name="Normal 5 3 3 2 2 2 2 3 3" xfId="14555" xr:uid="{2917CF07-0B69-4E09-8FB3-CFC2428D9D44}"/>
    <cellStyle name="Normal 5 3 3 2 2 2 2 3 4" xfId="31449" xr:uid="{41994FAB-C5E7-48EF-BC82-8BBCDB5642EE}"/>
    <cellStyle name="Normal 5 3 3 2 2 2 2 4" xfId="9567" xr:uid="{C2519486-6BC5-47D1-879F-EC6040BC9E9D}"/>
    <cellStyle name="Normal 5 3 3 2 2 2 2 4 2" xfId="18785" xr:uid="{8C89FF6D-B752-4BDA-997F-02F2AC165D1A}"/>
    <cellStyle name="Normal 5 3 3 2 2 2 2 4 3" xfId="35679" xr:uid="{465A2503-E0C9-43B0-9E69-0C75A6D8002C}"/>
    <cellStyle name="Normal 5 3 3 2 2 2 2 5" xfId="10338" xr:uid="{2A4C86E9-D668-43B2-A9EF-CC2F85ADAA5B}"/>
    <cellStyle name="Normal 5 3 3 2 2 2 2 6" xfId="27232" xr:uid="{8C9385A2-1683-4F84-A2DC-4ACF4D39F541}"/>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2 2 2" xfId="25560" xr:uid="{0E8D429D-F654-48EA-BB62-382C4789C0E4}"/>
    <cellStyle name="Normal 5 3 3 2 2 2 3 2 2 2 2" xfId="42454" xr:uid="{8D531C66-AA30-4C2D-B1EE-97E078068998}"/>
    <cellStyle name="Normal 5 3 3 2 2 2 3 2 2 3" xfId="17113" xr:uid="{E662E2E4-FC4E-4B39-B919-2D3EA40279F7}"/>
    <cellStyle name="Normal 5 3 3 2 2 2 3 2 2 4" xfId="34007" xr:uid="{7C57228A-087B-4B57-8FD2-0E00D8DFF22F}"/>
    <cellStyle name="Normal 5 3 3 2 2 2 3 2 3" xfId="21343" xr:uid="{BC950485-215C-40A5-9C27-5988978C1B78}"/>
    <cellStyle name="Normal 5 3 3 2 2 2 3 2 3 2" xfId="38237" xr:uid="{7C767DBA-1870-48F1-9F29-07D593AF4508}"/>
    <cellStyle name="Normal 5 3 3 2 2 2 3 2 4" xfId="12896" xr:uid="{AFDBE9CE-EFDE-426E-B2E5-56B516AAFA5D}"/>
    <cellStyle name="Normal 5 3 3 2 2 2 3 2 5" xfId="29790" xr:uid="{77E07C08-AFB7-46D2-A0D6-1E8747E6209C}"/>
    <cellStyle name="Normal 5 3 3 2 2 2 3 3" xfId="5642" xr:uid="{00000000-0005-0000-0000-000080190000}"/>
    <cellStyle name="Normal 5 3 3 2 2 2 3 3 2" xfId="23415" xr:uid="{5B7FAF69-3A09-44D9-B05C-DC821FB1E064}"/>
    <cellStyle name="Normal 5 3 3 2 2 2 3 3 2 2" xfId="40309" xr:uid="{EC0E5971-AC14-4AC4-A57F-C69B4D653B0B}"/>
    <cellStyle name="Normal 5 3 3 2 2 2 3 3 3" xfId="14968" xr:uid="{FB4CEBB8-4A9C-404C-95DB-0888F1F5DE69}"/>
    <cellStyle name="Normal 5 3 3 2 2 2 3 3 4" xfId="31862" xr:uid="{A11D7363-B699-4EEF-B68D-43BE3DD5229A}"/>
    <cellStyle name="Normal 5 3 3 2 2 2 3 4" xfId="19198" xr:uid="{15706585-FE1A-47B6-9CF2-778C7205A72A}"/>
    <cellStyle name="Normal 5 3 3 2 2 2 3 4 2" xfId="36092" xr:uid="{256FC6C6-C7AA-431E-B8B8-19C363C2D64C}"/>
    <cellStyle name="Normal 5 3 3 2 2 2 3 5" xfId="10751" xr:uid="{97FF3A17-7C8E-4178-B452-5A7D3A259B2A}"/>
    <cellStyle name="Normal 5 3 3 2 2 2 3 6" xfId="27645" xr:uid="{4B6566E9-78C1-4415-A6F0-83331470525A}"/>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2 2 2" xfId="25973" xr:uid="{8D56D6D0-A8DA-41B3-84EF-3FB2671684FB}"/>
    <cellStyle name="Normal 5 3 3 2 2 2 4 2 2 2 2" xfId="42867" xr:uid="{942EBA29-FD30-4A23-87C2-25ACE5A8F383}"/>
    <cellStyle name="Normal 5 3 3 2 2 2 4 2 2 3" xfId="17526" xr:uid="{FB3801CD-82B3-4871-B2AB-C0E90BD3AD1B}"/>
    <cellStyle name="Normal 5 3 3 2 2 2 4 2 2 4" xfId="34420" xr:uid="{3374F134-1558-4BB5-913C-388EF5EA7E65}"/>
    <cellStyle name="Normal 5 3 3 2 2 2 4 2 3" xfId="21756" xr:uid="{C45DD6D8-F910-4E6B-AA58-DAB5DCB03C10}"/>
    <cellStyle name="Normal 5 3 3 2 2 2 4 2 3 2" xfId="38650" xr:uid="{94689297-7129-4E63-B244-8642B72F4D5D}"/>
    <cellStyle name="Normal 5 3 3 2 2 2 4 2 4" xfId="13309" xr:uid="{651D8F38-C831-49E8-BF59-A49070388249}"/>
    <cellStyle name="Normal 5 3 3 2 2 2 4 2 5" xfId="30203" xr:uid="{5AF7F40F-6DEE-4C5B-867C-CD1582C49DE0}"/>
    <cellStyle name="Normal 5 3 3 2 2 2 4 3" xfId="6055" xr:uid="{00000000-0005-0000-0000-000084190000}"/>
    <cellStyle name="Normal 5 3 3 2 2 2 4 3 2" xfId="23828" xr:uid="{19DCE5B5-0B06-4134-8B1E-70EB96236960}"/>
    <cellStyle name="Normal 5 3 3 2 2 2 4 3 2 2" xfId="40722" xr:uid="{14FDB29A-3364-4F07-8D49-B85C63137C91}"/>
    <cellStyle name="Normal 5 3 3 2 2 2 4 3 3" xfId="15381" xr:uid="{D9ED476F-0847-4E41-B814-E38EA1A02011}"/>
    <cellStyle name="Normal 5 3 3 2 2 2 4 3 4" xfId="32275" xr:uid="{9EDCC300-0824-4DE4-A654-FB668BB46538}"/>
    <cellStyle name="Normal 5 3 3 2 2 2 4 4" xfId="19611" xr:uid="{999F8FC5-7854-43CD-BB35-03ACA58E7D1E}"/>
    <cellStyle name="Normal 5 3 3 2 2 2 4 4 2" xfId="36505" xr:uid="{197E97B3-CC12-4BB0-BFCA-E551C39FE94D}"/>
    <cellStyle name="Normal 5 3 3 2 2 2 4 5" xfId="11164" xr:uid="{A07690CF-09ED-4CA5-A4B9-6B4011BE62EA}"/>
    <cellStyle name="Normal 5 3 3 2 2 2 4 6" xfId="28058" xr:uid="{98185452-A4B3-4D97-80BD-6BE60E1ECB13}"/>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2 2 2" xfId="26386" xr:uid="{2B48F642-F557-4963-BB7B-01110A4AC42D}"/>
    <cellStyle name="Normal 5 3 3 2 2 2 5 2 2 2 2" xfId="43280" xr:uid="{664611C6-F06D-41C6-A793-A7DE5F5FB54E}"/>
    <cellStyle name="Normal 5 3 3 2 2 2 5 2 2 3" xfId="17939" xr:uid="{223214BD-1D43-4C9E-AC21-8F97D51543C2}"/>
    <cellStyle name="Normal 5 3 3 2 2 2 5 2 2 4" xfId="34833" xr:uid="{1BB0F8FA-1663-4819-9F3F-E7B9B067E2FA}"/>
    <cellStyle name="Normal 5 3 3 2 2 2 5 2 3" xfId="22169" xr:uid="{E164864C-E0B5-4D0C-93AD-C824017029DB}"/>
    <cellStyle name="Normal 5 3 3 2 2 2 5 2 3 2" xfId="39063" xr:uid="{5E3DA08B-A9D7-47F8-8AD8-020881E73363}"/>
    <cellStyle name="Normal 5 3 3 2 2 2 5 2 4" xfId="13722" xr:uid="{4B7384EB-FE5C-4BA2-881E-109EEEF82B92}"/>
    <cellStyle name="Normal 5 3 3 2 2 2 5 2 5" xfId="30616" xr:uid="{1DC8509C-079C-4246-9BBC-B270F3DBB601}"/>
    <cellStyle name="Normal 5 3 3 2 2 2 5 3" xfId="6468" xr:uid="{00000000-0005-0000-0000-000088190000}"/>
    <cellStyle name="Normal 5 3 3 2 2 2 5 3 2" xfId="24241" xr:uid="{4248D957-5463-44D5-973E-A3DFAC709C0B}"/>
    <cellStyle name="Normal 5 3 3 2 2 2 5 3 2 2" xfId="41135" xr:uid="{E78EAE9E-4106-4655-8FEE-5F0B54326DC7}"/>
    <cellStyle name="Normal 5 3 3 2 2 2 5 3 3" xfId="15794" xr:uid="{001C9178-5C74-4DD2-95D6-D954F3AFB160}"/>
    <cellStyle name="Normal 5 3 3 2 2 2 5 3 4" xfId="32688" xr:uid="{B5B6BC9E-D401-4FA6-ABD7-BFA1B5BF340C}"/>
    <cellStyle name="Normal 5 3 3 2 2 2 5 4" xfId="20024" xr:uid="{CC6612F9-D599-4B7A-B874-A4792C657F34}"/>
    <cellStyle name="Normal 5 3 3 2 2 2 5 4 2" xfId="36918" xr:uid="{6D1958D0-DB59-4942-A97F-87996AD076E7}"/>
    <cellStyle name="Normal 5 3 3 2 2 2 5 5" xfId="11577" xr:uid="{4AC5F719-2489-440F-9296-83FC5B9E8A94}"/>
    <cellStyle name="Normal 5 3 3 2 2 2 5 6" xfId="28471" xr:uid="{38255FA2-9C38-4C66-A847-1978B3628EE0}"/>
    <cellStyle name="Normal 5 3 3 2 2 2 6" xfId="2598" xr:uid="{00000000-0005-0000-0000-000089190000}"/>
    <cellStyle name="Normal 5 3 3 2 2 2 6 2" xfId="6881" xr:uid="{00000000-0005-0000-0000-00008A190000}"/>
    <cellStyle name="Normal 5 3 3 2 2 2 6 2 2" xfId="24654" xr:uid="{9FAAB820-3B05-4ECF-829C-7B3D9F2A266E}"/>
    <cellStyle name="Normal 5 3 3 2 2 2 6 2 2 2" xfId="41548" xr:uid="{0993B945-2EB1-4F7F-8A4E-DDCD6A615626}"/>
    <cellStyle name="Normal 5 3 3 2 2 2 6 2 3" xfId="16207" xr:uid="{6580EF6F-34E5-4983-90F3-B5C18C9DEBF5}"/>
    <cellStyle name="Normal 5 3 3 2 2 2 6 2 4" xfId="33101" xr:uid="{05C6CC02-3EDA-4CB5-B9EB-87BDE996CD69}"/>
    <cellStyle name="Normal 5 3 3 2 2 2 6 3" xfId="20437" xr:uid="{52C9B844-AC41-46E2-A7EF-51CF651C25CE}"/>
    <cellStyle name="Normal 5 3 3 2 2 2 6 3 2" xfId="37331" xr:uid="{A6DC83C2-D833-42B4-8C50-655C9D345F6B}"/>
    <cellStyle name="Normal 5 3 3 2 2 2 6 4" xfId="11990" xr:uid="{687F246F-80CE-48F8-9220-2CC39FCDD310}"/>
    <cellStyle name="Normal 5 3 3 2 2 2 6 5" xfId="28884" xr:uid="{F406EA1F-5299-4118-9705-B681877D7B44}"/>
    <cellStyle name="Normal 5 3 3 2 2 2 7" xfId="4816" xr:uid="{00000000-0005-0000-0000-00008B190000}"/>
    <cellStyle name="Normal 5 3 3 2 2 2 7 2" xfId="22589" xr:uid="{058F8C19-0470-49F3-A1BC-255D2D0E1035}"/>
    <cellStyle name="Normal 5 3 3 2 2 2 7 2 2" xfId="39483" xr:uid="{B759C4EC-D89D-41C4-8C75-9E3E49610DAD}"/>
    <cellStyle name="Normal 5 3 3 2 2 2 7 3" xfId="14142" xr:uid="{6FE06C2A-9869-48BB-8FCD-14B68D22D658}"/>
    <cellStyle name="Normal 5 3 3 2 2 2 7 4" xfId="31036" xr:uid="{964B1AE8-3B6C-41BE-8398-CE435C73E4BD}"/>
    <cellStyle name="Normal 5 3 3 2 2 2 8" xfId="9142" xr:uid="{81CF9711-3A0B-4712-8E8F-033C974AA9E3}"/>
    <cellStyle name="Normal 5 3 3 2 2 2 8 2" xfId="18372" xr:uid="{77BE004A-90F3-4060-9FE1-058206344BD7}"/>
    <cellStyle name="Normal 5 3 3 2 2 2 8 3" xfId="35266" xr:uid="{0F3A0717-E2B6-4284-BDC9-2893C4D3E269}"/>
    <cellStyle name="Normal 5 3 3 2 2 2 9" xfId="9925" xr:uid="{F3268CF3-7A15-40AB-A5AA-EDBCF2B10605}"/>
    <cellStyle name="Normal 5 3 3 2 2 3" xfId="917" xr:uid="{00000000-0005-0000-0000-00008C190000}"/>
    <cellStyle name="Normal 5 3 3 2 2 3 2" xfId="3151" xr:uid="{00000000-0005-0000-0000-00008D190000}"/>
    <cellStyle name="Normal 5 3 3 2 2 3 2 2" xfId="7373" xr:uid="{00000000-0005-0000-0000-00008E190000}"/>
    <cellStyle name="Normal 5 3 3 2 2 3 2 2 2" xfId="25146" xr:uid="{4CE48644-48CC-40CE-B438-D3790248E8B6}"/>
    <cellStyle name="Normal 5 3 3 2 2 3 2 2 2 2" xfId="42040" xr:uid="{136F1CB7-22FA-4A0C-9C82-1100BCD85CED}"/>
    <cellStyle name="Normal 5 3 3 2 2 3 2 2 3" xfId="16699" xr:uid="{B296FC14-A941-461F-B5A8-648B4CF98457}"/>
    <cellStyle name="Normal 5 3 3 2 2 3 2 2 4" xfId="33593" xr:uid="{255949F5-89D5-420A-9C1E-2280ACBEF88A}"/>
    <cellStyle name="Normal 5 3 3 2 2 3 2 3" xfId="20929" xr:uid="{D7B627F2-530E-44CB-A3C5-C40C55774809}"/>
    <cellStyle name="Normal 5 3 3 2 2 3 2 3 2" xfId="37823" xr:uid="{F3AAA979-062D-47CC-8A35-D1AEB7591881}"/>
    <cellStyle name="Normal 5 3 3 2 2 3 2 4" xfId="12482" xr:uid="{09B9AFEE-E481-4358-A7C4-DD1E8C2744A9}"/>
    <cellStyle name="Normal 5 3 3 2 2 3 2 5" xfId="29376" xr:uid="{4455701B-D18F-45F2-9AFC-4B7DD1D50BA9}"/>
    <cellStyle name="Normal 5 3 3 2 2 3 3" xfId="5228" xr:uid="{00000000-0005-0000-0000-00008F190000}"/>
    <cellStyle name="Normal 5 3 3 2 2 3 3 2" xfId="23001" xr:uid="{687174EA-92C6-4D28-B29F-40B493DBD8E0}"/>
    <cellStyle name="Normal 5 3 3 2 2 3 3 2 2" xfId="39895" xr:uid="{A7A38517-26EE-4702-AE36-BE228D704333}"/>
    <cellStyle name="Normal 5 3 3 2 2 3 3 3" xfId="14554" xr:uid="{29AE3A47-4A88-461B-816E-21D451335DC5}"/>
    <cellStyle name="Normal 5 3 3 2 2 3 3 4" xfId="31448" xr:uid="{1D94964E-6202-425F-91BB-053228A936B4}"/>
    <cellStyle name="Normal 5 3 3 2 2 3 4" xfId="9360" xr:uid="{07447062-3C9B-4A41-BE9D-50DE495FF588}"/>
    <cellStyle name="Normal 5 3 3 2 2 3 4 2" xfId="18784" xr:uid="{D5014C13-9C2D-4C17-963F-8C1F6DC1D23D}"/>
    <cellStyle name="Normal 5 3 3 2 2 3 4 3" xfId="35678" xr:uid="{AB02C818-0B9E-43A3-B3DE-CE0B81CC9473}"/>
    <cellStyle name="Normal 5 3 3 2 2 3 5" xfId="10337" xr:uid="{38785761-66BE-4FA7-8D80-1DD7F0C7201D}"/>
    <cellStyle name="Normal 5 3 3 2 2 3 6" xfId="27231" xr:uid="{86562691-C7DB-4A34-A8C2-3E5C7C533049}"/>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2 2 2" xfId="25559" xr:uid="{F60208E7-E8EB-4357-A773-F621BB34F8D8}"/>
    <cellStyle name="Normal 5 3 3 2 2 4 2 2 2 2" xfId="42453" xr:uid="{A31B4930-0286-429B-8B33-3A4F0CDD25EF}"/>
    <cellStyle name="Normal 5 3 3 2 2 4 2 2 3" xfId="17112" xr:uid="{DB6F4B26-A619-4A9E-9CB2-1A637FAD6355}"/>
    <cellStyle name="Normal 5 3 3 2 2 4 2 2 4" xfId="34006" xr:uid="{0E8242B5-C101-4B84-91CC-0C64F071D447}"/>
    <cellStyle name="Normal 5 3 3 2 2 4 2 3" xfId="21342" xr:uid="{DCDB2BFF-05D1-447A-86FA-E9A64B2618D1}"/>
    <cellStyle name="Normal 5 3 3 2 2 4 2 3 2" xfId="38236" xr:uid="{6946C000-EDCA-4D5C-B881-9D2C0EF3E38E}"/>
    <cellStyle name="Normal 5 3 3 2 2 4 2 4" xfId="12895" xr:uid="{EF144DFF-68A5-4D23-A48A-C928F8FA2EE8}"/>
    <cellStyle name="Normal 5 3 3 2 2 4 2 5" xfId="29789" xr:uid="{0EF2AA08-AA4F-42E5-819D-8E6C4DC737BF}"/>
    <cellStyle name="Normal 5 3 3 2 2 4 3" xfId="5641" xr:uid="{00000000-0005-0000-0000-000093190000}"/>
    <cellStyle name="Normal 5 3 3 2 2 4 3 2" xfId="23414" xr:uid="{1D2DF251-7602-4862-B276-421649F11654}"/>
    <cellStyle name="Normal 5 3 3 2 2 4 3 2 2" xfId="40308" xr:uid="{AEACA955-E9C8-4F95-9261-F80D62E6B2D9}"/>
    <cellStyle name="Normal 5 3 3 2 2 4 3 3" xfId="14967" xr:uid="{A8875168-E2ED-40C2-91D1-ABD255CE92D7}"/>
    <cellStyle name="Normal 5 3 3 2 2 4 3 4" xfId="31861" xr:uid="{53E28465-23C0-4688-8C97-2B4756882071}"/>
    <cellStyle name="Normal 5 3 3 2 2 4 4" xfId="19197" xr:uid="{7766492B-BD2B-4F6F-98DE-FD7A4F91F59E}"/>
    <cellStyle name="Normal 5 3 3 2 2 4 4 2" xfId="36091" xr:uid="{21E051A6-F351-4819-AD9B-0C98EAD58A19}"/>
    <cellStyle name="Normal 5 3 3 2 2 4 5" xfId="10750" xr:uid="{8D919403-CC08-4A5B-B7F3-30338CB2890F}"/>
    <cellStyle name="Normal 5 3 3 2 2 4 6" xfId="27644" xr:uid="{F09E80EC-7289-4C1F-AE52-6FD680AA3971}"/>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2 2 2" xfId="25972" xr:uid="{7E3EDDB8-66D8-494D-A654-2697E3BC4B7B}"/>
    <cellStyle name="Normal 5 3 3 2 2 5 2 2 2 2" xfId="42866" xr:uid="{EB1DCA09-93B0-4EA0-A84F-5F4E4C33F038}"/>
    <cellStyle name="Normal 5 3 3 2 2 5 2 2 3" xfId="17525" xr:uid="{DD654BA9-A0C9-4217-B32C-7C4A4277D08F}"/>
    <cellStyle name="Normal 5 3 3 2 2 5 2 2 4" xfId="34419" xr:uid="{0DCC9BC0-69F4-4FDC-A27C-5C966273A341}"/>
    <cellStyle name="Normal 5 3 3 2 2 5 2 3" xfId="21755" xr:uid="{B815EC0A-9BDE-48EB-A325-B07A852FFA50}"/>
    <cellStyle name="Normal 5 3 3 2 2 5 2 3 2" xfId="38649" xr:uid="{4823D843-90C6-47D2-9A18-06A677CE494C}"/>
    <cellStyle name="Normal 5 3 3 2 2 5 2 4" xfId="13308" xr:uid="{14A715F1-617C-49EF-A3C0-A5E0630608B1}"/>
    <cellStyle name="Normal 5 3 3 2 2 5 2 5" xfId="30202" xr:uid="{4C52218E-B914-484F-A3C9-E350E7DB9106}"/>
    <cellStyle name="Normal 5 3 3 2 2 5 3" xfId="6054" xr:uid="{00000000-0005-0000-0000-000097190000}"/>
    <cellStyle name="Normal 5 3 3 2 2 5 3 2" xfId="23827" xr:uid="{4737B69C-CAAE-479A-BC75-D9DB6B0DE773}"/>
    <cellStyle name="Normal 5 3 3 2 2 5 3 2 2" xfId="40721" xr:uid="{682A1B16-D86B-4694-A91E-7D291CBF8E08}"/>
    <cellStyle name="Normal 5 3 3 2 2 5 3 3" xfId="15380" xr:uid="{7595C2F8-47C9-4AE8-8CAA-FF016F60BE99}"/>
    <cellStyle name="Normal 5 3 3 2 2 5 3 4" xfId="32274" xr:uid="{22CF358E-1EFF-4C57-994A-900EAAB9074E}"/>
    <cellStyle name="Normal 5 3 3 2 2 5 4" xfId="19610" xr:uid="{D13889F8-3FD4-4AB6-A2F5-9CF706666ADC}"/>
    <cellStyle name="Normal 5 3 3 2 2 5 4 2" xfId="36504" xr:uid="{1A97B286-D356-4F0D-9CC5-6A1BF859211C}"/>
    <cellStyle name="Normal 5 3 3 2 2 5 5" xfId="11163" xr:uid="{876EDEBB-9E83-4EA5-9BF2-B2B68DCC1ED3}"/>
    <cellStyle name="Normal 5 3 3 2 2 5 6" xfId="28057" xr:uid="{34D8D908-D01F-415A-A78A-6905B9C02395}"/>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2 2 2" xfId="26385" xr:uid="{6B79B6CB-C44F-4CC5-9B9F-35085DE2C4D9}"/>
    <cellStyle name="Normal 5 3 3 2 2 6 2 2 2 2" xfId="43279" xr:uid="{7CA573E9-6DEA-4F2E-BF79-76EDD985CA7B}"/>
    <cellStyle name="Normal 5 3 3 2 2 6 2 2 3" xfId="17938" xr:uid="{5BB8B4A1-C6B6-443D-BDBF-0AC86A3A6703}"/>
    <cellStyle name="Normal 5 3 3 2 2 6 2 2 4" xfId="34832" xr:uid="{C486CF45-3163-446E-8543-78BAF3553327}"/>
    <cellStyle name="Normal 5 3 3 2 2 6 2 3" xfId="22168" xr:uid="{769EA8F7-7877-4ACA-AF72-D4F6377FF223}"/>
    <cellStyle name="Normal 5 3 3 2 2 6 2 3 2" xfId="39062" xr:uid="{EC3A5585-C42D-4F9C-94A1-18D6E0AB205B}"/>
    <cellStyle name="Normal 5 3 3 2 2 6 2 4" xfId="13721" xr:uid="{3FFCE66B-B702-4920-A1BB-47B0EF298BEE}"/>
    <cellStyle name="Normal 5 3 3 2 2 6 2 5" xfId="30615" xr:uid="{7E921B91-F780-4E21-BFB6-580C9255053B}"/>
    <cellStyle name="Normal 5 3 3 2 2 6 3" xfId="6467" xr:uid="{00000000-0005-0000-0000-00009B190000}"/>
    <cellStyle name="Normal 5 3 3 2 2 6 3 2" xfId="24240" xr:uid="{377059FB-2052-4C3A-B2EA-F0216FD770D3}"/>
    <cellStyle name="Normal 5 3 3 2 2 6 3 2 2" xfId="41134" xr:uid="{057CA875-47E0-4F6D-A939-D3C929F44606}"/>
    <cellStyle name="Normal 5 3 3 2 2 6 3 3" xfId="15793" xr:uid="{FCAA6394-8BC8-4AAB-BE98-567D2B7CB2FF}"/>
    <cellStyle name="Normal 5 3 3 2 2 6 3 4" xfId="32687" xr:uid="{071C2E40-36DA-438A-9968-C242C48586E4}"/>
    <cellStyle name="Normal 5 3 3 2 2 6 4" xfId="20023" xr:uid="{209A8258-1EF4-4A48-BD96-87B1859C6FED}"/>
    <cellStyle name="Normal 5 3 3 2 2 6 4 2" xfId="36917" xr:uid="{B780647F-54DB-4A4D-9E68-CC20EF5F961F}"/>
    <cellStyle name="Normal 5 3 3 2 2 6 5" xfId="11576" xr:uid="{FF1A0E4E-3F85-4159-A951-540ECA1A7B48}"/>
    <cellStyle name="Normal 5 3 3 2 2 6 6" xfId="28470" xr:uid="{BEDAFB21-CBE9-40E7-8818-12CD1B08E6CC}"/>
    <cellStyle name="Normal 5 3 3 2 2 7" xfId="2597" xr:uid="{00000000-0005-0000-0000-00009C190000}"/>
    <cellStyle name="Normal 5 3 3 2 2 7 2" xfId="6880" xr:uid="{00000000-0005-0000-0000-00009D190000}"/>
    <cellStyle name="Normal 5 3 3 2 2 7 2 2" xfId="24653" xr:uid="{21251703-E8DD-4FF0-A9AD-5AD83F2DF3CC}"/>
    <cellStyle name="Normal 5 3 3 2 2 7 2 2 2" xfId="41547" xr:uid="{66935073-6ECF-4F56-B114-94681A71D865}"/>
    <cellStyle name="Normal 5 3 3 2 2 7 2 3" xfId="16206" xr:uid="{EBB0049C-716A-47AE-A4D3-9ED3722327A0}"/>
    <cellStyle name="Normal 5 3 3 2 2 7 2 4" xfId="33100" xr:uid="{6989C703-D9AA-4722-9897-602A0FAC70E9}"/>
    <cellStyle name="Normal 5 3 3 2 2 7 3" xfId="20436" xr:uid="{6F80415F-D19D-48F9-AD77-39A1AFB02951}"/>
    <cellStyle name="Normal 5 3 3 2 2 7 3 2" xfId="37330" xr:uid="{68614675-B871-4FA9-B56E-1790CDC2DC24}"/>
    <cellStyle name="Normal 5 3 3 2 2 7 4" xfId="11989" xr:uid="{4256E25B-0FEB-4815-B7A3-91C53651CC01}"/>
    <cellStyle name="Normal 5 3 3 2 2 7 5" xfId="28883" xr:uid="{C5FA8AB6-F148-4E3F-80D7-9F3382821B9D}"/>
    <cellStyle name="Normal 5 3 3 2 2 8" xfId="4815" xr:uid="{00000000-0005-0000-0000-00009E190000}"/>
    <cellStyle name="Normal 5 3 3 2 2 8 2" xfId="22588" xr:uid="{60774C47-412E-4CA5-937C-3066368AE848}"/>
    <cellStyle name="Normal 5 3 3 2 2 8 2 2" xfId="39482" xr:uid="{6F768DF0-03D3-4911-8936-7C9C5ADC35AC}"/>
    <cellStyle name="Normal 5 3 3 2 2 8 3" xfId="14141" xr:uid="{2B29E43C-4D07-4329-9F65-84DBD48F21C4}"/>
    <cellStyle name="Normal 5 3 3 2 2 8 4" xfId="31035" xr:uid="{76CE62C4-B110-4D95-8AF3-4D3AEC102666}"/>
    <cellStyle name="Normal 5 3 3 2 2 9" xfId="8935" xr:uid="{94B8766B-0DD5-4CC7-9403-D37FC711344B}"/>
    <cellStyle name="Normal 5 3 3 2 2 9 2" xfId="18371" xr:uid="{EC5D890E-C742-4017-8E98-44EEED5F7738}"/>
    <cellStyle name="Normal 5 3 3 2 2 9 3" xfId="35265" xr:uid="{172B1DF2-F6C3-48DB-BCBF-B4D0DE55A577}"/>
    <cellStyle name="Normal 5 3 3 2 3" xfId="445" xr:uid="{00000000-0005-0000-0000-00009F190000}"/>
    <cellStyle name="Normal 5 3 3 2 3 10" xfId="26820" xr:uid="{2BD42609-B4DB-4BD7-B830-F3A1CF107E3B}"/>
    <cellStyle name="Normal 5 3 3 2 3 2" xfId="919" xr:uid="{00000000-0005-0000-0000-0000A0190000}"/>
    <cellStyle name="Normal 5 3 3 2 3 2 2" xfId="3153" xr:uid="{00000000-0005-0000-0000-0000A1190000}"/>
    <cellStyle name="Normal 5 3 3 2 3 2 2 2" xfId="7375" xr:uid="{00000000-0005-0000-0000-0000A2190000}"/>
    <cellStyle name="Normal 5 3 3 2 3 2 2 2 2" xfId="25148" xr:uid="{7A765A37-B882-4EB1-80C8-B663036FD41F}"/>
    <cellStyle name="Normal 5 3 3 2 3 2 2 2 2 2" xfId="42042" xr:uid="{E8CE7274-AC54-4A52-97D7-D560923B789E}"/>
    <cellStyle name="Normal 5 3 3 2 3 2 2 2 3" xfId="16701" xr:uid="{81DBC0AF-B6F7-4B94-8A3A-F795B2E64B65}"/>
    <cellStyle name="Normal 5 3 3 2 3 2 2 2 4" xfId="33595" xr:uid="{73FD94F9-5E7F-4BB5-858D-8FE2B44EDC07}"/>
    <cellStyle name="Normal 5 3 3 2 3 2 2 3" xfId="20931" xr:uid="{40026C18-4F88-4B84-89A8-9800D8A8ADF3}"/>
    <cellStyle name="Normal 5 3 3 2 3 2 2 3 2" xfId="37825" xr:uid="{E05BA62E-773A-4B05-B903-A83AEC34D9FD}"/>
    <cellStyle name="Normal 5 3 3 2 3 2 2 4" xfId="12484" xr:uid="{918FBC94-BE4B-4B27-AB1B-57E68AAB0B3A}"/>
    <cellStyle name="Normal 5 3 3 2 3 2 2 5" xfId="29378" xr:uid="{4BAC8FDD-08B7-40F1-9939-4385FA20A63C}"/>
    <cellStyle name="Normal 5 3 3 2 3 2 3" xfId="5230" xr:uid="{00000000-0005-0000-0000-0000A3190000}"/>
    <cellStyle name="Normal 5 3 3 2 3 2 3 2" xfId="23003" xr:uid="{EBA25A1F-EA49-4DC4-BF62-D19D9812F235}"/>
    <cellStyle name="Normal 5 3 3 2 3 2 3 2 2" xfId="39897" xr:uid="{78BD720C-E960-4E04-936D-8B83297C04D1}"/>
    <cellStyle name="Normal 5 3 3 2 3 2 3 3" xfId="14556" xr:uid="{3E3AF28E-51E6-4531-BE1A-BF7D5FACC58F}"/>
    <cellStyle name="Normal 5 3 3 2 3 2 3 4" xfId="31450" xr:uid="{6AA79ADD-90BC-46E5-959D-842FCB8325B1}"/>
    <cellStyle name="Normal 5 3 3 2 3 2 4" xfId="9464" xr:uid="{6A182EEF-0879-47AD-839A-17D560B4AF3D}"/>
    <cellStyle name="Normal 5 3 3 2 3 2 4 2" xfId="18786" xr:uid="{366CCC65-C771-47AD-B153-BEBEA7418081}"/>
    <cellStyle name="Normal 5 3 3 2 3 2 4 3" xfId="35680" xr:uid="{AF1D5DA3-09D7-4258-BDD4-2F4499FFE8C7}"/>
    <cellStyle name="Normal 5 3 3 2 3 2 5" xfId="10339" xr:uid="{1A08D71A-D404-414C-979F-2D8DE3E2113E}"/>
    <cellStyle name="Normal 5 3 3 2 3 2 6" xfId="27233" xr:uid="{32996C9F-900D-4D99-80B3-57068CE8DDC4}"/>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2 2 2" xfId="25561" xr:uid="{9FD20E74-D280-422E-8BA0-CFFABB5692F6}"/>
    <cellStyle name="Normal 5 3 3 2 3 3 2 2 2 2" xfId="42455" xr:uid="{14A996ED-1B77-4727-BA5D-F29F47982164}"/>
    <cellStyle name="Normal 5 3 3 2 3 3 2 2 3" xfId="17114" xr:uid="{7A995885-35A8-4ADC-8E9F-970B36EAFE35}"/>
    <cellStyle name="Normal 5 3 3 2 3 3 2 2 4" xfId="34008" xr:uid="{3D33788C-A60A-47BF-A529-A8516EDD73BE}"/>
    <cellStyle name="Normal 5 3 3 2 3 3 2 3" xfId="21344" xr:uid="{D293496F-B0FC-497D-A847-8BC14254BEE2}"/>
    <cellStyle name="Normal 5 3 3 2 3 3 2 3 2" xfId="38238" xr:uid="{C997504B-6AC3-4B02-B8D2-9F1666E48828}"/>
    <cellStyle name="Normal 5 3 3 2 3 3 2 4" xfId="12897" xr:uid="{66572671-2F2D-4E4D-8E6F-998D621320E9}"/>
    <cellStyle name="Normal 5 3 3 2 3 3 2 5" xfId="29791" xr:uid="{B3EF1A0A-20E1-4D10-B257-5FF3BBFCF21B}"/>
    <cellStyle name="Normal 5 3 3 2 3 3 3" xfId="5643" xr:uid="{00000000-0005-0000-0000-0000A7190000}"/>
    <cellStyle name="Normal 5 3 3 2 3 3 3 2" xfId="23416" xr:uid="{DDE516A3-38FA-4D07-BDC6-E8794B4D19D9}"/>
    <cellStyle name="Normal 5 3 3 2 3 3 3 2 2" xfId="40310" xr:uid="{D4A9E15B-8444-42A7-8B31-EA2B8A11AF2A}"/>
    <cellStyle name="Normal 5 3 3 2 3 3 3 3" xfId="14969" xr:uid="{0BDE0357-9730-415C-BE22-A76315AB9480}"/>
    <cellStyle name="Normal 5 3 3 2 3 3 3 4" xfId="31863" xr:uid="{9E761F81-B9B1-4E03-83BB-20D2B67E6DC0}"/>
    <cellStyle name="Normal 5 3 3 2 3 3 4" xfId="19199" xr:uid="{2AC2AA27-B071-46B0-9D3C-9CD649FC841A}"/>
    <cellStyle name="Normal 5 3 3 2 3 3 4 2" xfId="36093" xr:uid="{0B9BA6A2-17FB-404C-AE8F-B2F109400F61}"/>
    <cellStyle name="Normal 5 3 3 2 3 3 5" xfId="10752" xr:uid="{FFC52344-6F36-4B7D-ADA7-F148842743A3}"/>
    <cellStyle name="Normal 5 3 3 2 3 3 6" xfId="27646" xr:uid="{EB5D97DF-5AA0-4F81-98E2-4DC66E4DD7E9}"/>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2 2 2" xfId="25974" xr:uid="{C26A696C-5577-467B-8C2A-B401960B6ABC}"/>
    <cellStyle name="Normal 5 3 3 2 3 4 2 2 2 2" xfId="42868" xr:uid="{1797554F-C576-469E-8F42-0F15622AFEAF}"/>
    <cellStyle name="Normal 5 3 3 2 3 4 2 2 3" xfId="17527" xr:uid="{E2D248A7-8388-43EB-979A-29A888AFD4BD}"/>
    <cellStyle name="Normal 5 3 3 2 3 4 2 2 4" xfId="34421" xr:uid="{41D3C9D9-FF8F-4470-AEAD-98C7DA8B65B5}"/>
    <cellStyle name="Normal 5 3 3 2 3 4 2 3" xfId="21757" xr:uid="{91AC3330-E2B7-44D5-A9E6-C1642762B482}"/>
    <cellStyle name="Normal 5 3 3 2 3 4 2 3 2" xfId="38651" xr:uid="{E9DB7B9F-C588-4234-A235-FD754A2875AD}"/>
    <cellStyle name="Normal 5 3 3 2 3 4 2 4" xfId="13310" xr:uid="{FA935A0B-15D8-492F-8F34-31919DCFD902}"/>
    <cellStyle name="Normal 5 3 3 2 3 4 2 5" xfId="30204" xr:uid="{B6423E58-AA8C-441E-BE1E-EDE5D05C973F}"/>
    <cellStyle name="Normal 5 3 3 2 3 4 3" xfId="6056" xr:uid="{00000000-0005-0000-0000-0000AB190000}"/>
    <cellStyle name="Normal 5 3 3 2 3 4 3 2" xfId="23829" xr:uid="{53F0C429-9445-4684-B4EA-9528B5B3FD2A}"/>
    <cellStyle name="Normal 5 3 3 2 3 4 3 2 2" xfId="40723" xr:uid="{32985A90-4DCB-4DF6-8199-F255E7EF2488}"/>
    <cellStyle name="Normal 5 3 3 2 3 4 3 3" xfId="15382" xr:uid="{6F1BB390-35ED-4821-8F3C-CB254F2C710C}"/>
    <cellStyle name="Normal 5 3 3 2 3 4 3 4" xfId="32276" xr:uid="{32234CA6-13EC-411A-949C-2E2D61D13050}"/>
    <cellStyle name="Normal 5 3 3 2 3 4 4" xfId="19612" xr:uid="{2BF3817F-A219-4663-B365-57095F879738}"/>
    <cellStyle name="Normal 5 3 3 2 3 4 4 2" xfId="36506" xr:uid="{63B00040-0140-4E63-87EA-653C9C7CC3C5}"/>
    <cellStyle name="Normal 5 3 3 2 3 4 5" xfId="11165" xr:uid="{97B31BB4-AB53-43A7-BBE3-F62C9EDD27E8}"/>
    <cellStyle name="Normal 5 3 3 2 3 4 6" xfId="28059" xr:uid="{97B49CA2-1C32-4DAC-96A2-FFB5B0C0598D}"/>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2 2 2" xfId="26387" xr:uid="{5401F767-9D5E-4950-A222-296803D463C2}"/>
    <cellStyle name="Normal 5 3 3 2 3 5 2 2 2 2" xfId="43281" xr:uid="{64F267AC-2971-433A-8A63-F8920F6427E9}"/>
    <cellStyle name="Normal 5 3 3 2 3 5 2 2 3" xfId="17940" xr:uid="{B8933663-ACF9-41A2-85FD-82D19B81F1F1}"/>
    <cellStyle name="Normal 5 3 3 2 3 5 2 2 4" xfId="34834" xr:uid="{8146CAFB-E759-4A14-AC0F-A155261DFAA5}"/>
    <cellStyle name="Normal 5 3 3 2 3 5 2 3" xfId="22170" xr:uid="{CC43A8CF-503F-4486-A668-F1B001473E68}"/>
    <cellStyle name="Normal 5 3 3 2 3 5 2 3 2" xfId="39064" xr:uid="{1D4373DD-9682-418E-A91C-F339182F0936}"/>
    <cellStyle name="Normal 5 3 3 2 3 5 2 4" xfId="13723" xr:uid="{E62C2418-EE08-4951-9D5D-1A3B11740657}"/>
    <cellStyle name="Normal 5 3 3 2 3 5 2 5" xfId="30617" xr:uid="{DFF233D0-80BC-4D5E-BA83-6B343FEF2050}"/>
    <cellStyle name="Normal 5 3 3 2 3 5 3" xfId="6469" xr:uid="{00000000-0005-0000-0000-0000AF190000}"/>
    <cellStyle name="Normal 5 3 3 2 3 5 3 2" xfId="24242" xr:uid="{A34B5A01-6238-4EFE-A07F-B28B7CA24312}"/>
    <cellStyle name="Normal 5 3 3 2 3 5 3 2 2" xfId="41136" xr:uid="{8D1180FF-5D05-4164-B657-EC9C4B15D200}"/>
    <cellStyle name="Normal 5 3 3 2 3 5 3 3" xfId="15795" xr:uid="{FAD418E0-6FC0-477C-A4A1-91BF3D8D39B3}"/>
    <cellStyle name="Normal 5 3 3 2 3 5 3 4" xfId="32689" xr:uid="{20869C7A-7E19-4BED-82E0-122C08D6CE4A}"/>
    <cellStyle name="Normal 5 3 3 2 3 5 4" xfId="20025" xr:uid="{76C49C98-5F3F-4A57-B1C7-98A99BC8AB1D}"/>
    <cellStyle name="Normal 5 3 3 2 3 5 4 2" xfId="36919" xr:uid="{10DFF96B-2CAE-4E0D-A4F3-1F05A82E502F}"/>
    <cellStyle name="Normal 5 3 3 2 3 5 5" xfId="11578" xr:uid="{08B352F6-D13C-4931-9DA0-5279A6238044}"/>
    <cellStyle name="Normal 5 3 3 2 3 5 6" xfId="28472" xr:uid="{279FBE9E-97A0-4A2B-B949-18B24CFB6189}"/>
    <cellStyle name="Normal 5 3 3 2 3 6" xfId="2599" xr:uid="{00000000-0005-0000-0000-0000B0190000}"/>
    <cellStyle name="Normal 5 3 3 2 3 6 2" xfId="6882" xr:uid="{00000000-0005-0000-0000-0000B1190000}"/>
    <cellStyle name="Normal 5 3 3 2 3 6 2 2" xfId="24655" xr:uid="{2A351F28-FB46-453B-83B4-4F86083E452B}"/>
    <cellStyle name="Normal 5 3 3 2 3 6 2 2 2" xfId="41549" xr:uid="{0245C71E-FD97-4271-B03C-4E58E662BDBD}"/>
    <cellStyle name="Normal 5 3 3 2 3 6 2 3" xfId="16208" xr:uid="{B10DC0AC-4755-4FB5-9D6B-687BB9A649C6}"/>
    <cellStyle name="Normal 5 3 3 2 3 6 2 4" xfId="33102" xr:uid="{7C3E8744-6521-4FC5-AEAD-5F870A3CE142}"/>
    <cellStyle name="Normal 5 3 3 2 3 6 3" xfId="20438" xr:uid="{71865BDA-FA4D-444C-BD35-0FCCC8096447}"/>
    <cellStyle name="Normal 5 3 3 2 3 6 3 2" xfId="37332" xr:uid="{F79DE787-50E7-4FDA-8950-1CE3D36254CE}"/>
    <cellStyle name="Normal 5 3 3 2 3 6 4" xfId="11991" xr:uid="{B41BFC50-4D49-49FC-82E0-573E76680A3C}"/>
    <cellStyle name="Normal 5 3 3 2 3 6 5" xfId="28885" xr:uid="{5FE3C89F-3971-458A-8268-760786EDFE4C}"/>
    <cellStyle name="Normal 5 3 3 2 3 7" xfId="4817" xr:uid="{00000000-0005-0000-0000-0000B2190000}"/>
    <cellStyle name="Normal 5 3 3 2 3 7 2" xfId="22590" xr:uid="{9131F2B3-C32B-46A2-A843-CCB39FA03780}"/>
    <cellStyle name="Normal 5 3 3 2 3 7 2 2" xfId="39484" xr:uid="{B01721A9-A80A-48DF-BDE2-EF4FFBF0FD80}"/>
    <cellStyle name="Normal 5 3 3 2 3 7 3" xfId="14143" xr:uid="{2AE4DE2B-FB2E-4287-A028-184CAF9E7BA8}"/>
    <cellStyle name="Normal 5 3 3 2 3 7 4" xfId="31037" xr:uid="{3F1FD211-7220-4CEE-B16D-394CF8B45621}"/>
    <cellStyle name="Normal 5 3 3 2 3 8" xfId="9039" xr:uid="{84D80CE6-A0CA-4841-8673-26EA7EC6806D}"/>
    <cellStyle name="Normal 5 3 3 2 3 8 2" xfId="18373" xr:uid="{67B3A090-FEF4-42DC-B6A5-1FE9D403D3A3}"/>
    <cellStyle name="Normal 5 3 3 2 3 8 3" xfId="35267" xr:uid="{37D38E64-7BFB-4BCD-8B2A-576288869AE1}"/>
    <cellStyle name="Normal 5 3 3 2 3 9" xfId="9926" xr:uid="{F108ABB5-B514-470D-8AF5-229F21D41491}"/>
    <cellStyle name="Normal 5 3 3 2 4" xfId="916" xr:uid="{00000000-0005-0000-0000-0000B3190000}"/>
    <cellStyle name="Normal 5 3 3 2 4 2" xfId="3150" xr:uid="{00000000-0005-0000-0000-0000B4190000}"/>
    <cellStyle name="Normal 5 3 3 2 4 2 2" xfId="7372" xr:uid="{00000000-0005-0000-0000-0000B5190000}"/>
    <cellStyle name="Normal 5 3 3 2 4 2 2 2" xfId="25145" xr:uid="{A303AB9B-124B-4C5A-9DAF-9D1949695595}"/>
    <cellStyle name="Normal 5 3 3 2 4 2 2 2 2" xfId="42039" xr:uid="{4E9C8B8D-03AC-4327-ADC8-AC08C5AC534B}"/>
    <cellStyle name="Normal 5 3 3 2 4 2 2 3" xfId="16698" xr:uid="{1EFBB6FB-5AAC-450F-9042-BEBE858CFCD8}"/>
    <cellStyle name="Normal 5 3 3 2 4 2 2 4" xfId="33592" xr:uid="{909AEA0E-202C-44E8-86C5-9D26E85BE086}"/>
    <cellStyle name="Normal 5 3 3 2 4 2 3" xfId="20928" xr:uid="{2FE8F9C9-FD35-4503-9B0D-0800F12ADD2A}"/>
    <cellStyle name="Normal 5 3 3 2 4 2 3 2" xfId="37822" xr:uid="{9A4240AF-C0E4-4AC6-8FF2-E60B52F7CC32}"/>
    <cellStyle name="Normal 5 3 3 2 4 2 4" xfId="12481" xr:uid="{FAAA99A5-804F-41CA-830B-6CAA5955C29E}"/>
    <cellStyle name="Normal 5 3 3 2 4 2 5" xfId="29375" xr:uid="{A983DA42-52CD-48F1-B167-5C52D3BBE927}"/>
    <cellStyle name="Normal 5 3 3 2 4 3" xfId="5227" xr:uid="{00000000-0005-0000-0000-0000B6190000}"/>
    <cellStyle name="Normal 5 3 3 2 4 3 2" xfId="23000" xr:uid="{EE57D484-0174-4FF5-A971-8B1373BF515D}"/>
    <cellStyle name="Normal 5 3 3 2 4 3 2 2" xfId="39894" xr:uid="{6B1B85BA-C73B-4686-AC99-228E102B1E8B}"/>
    <cellStyle name="Normal 5 3 3 2 4 3 3" xfId="14553" xr:uid="{DCFAFF58-DCDB-4674-B85B-6A657CCC37F7}"/>
    <cellStyle name="Normal 5 3 3 2 4 3 4" xfId="31447" xr:uid="{D20698A7-2A1C-406B-94F9-DA9A27AC9A31}"/>
    <cellStyle name="Normal 5 3 3 2 4 4" xfId="9257" xr:uid="{E6656214-6E5B-491F-B1E3-227CB6568726}"/>
    <cellStyle name="Normal 5 3 3 2 4 4 2" xfId="18783" xr:uid="{B2A81B0C-BD4B-46D1-9E0C-0477C5C2E373}"/>
    <cellStyle name="Normal 5 3 3 2 4 4 3" xfId="35677" xr:uid="{6F4EF9DB-6203-4AC6-BD26-5361B67C16D5}"/>
    <cellStyle name="Normal 5 3 3 2 4 5" xfId="10336" xr:uid="{6CCD28A8-F722-4F46-A08D-956B72F3D33C}"/>
    <cellStyle name="Normal 5 3 3 2 4 6" xfId="27230" xr:uid="{81F2EF91-F263-4B44-ABE7-5A2EA7DA6FFD}"/>
    <cellStyle name="Normal 5 3 3 2 5" xfId="1333" xr:uid="{00000000-0005-0000-0000-0000B7190000}"/>
    <cellStyle name="Normal 5 3 3 2 5 2" xfId="3563" xr:uid="{00000000-0005-0000-0000-0000B8190000}"/>
    <cellStyle name="Normal 5 3 3 2 5 2 2" xfId="7785" xr:uid="{00000000-0005-0000-0000-0000B9190000}"/>
    <cellStyle name="Normal 5 3 3 2 5 2 2 2" xfId="25558" xr:uid="{0F65D3D6-DF01-4913-BAF5-5EBC5D889229}"/>
    <cellStyle name="Normal 5 3 3 2 5 2 2 2 2" xfId="42452" xr:uid="{335B7D80-E21E-409D-8A25-A396B3A9A070}"/>
    <cellStyle name="Normal 5 3 3 2 5 2 2 3" xfId="17111" xr:uid="{740907E8-EAEC-49F7-880D-4396A14261B5}"/>
    <cellStyle name="Normal 5 3 3 2 5 2 2 4" xfId="34005" xr:uid="{89398195-5A8A-4C6E-B135-26EB0628251F}"/>
    <cellStyle name="Normal 5 3 3 2 5 2 3" xfId="21341" xr:uid="{55327AAB-D097-403B-AAF9-EBF1A33AEB0D}"/>
    <cellStyle name="Normal 5 3 3 2 5 2 3 2" xfId="38235" xr:uid="{57D5B736-298D-438D-934B-2F4813C732C4}"/>
    <cellStyle name="Normal 5 3 3 2 5 2 4" xfId="12894" xr:uid="{0AB29F21-8552-4C6C-94A6-D51D19880E56}"/>
    <cellStyle name="Normal 5 3 3 2 5 2 5" xfId="29788" xr:uid="{8295F749-B82E-42DA-B373-CAA5DAE9AB86}"/>
    <cellStyle name="Normal 5 3 3 2 5 3" xfId="5640" xr:uid="{00000000-0005-0000-0000-0000BA190000}"/>
    <cellStyle name="Normal 5 3 3 2 5 3 2" xfId="23413" xr:uid="{1263DCE3-4B01-4193-B9A8-B4A7B0D78D42}"/>
    <cellStyle name="Normal 5 3 3 2 5 3 2 2" xfId="40307" xr:uid="{66A39470-CBA5-4116-93E8-ED85CFDAAEBB}"/>
    <cellStyle name="Normal 5 3 3 2 5 3 3" xfId="14966" xr:uid="{6E55CB8C-09DD-4EA8-A06E-143AB01E925C}"/>
    <cellStyle name="Normal 5 3 3 2 5 3 4" xfId="31860" xr:uid="{E4FCDA71-867C-4D84-AEC5-53CB9517F6E2}"/>
    <cellStyle name="Normal 5 3 3 2 5 4" xfId="19196" xr:uid="{56CC2E09-BB03-4FF8-AF60-237E09FDDD5E}"/>
    <cellStyle name="Normal 5 3 3 2 5 4 2" xfId="36090" xr:uid="{D2A41D90-1D46-490E-8E17-77913CB905BC}"/>
    <cellStyle name="Normal 5 3 3 2 5 5" xfId="10749" xr:uid="{D4DC02CB-C818-473E-A587-20AAA68D7244}"/>
    <cellStyle name="Normal 5 3 3 2 5 6" xfId="27643" xr:uid="{46F46DC0-3D6C-496B-86DA-01837D452904}"/>
    <cellStyle name="Normal 5 3 3 2 6" xfId="1746" xr:uid="{00000000-0005-0000-0000-0000BB190000}"/>
    <cellStyle name="Normal 5 3 3 2 6 2" xfId="3976" xr:uid="{00000000-0005-0000-0000-0000BC190000}"/>
    <cellStyle name="Normal 5 3 3 2 6 2 2" xfId="8198" xr:uid="{00000000-0005-0000-0000-0000BD190000}"/>
    <cellStyle name="Normal 5 3 3 2 6 2 2 2" xfId="25971" xr:uid="{829163EF-B1BB-466E-B585-31F025E0EF8F}"/>
    <cellStyle name="Normal 5 3 3 2 6 2 2 2 2" xfId="42865" xr:uid="{7537BBF8-2019-43A9-AFEA-26941F8013F5}"/>
    <cellStyle name="Normal 5 3 3 2 6 2 2 3" xfId="17524" xr:uid="{D1125C4A-18D5-48FE-9BBA-F3767F8BACB8}"/>
    <cellStyle name="Normal 5 3 3 2 6 2 2 4" xfId="34418" xr:uid="{9455F343-99D9-4E12-82AD-D6E8B0EEBED5}"/>
    <cellStyle name="Normal 5 3 3 2 6 2 3" xfId="21754" xr:uid="{6966B674-BFDB-44FC-ADA2-B59A2C1180B5}"/>
    <cellStyle name="Normal 5 3 3 2 6 2 3 2" xfId="38648" xr:uid="{58D28A81-64D1-4007-A22B-68CBFA4E40C5}"/>
    <cellStyle name="Normal 5 3 3 2 6 2 4" xfId="13307" xr:uid="{A66D45C2-31E6-4342-8E06-F485302D3A73}"/>
    <cellStyle name="Normal 5 3 3 2 6 2 5" xfId="30201" xr:uid="{CB965A0A-F058-41B1-A9D5-3DFAEBCBB283}"/>
    <cellStyle name="Normal 5 3 3 2 6 3" xfId="6053" xr:uid="{00000000-0005-0000-0000-0000BE190000}"/>
    <cellStyle name="Normal 5 3 3 2 6 3 2" xfId="23826" xr:uid="{47CF3C51-ED20-4B29-A2A8-9EDBC7083790}"/>
    <cellStyle name="Normal 5 3 3 2 6 3 2 2" xfId="40720" xr:uid="{6B3A52AB-E993-4D92-9AA3-B2879F81EE60}"/>
    <cellStyle name="Normal 5 3 3 2 6 3 3" xfId="15379" xr:uid="{FC72F9CB-0C45-43A7-860E-17289F86B2F3}"/>
    <cellStyle name="Normal 5 3 3 2 6 3 4" xfId="32273" xr:uid="{12F2D65C-642B-4B5A-901D-1340AA349951}"/>
    <cellStyle name="Normal 5 3 3 2 6 4" xfId="19609" xr:uid="{E65D3DC6-4D67-4F99-9E3D-BD71A0CD387A}"/>
    <cellStyle name="Normal 5 3 3 2 6 4 2" xfId="36503" xr:uid="{B9409B22-5C2F-4CD2-84F2-5960C21349C9}"/>
    <cellStyle name="Normal 5 3 3 2 6 5" xfId="11162" xr:uid="{2D22E71F-F9CD-4AFD-B793-4ED79860F3B1}"/>
    <cellStyle name="Normal 5 3 3 2 6 6" xfId="28056" xr:uid="{906A05C1-4B2B-46B6-B759-3BAADD13447C}"/>
    <cellStyle name="Normal 5 3 3 2 7" xfId="2160" xr:uid="{00000000-0005-0000-0000-0000BF190000}"/>
    <cellStyle name="Normal 5 3 3 2 7 2" xfId="4389" xr:uid="{00000000-0005-0000-0000-0000C0190000}"/>
    <cellStyle name="Normal 5 3 3 2 7 2 2" xfId="8611" xr:uid="{00000000-0005-0000-0000-0000C1190000}"/>
    <cellStyle name="Normal 5 3 3 2 7 2 2 2" xfId="26384" xr:uid="{1F740F8B-C41B-467C-98BD-D0E68F320F24}"/>
    <cellStyle name="Normal 5 3 3 2 7 2 2 2 2" xfId="43278" xr:uid="{76AD3F64-9F59-41C3-A91B-11E02C51E51A}"/>
    <cellStyle name="Normal 5 3 3 2 7 2 2 3" xfId="17937" xr:uid="{4B9432BA-DBFB-43AE-A65C-7AC149D5EFCD}"/>
    <cellStyle name="Normal 5 3 3 2 7 2 2 4" xfId="34831" xr:uid="{B4884583-FE65-4229-B7A0-271F3EF2A24E}"/>
    <cellStyle name="Normal 5 3 3 2 7 2 3" xfId="22167" xr:uid="{0CF6FD6C-C30E-4167-A61F-AE276D1701C1}"/>
    <cellStyle name="Normal 5 3 3 2 7 2 3 2" xfId="39061" xr:uid="{04A4FE15-4B0E-413F-BE0E-1A98597AB654}"/>
    <cellStyle name="Normal 5 3 3 2 7 2 4" xfId="13720" xr:uid="{43DE0B0B-A396-4F9B-9426-B8A2B00E25F3}"/>
    <cellStyle name="Normal 5 3 3 2 7 2 5" xfId="30614" xr:uid="{BC700A80-9235-4AA8-98BF-9DBDA6734CE9}"/>
    <cellStyle name="Normal 5 3 3 2 7 3" xfId="6466" xr:uid="{00000000-0005-0000-0000-0000C2190000}"/>
    <cellStyle name="Normal 5 3 3 2 7 3 2" xfId="24239" xr:uid="{7DF889DF-3FA2-4246-A24E-2F464655F7A1}"/>
    <cellStyle name="Normal 5 3 3 2 7 3 2 2" xfId="41133" xr:uid="{7890F50F-5F87-42C3-83A2-EBD5ACD9DBFD}"/>
    <cellStyle name="Normal 5 3 3 2 7 3 3" xfId="15792" xr:uid="{64741AFD-5E77-4717-A9C6-BE3FCCF1BF07}"/>
    <cellStyle name="Normal 5 3 3 2 7 3 4" xfId="32686" xr:uid="{4E15E6A9-F775-4BE1-B040-794F12A17B33}"/>
    <cellStyle name="Normal 5 3 3 2 7 4" xfId="20022" xr:uid="{7E395793-5DB7-4656-BCF7-2A5610ECFDAF}"/>
    <cellStyle name="Normal 5 3 3 2 7 4 2" xfId="36916" xr:uid="{DD068EBF-8988-4938-9F3D-0E86BEDE7802}"/>
    <cellStyle name="Normal 5 3 3 2 7 5" xfId="11575" xr:uid="{60402B70-DB35-4A03-82FC-762EEE5A7B14}"/>
    <cellStyle name="Normal 5 3 3 2 7 6" xfId="28469" xr:uid="{6132915C-F944-4037-9B50-32CDDE77FC9D}"/>
    <cellStyle name="Normal 5 3 3 2 8" xfId="2596" xr:uid="{00000000-0005-0000-0000-0000C3190000}"/>
    <cellStyle name="Normal 5 3 3 2 8 2" xfId="6879" xr:uid="{00000000-0005-0000-0000-0000C4190000}"/>
    <cellStyle name="Normal 5 3 3 2 8 2 2" xfId="24652" xr:uid="{813AD50F-AD87-4DDA-8B65-0D823FFACB5E}"/>
    <cellStyle name="Normal 5 3 3 2 8 2 2 2" xfId="41546" xr:uid="{6A46F830-A9C3-4B6F-9A15-67D58BF00FA8}"/>
    <cellStyle name="Normal 5 3 3 2 8 2 3" xfId="16205" xr:uid="{D9EFEFC6-DA7B-41A7-91A5-E23BA0B466D5}"/>
    <cellStyle name="Normal 5 3 3 2 8 2 4" xfId="33099" xr:uid="{14592841-9678-4DD7-8341-8909A404CA11}"/>
    <cellStyle name="Normal 5 3 3 2 8 3" xfId="20435" xr:uid="{7C080179-16E5-4CE1-B059-20DF31DF9F13}"/>
    <cellStyle name="Normal 5 3 3 2 8 3 2" xfId="37329" xr:uid="{556BA7EE-5A7C-4438-90E5-E51580DEFE99}"/>
    <cellStyle name="Normal 5 3 3 2 8 4" xfId="11988" xr:uid="{2B94A725-3A69-4999-BA3B-F8E596767A70}"/>
    <cellStyle name="Normal 5 3 3 2 8 5" xfId="28882" xr:uid="{695F59EB-634F-43C7-B2CF-DC0EC82EA1FA}"/>
    <cellStyle name="Normal 5 3 3 2 9" xfId="4814" xr:uid="{00000000-0005-0000-0000-0000C5190000}"/>
    <cellStyle name="Normal 5 3 3 2 9 2" xfId="22587" xr:uid="{5187C01B-05D0-4467-9FC8-708B90540251}"/>
    <cellStyle name="Normal 5 3 3 2 9 2 2" xfId="39481" xr:uid="{2F364933-C864-48EB-BEC3-D45EFC90690A}"/>
    <cellStyle name="Normal 5 3 3 2 9 3" xfId="14140" xr:uid="{F09BF2E8-BFCA-483C-AF9E-0B44EA578764}"/>
    <cellStyle name="Normal 5 3 3 2 9 4" xfId="31034" xr:uid="{E3542C95-F7BD-4BBE-A1E8-D786B7626061}"/>
    <cellStyle name="Normal 5 3 3 3" xfId="446" xr:uid="{00000000-0005-0000-0000-0000C6190000}"/>
    <cellStyle name="Normal 5 3 3 3 10" xfId="9927" xr:uid="{02B3BE32-62E5-4BBF-A133-0FF665F8D5E0}"/>
    <cellStyle name="Normal 5 3 3 3 11" xfId="26821" xr:uid="{8F11FF9E-6BFC-4DC3-BC15-71B185E8C4D4}"/>
    <cellStyle name="Normal 5 3 3 3 2" xfId="447" xr:uid="{00000000-0005-0000-0000-0000C7190000}"/>
    <cellStyle name="Normal 5 3 3 3 2 10" xfId="26822" xr:uid="{F3FBAFC9-C493-4B93-AED8-618A16A7E49E}"/>
    <cellStyle name="Normal 5 3 3 3 2 2" xfId="921" xr:uid="{00000000-0005-0000-0000-0000C8190000}"/>
    <cellStyle name="Normal 5 3 3 3 2 2 2" xfId="3155" xr:uid="{00000000-0005-0000-0000-0000C9190000}"/>
    <cellStyle name="Normal 5 3 3 3 2 2 2 2" xfId="7377" xr:uid="{00000000-0005-0000-0000-0000CA190000}"/>
    <cellStyle name="Normal 5 3 3 3 2 2 2 2 2" xfId="25150" xr:uid="{7784AF82-D60D-4C90-B238-525EE47038B3}"/>
    <cellStyle name="Normal 5 3 3 3 2 2 2 2 2 2" xfId="42044" xr:uid="{248DD4C6-0FA5-41C4-B931-DC163F8970A8}"/>
    <cellStyle name="Normal 5 3 3 3 2 2 2 2 3" xfId="16703" xr:uid="{8106FD26-8818-4E39-9A1C-967F6D272336}"/>
    <cellStyle name="Normal 5 3 3 3 2 2 2 2 4" xfId="33597" xr:uid="{4DF5D75A-E78A-42C8-AAD2-D229709AD48A}"/>
    <cellStyle name="Normal 5 3 3 3 2 2 2 3" xfId="20933" xr:uid="{548D846D-3D0B-4551-9224-5F7FCE0DFD61}"/>
    <cellStyle name="Normal 5 3 3 3 2 2 2 3 2" xfId="37827" xr:uid="{BFD25995-3787-45C1-B068-608B33D9B0C0}"/>
    <cellStyle name="Normal 5 3 3 3 2 2 2 4" xfId="12486" xr:uid="{85DEABCF-F95A-4420-B0BC-6862B59E95EB}"/>
    <cellStyle name="Normal 5 3 3 3 2 2 2 5" xfId="29380" xr:uid="{5E392E46-6A9B-4775-B1AB-9B9D5E5A2494}"/>
    <cellStyle name="Normal 5 3 3 3 2 2 3" xfId="5232" xr:uid="{00000000-0005-0000-0000-0000CB190000}"/>
    <cellStyle name="Normal 5 3 3 3 2 2 3 2" xfId="23005" xr:uid="{88851266-45D3-46FE-8F36-2F7D62621D05}"/>
    <cellStyle name="Normal 5 3 3 3 2 2 3 2 2" xfId="39899" xr:uid="{D2B48129-FB9B-49B2-854D-9CE66BE00E35}"/>
    <cellStyle name="Normal 5 3 3 3 2 2 3 3" xfId="14558" xr:uid="{78124D5F-E7D1-4A13-AD50-D8573CB48AAD}"/>
    <cellStyle name="Normal 5 3 3 3 2 2 3 4" xfId="31452" xr:uid="{B65F53AF-11B0-4E02-97B7-BBD97354B5CF}"/>
    <cellStyle name="Normal 5 3 3 3 2 2 4" xfId="9517" xr:uid="{EA62A3B1-8ED5-4A6F-ACE0-B924BC16AA9E}"/>
    <cellStyle name="Normal 5 3 3 3 2 2 4 2" xfId="18788" xr:uid="{2855C2EF-87BE-4527-8AFD-F95A65519DA5}"/>
    <cellStyle name="Normal 5 3 3 3 2 2 4 3" xfId="35682" xr:uid="{7F1270FB-F7FD-409B-BF74-B616CDD5AD3F}"/>
    <cellStyle name="Normal 5 3 3 3 2 2 5" xfId="10341" xr:uid="{5E03FA3B-3134-4F9F-8D02-0C60E172BCF1}"/>
    <cellStyle name="Normal 5 3 3 3 2 2 6" xfId="27235" xr:uid="{DD7868A8-B5AE-4EFA-9AB8-CE358FFF59E8}"/>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2 2 2" xfId="25563" xr:uid="{E6F19D73-7706-4CDD-B15C-879AF62ABAE4}"/>
    <cellStyle name="Normal 5 3 3 3 2 3 2 2 2 2" xfId="42457" xr:uid="{15FA3984-26DD-425A-9E63-43DA6BAB4BAB}"/>
    <cellStyle name="Normal 5 3 3 3 2 3 2 2 3" xfId="17116" xr:uid="{FF9AE7A2-F5B1-4E7B-9A6A-EABA8F2E3C31}"/>
    <cellStyle name="Normal 5 3 3 3 2 3 2 2 4" xfId="34010" xr:uid="{31D14023-6D54-4E0E-8958-E749162009D6}"/>
    <cellStyle name="Normal 5 3 3 3 2 3 2 3" xfId="21346" xr:uid="{B466EDC5-E5AB-4ED5-94B9-5CF89FC9D72D}"/>
    <cellStyle name="Normal 5 3 3 3 2 3 2 3 2" xfId="38240" xr:uid="{1E2477CE-DA5F-45D0-A14D-A5CACA2B390D}"/>
    <cellStyle name="Normal 5 3 3 3 2 3 2 4" xfId="12899" xr:uid="{588B252E-0498-42BC-BE44-DFC78C4E70C4}"/>
    <cellStyle name="Normal 5 3 3 3 2 3 2 5" xfId="29793" xr:uid="{DD0EE588-31D3-412C-89FD-BDF50CD65C8F}"/>
    <cellStyle name="Normal 5 3 3 3 2 3 3" xfId="5645" xr:uid="{00000000-0005-0000-0000-0000CF190000}"/>
    <cellStyle name="Normal 5 3 3 3 2 3 3 2" xfId="23418" xr:uid="{F3E084BD-C689-43DF-A3FA-A19B89D341C8}"/>
    <cellStyle name="Normal 5 3 3 3 2 3 3 2 2" xfId="40312" xr:uid="{7861ABFA-4FE6-49AE-A81D-34FC5E925805}"/>
    <cellStyle name="Normal 5 3 3 3 2 3 3 3" xfId="14971" xr:uid="{F14AC796-6737-4B22-9FDB-E6DEA236B389}"/>
    <cellStyle name="Normal 5 3 3 3 2 3 3 4" xfId="31865" xr:uid="{6827A220-6E66-4839-8569-6D5519C5639E}"/>
    <cellStyle name="Normal 5 3 3 3 2 3 4" xfId="19201" xr:uid="{769E5BE1-2A41-4E16-A249-3264C9FE2C7F}"/>
    <cellStyle name="Normal 5 3 3 3 2 3 4 2" xfId="36095" xr:uid="{0571B502-9A5C-4A72-B401-7E5B9FBB55B2}"/>
    <cellStyle name="Normal 5 3 3 3 2 3 5" xfId="10754" xr:uid="{8A24E836-33C0-426C-9046-DD3DAE130EC9}"/>
    <cellStyle name="Normal 5 3 3 3 2 3 6" xfId="27648" xr:uid="{EF302571-37CD-4BA3-8537-BA07DF93652B}"/>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2 2 2" xfId="25976" xr:uid="{242B7DA9-4091-4871-9219-D2FF73F058BE}"/>
    <cellStyle name="Normal 5 3 3 3 2 4 2 2 2 2" xfId="42870" xr:uid="{2AEE75FF-B910-4FDF-8F75-87FE88393914}"/>
    <cellStyle name="Normal 5 3 3 3 2 4 2 2 3" xfId="17529" xr:uid="{230FD361-0647-4D89-9AE7-1CFF583EF3AE}"/>
    <cellStyle name="Normal 5 3 3 3 2 4 2 2 4" xfId="34423" xr:uid="{E858E79E-E1A5-44D7-A68A-61DCCB7AC040}"/>
    <cellStyle name="Normal 5 3 3 3 2 4 2 3" xfId="21759" xr:uid="{6FD512D7-BB1F-4908-A295-C458121EDCB5}"/>
    <cellStyle name="Normal 5 3 3 3 2 4 2 3 2" xfId="38653" xr:uid="{D8E1AC85-ED4D-41E6-9EDF-FBE6B5B4E717}"/>
    <cellStyle name="Normal 5 3 3 3 2 4 2 4" xfId="13312" xr:uid="{0C0AA501-28DF-4D59-BF75-6AFC3AD7FEF3}"/>
    <cellStyle name="Normal 5 3 3 3 2 4 2 5" xfId="30206" xr:uid="{860CB76C-66C6-4C38-B215-59D6FD0583CC}"/>
    <cellStyle name="Normal 5 3 3 3 2 4 3" xfId="6058" xr:uid="{00000000-0005-0000-0000-0000D3190000}"/>
    <cellStyle name="Normal 5 3 3 3 2 4 3 2" xfId="23831" xr:uid="{78DB58F6-FA05-4EE0-A443-4EC9E1BA2F97}"/>
    <cellStyle name="Normal 5 3 3 3 2 4 3 2 2" xfId="40725" xr:uid="{5AD18A64-E4B7-4773-8581-12B4062933F8}"/>
    <cellStyle name="Normal 5 3 3 3 2 4 3 3" xfId="15384" xr:uid="{54D5866A-99B2-45A1-82EC-DF822B7D35BA}"/>
    <cellStyle name="Normal 5 3 3 3 2 4 3 4" xfId="32278" xr:uid="{54E69DA3-8A67-428C-AF0B-B1AD2F48F183}"/>
    <cellStyle name="Normal 5 3 3 3 2 4 4" xfId="19614" xr:uid="{CBF39F41-DE9B-486C-95F2-64AE56AA4D85}"/>
    <cellStyle name="Normal 5 3 3 3 2 4 4 2" xfId="36508" xr:uid="{24C505DF-5DFB-47EA-8910-50F467887DD5}"/>
    <cellStyle name="Normal 5 3 3 3 2 4 5" xfId="11167" xr:uid="{DAA3A3CA-CEFB-43AE-AC62-9D8731C245B8}"/>
    <cellStyle name="Normal 5 3 3 3 2 4 6" xfId="28061" xr:uid="{7FD4B9F1-72D2-4212-B3CC-AD32697FFFD5}"/>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2 2 2" xfId="26389" xr:uid="{609D3119-48F8-4C46-BF04-C6E640BC5FC4}"/>
    <cellStyle name="Normal 5 3 3 3 2 5 2 2 2 2" xfId="43283" xr:uid="{860BA950-3285-4553-AD82-C16EFEE3D03B}"/>
    <cellStyle name="Normal 5 3 3 3 2 5 2 2 3" xfId="17942" xr:uid="{E51BEB44-F186-4BC2-BDA6-DC7D4954C45B}"/>
    <cellStyle name="Normal 5 3 3 3 2 5 2 2 4" xfId="34836" xr:uid="{D23DBA68-DDFD-431D-82AF-52D3DBE0A74B}"/>
    <cellStyle name="Normal 5 3 3 3 2 5 2 3" xfId="22172" xr:uid="{CA3F81E8-8169-41F8-BAD7-E4F46AAEFCC9}"/>
    <cellStyle name="Normal 5 3 3 3 2 5 2 3 2" xfId="39066" xr:uid="{939C9F99-A690-48DD-9069-5D2EAB111918}"/>
    <cellStyle name="Normal 5 3 3 3 2 5 2 4" xfId="13725" xr:uid="{568C1F74-9E0C-403A-87DD-B47262C2502B}"/>
    <cellStyle name="Normal 5 3 3 3 2 5 2 5" xfId="30619" xr:uid="{B1B80E75-3749-46D1-84B8-D9C38AB45005}"/>
    <cellStyle name="Normal 5 3 3 3 2 5 3" xfId="6471" xr:uid="{00000000-0005-0000-0000-0000D7190000}"/>
    <cellStyle name="Normal 5 3 3 3 2 5 3 2" xfId="24244" xr:uid="{4BC3078C-8378-4379-B32C-24DC6483B783}"/>
    <cellStyle name="Normal 5 3 3 3 2 5 3 2 2" xfId="41138" xr:uid="{9CFF2A0A-833C-4054-9985-5B3D78AA3D03}"/>
    <cellStyle name="Normal 5 3 3 3 2 5 3 3" xfId="15797" xr:uid="{3DF3B8AC-0609-4B31-B08C-997EF864B5AC}"/>
    <cellStyle name="Normal 5 3 3 3 2 5 3 4" xfId="32691" xr:uid="{38A1358F-BBA7-44CD-8C75-7868C16BB76A}"/>
    <cellStyle name="Normal 5 3 3 3 2 5 4" xfId="20027" xr:uid="{7CBD863A-7457-4CDA-A779-2B37454A9B11}"/>
    <cellStyle name="Normal 5 3 3 3 2 5 4 2" xfId="36921" xr:uid="{A4F87965-792D-4EFA-8C47-C4A1F6817D1E}"/>
    <cellStyle name="Normal 5 3 3 3 2 5 5" xfId="11580" xr:uid="{4B4DB6B2-D400-4A18-9061-202E725B6F23}"/>
    <cellStyle name="Normal 5 3 3 3 2 5 6" xfId="28474" xr:uid="{69FC6991-C8D8-420C-973B-65D88EBA1CF0}"/>
    <cellStyle name="Normal 5 3 3 3 2 6" xfId="2601" xr:uid="{00000000-0005-0000-0000-0000D8190000}"/>
    <cellStyle name="Normal 5 3 3 3 2 6 2" xfId="6884" xr:uid="{00000000-0005-0000-0000-0000D9190000}"/>
    <cellStyle name="Normal 5 3 3 3 2 6 2 2" xfId="24657" xr:uid="{9C86394F-1978-4016-BE9F-C621E920CCF2}"/>
    <cellStyle name="Normal 5 3 3 3 2 6 2 2 2" xfId="41551" xr:uid="{AD785C6A-3A0D-4866-8DCC-86F7FC409216}"/>
    <cellStyle name="Normal 5 3 3 3 2 6 2 3" xfId="16210" xr:uid="{DB671553-3207-48B5-A0AF-CF71A7F6E2EC}"/>
    <cellStyle name="Normal 5 3 3 3 2 6 2 4" xfId="33104" xr:uid="{90D34D25-92A1-46C6-BD0F-F85D748F31A7}"/>
    <cellStyle name="Normal 5 3 3 3 2 6 3" xfId="20440" xr:uid="{DCCC6D09-8B8E-4415-96D7-BD9B02F07376}"/>
    <cellStyle name="Normal 5 3 3 3 2 6 3 2" xfId="37334" xr:uid="{BB788796-3C4B-44E0-84C7-BEC133F6ED6D}"/>
    <cellStyle name="Normal 5 3 3 3 2 6 4" xfId="11993" xr:uid="{96EF09A0-ADCD-4E75-9340-34EBCF63AB16}"/>
    <cellStyle name="Normal 5 3 3 3 2 6 5" xfId="28887" xr:uid="{1B551345-F2A9-48D8-BF54-5FAFDFC06807}"/>
    <cellStyle name="Normal 5 3 3 3 2 7" xfId="4819" xr:uid="{00000000-0005-0000-0000-0000DA190000}"/>
    <cellStyle name="Normal 5 3 3 3 2 7 2" xfId="22592" xr:uid="{B17F5F6D-9EFC-4ACE-AB9C-99FBE25A5B75}"/>
    <cellStyle name="Normal 5 3 3 3 2 7 2 2" xfId="39486" xr:uid="{C6327FB4-AA2F-42D5-80B3-7569A1EC19FF}"/>
    <cellStyle name="Normal 5 3 3 3 2 7 3" xfId="14145" xr:uid="{8693FDC8-1041-459F-8F43-1BA9BE3F0BBF}"/>
    <cellStyle name="Normal 5 3 3 3 2 7 4" xfId="31039" xr:uid="{9EEE45B5-D2A0-4E72-A814-2DDFC28968B3}"/>
    <cellStyle name="Normal 5 3 3 3 2 8" xfId="9092" xr:uid="{A018BC5E-3880-4BA4-8CFB-322C89A13B5F}"/>
    <cellStyle name="Normal 5 3 3 3 2 8 2" xfId="18375" xr:uid="{F08B55D1-03AC-40A6-9FD3-29C0641DF70B}"/>
    <cellStyle name="Normal 5 3 3 3 2 8 3" xfId="35269" xr:uid="{9AA9EAB6-A80B-461C-A3E0-0C0BA25D20C1}"/>
    <cellStyle name="Normal 5 3 3 3 2 9" xfId="9928" xr:uid="{A3D92261-CBC9-462E-8DC7-DE0042B57620}"/>
    <cellStyle name="Normal 5 3 3 3 3" xfId="920" xr:uid="{00000000-0005-0000-0000-0000DB190000}"/>
    <cellStyle name="Normal 5 3 3 3 3 2" xfId="3154" xr:uid="{00000000-0005-0000-0000-0000DC190000}"/>
    <cellStyle name="Normal 5 3 3 3 3 2 2" xfId="7376" xr:uid="{00000000-0005-0000-0000-0000DD190000}"/>
    <cellStyle name="Normal 5 3 3 3 3 2 2 2" xfId="25149" xr:uid="{54683FD1-8178-4A34-A654-998A5EDA5C10}"/>
    <cellStyle name="Normal 5 3 3 3 3 2 2 2 2" xfId="42043" xr:uid="{9D88DF15-5E01-4DC1-A763-A2A5846A7BC5}"/>
    <cellStyle name="Normal 5 3 3 3 3 2 2 3" xfId="16702" xr:uid="{22D7DEA9-870F-42E6-B66C-D0C05CBAA72E}"/>
    <cellStyle name="Normal 5 3 3 3 3 2 2 4" xfId="33596" xr:uid="{6906BBC2-ABD7-4C04-9D53-47FBE43A2BF5}"/>
    <cellStyle name="Normal 5 3 3 3 3 2 3" xfId="20932" xr:uid="{B13C568E-D734-4190-9E2B-99ADBD93A726}"/>
    <cellStyle name="Normal 5 3 3 3 3 2 3 2" xfId="37826" xr:uid="{3E117227-D279-4A96-AE72-63E6D8578BCF}"/>
    <cellStyle name="Normal 5 3 3 3 3 2 4" xfId="12485" xr:uid="{5BFB5D00-9C62-4C5B-AF49-CD13C4F06A32}"/>
    <cellStyle name="Normal 5 3 3 3 3 2 5" xfId="29379" xr:uid="{E45268D4-0117-463D-B1C2-D1B98D89E389}"/>
    <cellStyle name="Normal 5 3 3 3 3 3" xfId="5231" xr:uid="{00000000-0005-0000-0000-0000DE190000}"/>
    <cellStyle name="Normal 5 3 3 3 3 3 2" xfId="23004" xr:uid="{7FEAE47E-2F25-48D3-994A-D10C5B352B68}"/>
    <cellStyle name="Normal 5 3 3 3 3 3 2 2" xfId="39898" xr:uid="{64653689-066B-4FAD-8C1A-8D745F91A8E5}"/>
    <cellStyle name="Normal 5 3 3 3 3 3 3" xfId="14557" xr:uid="{D7F46432-56B6-4922-AE7E-B4B8E2F47648}"/>
    <cellStyle name="Normal 5 3 3 3 3 3 4" xfId="31451" xr:uid="{1A25B4D4-14A0-4EA0-A2CF-AEC87AF66DEA}"/>
    <cellStyle name="Normal 5 3 3 3 3 4" xfId="9310" xr:uid="{D169C31A-17C5-4934-97DF-D90479FD2654}"/>
    <cellStyle name="Normal 5 3 3 3 3 4 2" xfId="18787" xr:uid="{9642DFA7-BB30-426E-B0EF-D08E7C953A3D}"/>
    <cellStyle name="Normal 5 3 3 3 3 4 3" xfId="35681" xr:uid="{417708DE-ABC5-4370-A2E2-6CF45CC8329B}"/>
    <cellStyle name="Normal 5 3 3 3 3 5" xfId="10340" xr:uid="{F8C5D9AF-7169-401E-9CDD-38D7C069B8DA}"/>
    <cellStyle name="Normal 5 3 3 3 3 6" xfId="27234" xr:uid="{57D22976-BB05-4596-8B0B-4399566D7F1C}"/>
    <cellStyle name="Normal 5 3 3 3 4" xfId="1337" xr:uid="{00000000-0005-0000-0000-0000DF190000}"/>
    <cellStyle name="Normal 5 3 3 3 4 2" xfId="3567" xr:uid="{00000000-0005-0000-0000-0000E0190000}"/>
    <cellStyle name="Normal 5 3 3 3 4 2 2" xfId="7789" xr:uid="{00000000-0005-0000-0000-0000E1190000}"/>
    <cellStyle name="Normal 5 3 3 3 4 2 2 2" xfId="25562" xr:uid="{1A34FB3B-7218-4618-89DC-EFDE9B1299E4}"/>
    <cellStyle name="Normal 5 3 3 3 4 2 2 2 2" xfId="42456" xr:uid="{36024848-FDD5-46D6-B3D8-94B50A55B751}"/>
    <cellStyle name="Normal 5 3 3 3 4 2 2 3" xfId="17115" xr:uid="{8937B383-D9FF-49FF-B6AA-6CD5112A4364}"/>
    <cellStyle name="Normal 5 3 3 3 4 2 2 4" xfId="34009" xr:uid="{819181AD-9A0B-403F-AC2F-219F6A578A63}"/>
    <cellStyle name="Normal 5 3 3 3 4 2 3" xfId="21345" xr:uid="{71FE4292-9FEC-4824-9705-B39098C240DB}"/>
    <cellStyle name="Normal 5 3 3 3 4 2 3 2" xfId="38239" xr:uid="{C30BEA62-D12C-4395-AA8F-AC1A96C0D6EC}"/>
    <cellStyle name="Normal 5 3 3 3 4 2 4" xfId="12898" xr:uid="{1A8292F0-2033-4F42-AAFB-B06C2E428676}"/>
    <cellStyle name="Normal 5 3 3 3 4 2 5" xfId="29792" xr:uid="{AAEBEB23-FC34-4B0E-A507-6387BDBDC9A9}"/>
    <cellStyle name="Normal 5 3 3 3 4 3" xfId="5644" xr:uid="{00000000-0005-0000-0000-0000E2190000}"/>
    <cellStyle name="Normal 5 3 3 3 4 3 2" xfId="23417" xr:uid="{9804CCBC-F004-4FCD-A490-A1B20AF3FEC0}"/>
    <cellStyle name="Normal 5 3 3 3 4 3 2 2" xfId="40311" xr:uid="{74C163B6-C3E0-4276-A81B-3446CE3DC67D}"/>
    <cellStyle name="Normal 5 3 3 3 4 3 3" xfId="14970" xr:uid="{B44D7960-1F28-441F-BE49-30749707C7BB}"/>
    <cellStyle name="Normal 5 3 3 3 4 3 4" xfId="31864" xr:uid="{CA1E13D3-9BBE-4AB7-8432-317C279CBE11}"/>
    <cellStyle name="Normal 5 3 3 3 4 4" xfId="19200" xr:uid="{00FA5A72-CC29-4A6A-9214-9687EF76B7FE}"/>
    <cellStyle name="Normal 5 3 3 3 4 4 2" xfId="36094" xr:uid="{06E72CE6-CD86-43A4-9E12-876E37D5C9FB}"/>
    <cellStyle name="Normal 5 3 3 3 4 5" xfId="10753" xr:uid="{5988A97C-F218-42A7-B529-EEAEF6B5163B}"/>
    <cellStyle name="Normal 5 3 3 3 4 6" xfId="27647" xr:uid="{FB5F9F1E-59F4-4DF7-89DF-F94C688A71A1}"/>
    <cellStyle name="Normal 5 3 3 3 5" xfId="1750" xr:uid="{00000000-0005-0000-0000-0000E3190000}"/>
    <cellStyle name="Normal 5 3 3 3 5 2" xfId="3980" xr:uid="{00000000-0005-0000-0000-0000E4190000}"/>
    <cellStyle name="Normal 5 3 3 3 5 2 2" xfId="8202" xr:uid="{00000000-0005-0000-0000-0000E5190000}"/>
    <cellStyle name="Normal 5 3 3 3 5 2 2 2" xfId="25975" xr:uid="{7624155A-70A8-4DD2-A920-5F7E5052E093}"/>
    <cellStyle name="Normal 5 3 3 3 5 2 2 2 2" xfId="42869" xr:uid="{58F8F9CF-85C2-4C39-BD21-4367D652317F}"/>
    <cellStyle name="Normal 5 3 3 3 5 2 2 3" xfId="17528" xr:uid="{B1610F3E-88DD-44E2-A71C-A327DA238FFA}"/>
    <cellStyle name="Normal 5 3 3 3 5 2 2 4" xfId="34422" xr:uid="{22A3E293-EFA1-4571-8C95-9586C0A60991}"/>
    <cellStyle name="Normal 5 3 3 3 5 2 3" xfId="21758" xr:uid="{D2C3DD05-9B6B-4D84-A52A-9F39923B52A7}"/>
    <cellStyle name="Normal 5 3 3 3 5 2 3 2" xfId="38652" xr:uid="{7102BEE9-8784-43B2-9AA5-0DE32FB237EB}"/>
    <cellStyle name="Normal 5 3 3 3 5 2 4" xfId="13311" xr:uid="{4C4077CC-9853-4B0E-80AD-6FB7E146A4B6}"/>
    <cellStyle name="Normal 5 3 3 3 5 2 5" xfId="30205" xr:uid="{CC7687D8-1F9C-45B0-8295-422EE99208B5}"/>
    <cellStyle name="Normal 5 3 3 3 5 3" xfId="6057" xr:uid="{00000000-0005-0000-0000-0000E6190000}"/>
    <cellStyle name="Normal 5 3 3 3 5 3 2" xfId="23830" xr:uid="{74A89E72-EF1D-4140-927D-12882136D60D}"/>
    <cellStyle name="Normal 5 3 3 3 5 3 2 2" xfId="40724" xr:uid="{E22EB72C-E408-4558-A026-2EF78220DED1}"/>
    <cellStyle name="Normal 5 3 3 3 5 3 3" xfId="15383" xr:uid="{AA240272-8859-42E9-9067-C788CF2E41CD}"/>
    <cellStyle name="Normal 5 3 3 3 5 3 4" xfId="32277" xr:uid="{2A70D9D3-0B41-49D1-9343-970797CAE09D}"/>
    <cellStyle name="Normal 5 3 3 3 5 4" xfId="19613" xr:uid="{6428AF82-63B3-456A-9273-568C774655D5}"/>
    <cellStyle name="Normal 5 3 3 3 5 4 2" xfId="36507" xr:uid="{F77BE35A-8E55-49FF-BDA2-5828F747DC15}"/>
    <cellStyle name="Normal 5 3 3 3 5 5" xfId="11166" xr:uid="{D4F8B831-A2D6-4EEC-8B35-973DA28D5FD8}"/>
    <cellStyle name="Normal 5 3 3 3 5 6" xfId="28060" xr:uid="{9CD234FF-C63A-4D33-80EA-CD63DCDF679B}"/>
    <cellStyle name="Normal 5 3 3 3 6" xfId="2164" xr:uid="{00000000-0005-0000-0000-0000E7190000}"/>
    <cellStyle name="Normal 5 3 3 3 6 2" xfId="4393" xr:uid="{00000000-0005-0000-0000-0000E8190000}"/>
    <cellStyle name="Normal 5 3 3 3 6 2 2" xfId="8615" xr:uid="{00000000-0005-0000-0000-0000E9190000}"/>
    <cellStyle name="Normal 5 3 3 3 6 2 2 2" xfId="26388" xr:uid="{AFB2F9F1-9F61-4CC9-B6FD-D320E5C4AB89}"/>
    <cellStyle name="Normal 5 3 3 3 6 2 2 2 2" xfId="43282" xr:uid="{3F3D2BB1-28CF-4E89-A0ED-992D0D701EDB}"/>
    <cellStyle name="Normal 5 3 3 3 6 2 2 3" xfId="17941" xr:uid="{27F3659C-B1C0-4264-BCFC-DF0F4996DB13}"/>
    <cellStyle name="Normal 5 3 3 3 6 2 2 4" xfId="34835" xr:uid="{8F83AC4E-75E5-48AA-AB92-A3A80ABB94D2}"/>
    <cellStyle name="Normal 5 3 3 3 6 2 3" xfId="22171" xr:uid="{119E9C0E-1078-4E4C-B830-956AE0464195}"/>
    <cellStyle name="Normal 5 3 3 3 6 2 3 2" xfId="39065" xr:uid="{8EFBCEFB-AC35-455C-A0F2-E43CDCDA9E21}"/>
    <cellStyle name="Normal 5 3 3 3 6 2 4" xfId="13724" xr:uid="{0ADA3589-3132-4F46-83DC-D7644DE1BC96}"/>
    <cellStyle name="Normal 5 3 3 3 6 2 5" xfId="30618" xr:uid="{DF7522A4-7D43-4943-A092-BF473E2CD7B8}"/>
    <cellStyle name="Normal 5 3 3 3 6 3" xfId="6470" xr:uid="{00000000-0005-0000-0000-0000EA190000}"/>
    <cellStyle name="Normal 5 3 3 3 6 3 2" xfId="24243" xr:uid="{B6157D6D-7613-43FC-8B84-AA977E2601CB}"/>
    <cellStyle name="Normal 5 3 3 3 6 3 2 2" xfId="41137" xr:uid="{3375CA57-3668-4E6D-A677-11FAF704C7CD}"/>
    <cellStyle name="Normal 5 3 3 3 6 3 3" xfId="15796" xr:uid="{BC9EE4C2-08D9-4CEC-A5FB-0292988D322A}"/>
    <cellStyle name="Normal 5 3 3 3 6 3 4" xfId="32690" xr:uid="{73643A96-3AFA-41B7-9C27-87DC6552959A}"/>
    <cellStyle name="Normal 5 3 3 3 6 4" xfId="20026" xr:uid="{6E90D8E9-8AB8-4F83-A59E-5FEFDAAFAF97}"/>
    <cellStyle name="Normal 5 3 3 3 6 4 2" xfId="36920" xr:uid="{61928009-ABE9-4625-A434-AF9D6BB9E153}"/>
    <cellStyle name="Normal 5 3 3 3 6 5" xfId="11579" xr:uid="{4D9B2ECA-51F7-4D4D-9F98-CC845E594E98}"/>
    <cellStyle name="Normal 5 3 3 3 6 6" xfId="28473" xr:uid="{9CC086EF-8C78-462D-B0A0-737B79229B18}"/>
    <cellStyle name="Normal 5 3 3 3 7" xfId="2600" xr:uid="{00000000-0005-0000-0000-0000EB190000}"/>
    <cellStyle name="Normal 5 3 3 3 7 2" xfId="6883" xr:uid="{00000000-0005-0000-0000-0000EC190000}"/>
    <cellStyle name="Normal 5 3 3 3 7 2 2" xfId="24656" xr:uid="{9EEC802C-3258-479F-B769-10DEDA10406A}"/>
    <cellStyle name="Normal 5 3 3 3 7 2 2 2" xfId="41550" xr:uid="{3316D91D-46BB-45AF-917B-3AC57594723A}"/>
    <cellStyle name="Normal 5 3 3 3 7 2 3" xfId="16209" xr:uid="{CAE1ED5D-1278-4A88-9444-2C791B8037C6}"/>
    <cellStyle name="Normal 5 3 3 3 7 2 4" xfId="33103" xr:uid="{9772DED9-56EB-4A24-A8B0-322E81F09578}"/>
    <cellStyle name="Normal 5 3 3 3 7 3" xfId="20439" xr:uid="{8BC89CCA-DC4D-4060-8E9D-BC6397CE738A}"/>
    <cellStyle name="Normal 5 3 3 3 7 3 2" xfId="37333" xr:uid="{6609FB85-520F-4A4B-83A1-4391A2CD05B1}"/>
    <cellStyle name="Normal 5 3 3 3 7 4" xfId="11992" xr:uid="{06B70F49-EE70-4209-8BDE-1265A9F6FCAB}"/>
    <cellStyle name="Normal 5 3 3 3 7 5" xfId="28886" xr:uid="{1EB312DC-2585-4B50-ACED-06CF9DED288A}"/>
    <cellStyle name="Normal 5 3 3 3 8" xfId="4818" xr:uid="{00000000-0005-0000-0000-0000ED190000}"/>
    <cellStyle name="Normal 5 3 3 3 8 2" xfId="22591" xr:uid="{C4DFFF57-2A78-42A8-B92F-C15C41C81528}"/>
    <cellStyle name="Normal 5 3 3 3 8 2 2" xfId="39485" xr:uid="{428E0DDC-A762-44DC-BEF4-CA12851C9CFE}"/>
    <cellStyle name="Normal 5 3 3 3 8 3" xfId="14144" xr:uid="{2C7C37F8-FCC9-45AE-8088-FBF6469B9FF9}"/>
    <cellStyle name="Normal 5 3 3 3 8 4" xfId="31038" xr:uid="{9CF3B389-F240-423E-851C-B7394A5D97D8}"/>
    <cellStyle name="Normal 5 3 3 3 9" xfId="8885" xr:uid="{BFA59703-C126-4DE9-A819-9190501D5C5B}"/>
    <cellStyle name="Normal 5 3 3 3 9 2" xfId="18374" xr:uid="{DACEDF93-7239-43EF-ABCA-16D7835BCE06}"/>
    <cellStyle name="Normal 5 3 3 3 9 3" xfId="35268" xr:uid="{98048993-BC9A-473F-ABC5-F0092F92B5B8}"/>
    <cellStyle name="Normal 5 3 3 4" xfId="448" xr:uid="{00000000-0005-0000-0000-0000EE190000}"/>
    <cellStyle name="Normal 5 3 3 4 10" xfId="26823" xr:uid="{BD1BAC06-509E-41E0-9477-FB7B715AF83B}"/>
    <cellStyle name="Normal 5 3 3 4 2" xfId="922" xr:uid="{00000000-0005-0000-0000-0000EF190000}"/>
    <cellStyle name="Normal 5 3 3 4 2 2" xfId="3156" xr:uid="{00000000-0005-0000-0000-0000F0190000}"/>
    <cellStyle name="Normal 5 3 3 4 2 2 2" xfId="7378" xr:uid="{00000000-0005-0000-0000-0000F1190000}"/>
    <cellStyle name="Normal 5 3 3 4 2 2 2 2" xfId="25151" xr:uid="{217C0EDD-9298-4A56-B4C8-3C27DB86C45F}"/>
    <cellStyle name="Normal 5 3 3 4 2 2 2 2 2" xfId="42045" xr:uid="{017CAF6B-631D-4D2B-83B8-5F6CF1BDF3EA}"/>
    <cellStyle name="Normal 5 3 3 4 2 2 2 3" xfId="16704" xr:uid="{4B40C2E7-8A4D-4588-AAF4-95DB4491C414}"/>
    <cellStyle name="Normal 5 3 3 4 2 2 2 4" xfId="33598" xr:uid="{5B2D4A72-9E07-4C58-9586-2C2F820EE7D6}"/>
    <cellStyle name="Normal 5 3 3 4 2 2 3" xfId="20934" xr:uid="{1A675D09-1555-4942-ACB7-6C5406C7E6E8}"/>
    <cellStyle name="Normal 5 3 3 4 2 2 3 2" xfId="37828" xr:uid="{2CE08B76-0833-417F-81DE-95F6569F5371}"/>
    <cellStyle name="Normal 5 3 3 4 2 2 4" xfId="12487" xr:uid="{D6F29BE7-32AD-43D8-8814-6C0C8A094012}"/>
    <cellStyle name="Normal 5 3 3 4 2 2 5" xfId="29381" xr:uid="{2FE5FB7F-77DD-4284-B09D-397DBAEBF7CE}"/>
    <cellStyle name="Normal 5 3 3 4 2 3" xfId="5233" xr:uid="{00000000-0005-0000-0000-0000F2190000}"/>
    <cellStyle name="Normal 5 3 3 4 2 3 2" xfId="23006" xr:uid="{D69801C8-8C56-427D-97F5-A0ABC59961B6}"/>
    <cellStyle name="Normal 5 3 3 4 2 3 2 2" xfId="39900" xr:uid="{11E20D45-A205-45BF-AA4C-DA91F30A3758}"/>
    <cellStyle name="Normal 5 3 3 4 2 3 3" xfId="14559" xr:uid="{AECB1D84-CF7E-49D7-A1A3-B139F982E2C8}"/>
    <cellStyle name="Normal 5 3 3 4 2 3 4" xfId="31453" xr:uid="{C575B05C-B467-4BDF-8CCF-1BB87FFFE875}"/>
    <cellStyle name="Normal 5 3 3 4 2 4" xfId="9414" xr:uid="{BD781A4C-FDA7-4D11-87F3-3D38EC19B37A}"/>
    <cellStyle name="Normal 5 3 3 4 2 4 2" xfId="18789" xr:uid="{307A16F6-E214-4D84-97D3-BEAB747A1115}"/>
    <cellStyle name="Normal 5 3 3 4 2 4 3" xfId="35683" xr:uid="{9FFE5934-907A-4FC5-BFAC-15D4B56A8E9D}"/>
    <cellStyle name="Normal 5 3 3 4 2 5" xfId="10342" xr:uid="{DFBDCC7B-041C-4E39-A334-2917A68E5FDE}"/>
    <cellStyle name="Normal 5 3 3 4 2 6" xfId="27236" xr:uid="{24D42281-3E6B-4058-92A6-3CC586F6D838}"/>
    <cellStyle name="Normal 5 3 3 4 3" xfId="1339" xr:uid="{00000000-0005-0000-0000-0000F3190000}"/>
    <cellStyle name="Normal 5 3 3 4 3 2" xfId="3569" xr:uid="{00000000-0005-0000-0000-0000F4190000}"/>
    <cellStyle name="Normal 5 3 3 4 3 2 2" xfId="7791" xr:uid="{00000000-0005-0000-0000-0000F5190000}"/>
    <cellStyle name="Normal 5 3 3 4 3 2 2 2" xfId="25564" xr:uid="{C82D7605-E964-4CE6-8AF0-C5F1AA4EFA3D}"/>
    <cellStyle name="Normal 5 3 3 4 3 2 2 2 2" xfId="42458" xr:uid="{5732EAE3-A045-44AD-8820-3CFCA97A2BE3}"/>
    <cellStyle name="Normal 5 3 3 4 3 2 2 3" xfId="17117" xr:uid="{D8C0166F-47E6-4613-B423-C216072E4C9F}"/>
    <cellStyle name="Normal 5 3 3 4 3 2 2 4" xfId="34011" xr:uid="{A2448FA3-AD5C-49E5-866A-E848FED02CFB}"/>
    <cellStyle name="Normal 5 3 3 4 3 2 3" xfId="21347" xr:uid="{301123C3-91BE-42E3-A85F-7E822A979E2D}"/>
    <cellStyle name="Normal 5 3 3 4 3 2 3 2" xfId="38241" xr:uid="{4D0EBF35-9C0E-4FCC-8FC9-281D8B10AFD6}"/>
    <cellStyle name="Normal 5 3 3 4 3 2 4" xfId="12900" xr:uid="{210F6457-7C2B-4ECC-8203-9C86BB852A29}"/>
    <cellStyle name="Normal 5 3 3 4 3 2 5" xfId="29794" xr:uid="{4107F431-2F5A-4244-8350-B8352DDD9211}"/>
    <cellStyle name="Normal 5 3 3 4 3 3" xfId="5646" xr:uid="{00000000-0005-0000-0000-0000F6190000}"/>
    <cellStyle name="Normal 5 3 3 4 3 3 2" xfId="23419" xr:uid="{F5289071-32A0-4F74-AABC-FAE67891C9B9}"/>
    <cellStyle name="Normal 5 3 3 4 3 3 2 2" xfId="40313" xr:uid="{57F794C9-AAEE-4172-A07B-7B60254D168F}"/>
    <cellStyle name="Normal 5 3 3 4 3 3 3" xfId="14972" xr:uid="{0DE4FC7D-9FF7-4A70-BBA2-022B1298DD47}"/>
    <cellStyle name="Normal 5 3 3 4 3 3 4" xfId="31866" xr:uid="{4C01579D-ED4E-44BC-8723-B2A3258CDAE2}"/>
    <cellStyle name="Normal 5 3 3 4 3 4" xfId="19202" xr:uid="{41AAC50D-21D2-4389-8ED3-364499574AD6}"/>
    <cellStyle name="Normal 5 3 3 4 3 4 2" xfId="36096" xr:uid="{FA95F649-70A0-4FE4-AE9D-702209EE806D}"/>
    <cellStyle name="Normal 5 3 3 4 3 5" xfId="10755" xr:uid="{C05A14DF-A8BB-4EB3-AD2B-04F83CB916ED}"/>
    <cellStyle name="Normal 5 3 3 4 3 6" xfId="27649" xr:uid="{1678079D-74A3-48E2-A380-F24135446077}"/>
    <cellStyle name="Normal 5 3 3 4 4" xfId="1752" xr:uid="{00000000-0005-0000-0000-0000F7190000}"/>
    <cellStyle name="Normal 5 3 3 4 4 2" xfId="3982" xr:uid="{00000000-0005-0000-0000-0000F8190000}"/>
    <cellStyle name="Normal 5 3 3 4 4 2 2" xfId="8204" xr:uid="{00000000-0005-0000-0000-0000F9190000}"/>
    <cellStyle name="Normal 5 3 3 4 4 2 2 2" xfId="25977" xr:uid="{DFFB6F88-2563-4CBB-8BE2-7107FB74A0E0}"/>
    <cellStyle name="Normal 5 3 3 4 4 2 2 2 2" xfId="42871" xr:uid="{7EBCA167-CB78-40D9-A401-1A4823076B3B}"/>
    <cellStyle name="Normal 5 3 3 4 4 2 2 3" xfId="17530" xr:uid="{BA04B4DB-C552-4DCB-811F-491E359FBA10}"/>
    <cellStyle name="Normal 5 3 3 4 4 2 2 4" xfId="34424" xr:uid="{A5C0FEDF-57CA-4B9F-ACF0-3768138362B1}"/>
    <cellStyle name="Normal 5 3 3 4 4 2 3" xfId="21760" xr:uid="{6AECBE92-D9F5-48EF-866C-66127950BFEB}"/>
    <cellStyle name="Normal 5 3 3 4 4 2 3 2" xfId="38654" xr:uid="{BC07BDCF-3C0E-47EB-B98F-F06AAFB74695}"/>
    <cellStyle name="Normal 5 3 3 4 4 2 4" xfId="13313" xr:uid="{F649D7F0-2BE7-4ACC-BFE3-5FD244271DBB}"/>
    <cellStyle name="Normal 5 3 3 4 4 2 5" xfId="30207" xr:uid="{30046736-8ABC-47BD-BB3F-69BB832FA8EC}"/>
    <cellStyle name="Normal 5 3 3 4 4 3" xfId="6059" xr:uid="{00000000-0005-0000-0000-0000FA190000}"/>
    <cellStyle name="Normal 5 3 3 4 4 3 2" xfId="23832" xr:uid="{E963A497-0770-4767-A48C-20EA0B00E502}"/>
    <cellStyle name="Normal 5 3 3 4 4 3 2 2" xfId="40726" xr:uid="{5DEB42C0-CBEA-4866-857C-4C5F89B00E26}"/>
    <cellStyle name="Normal 5 3 3 4 4 3 3" xfId="15385" xr:uid="{3F939BE3-2094-4E08-BA77-063A5223B707}"/>
    <cellStyle name="Normal 5 3 3 4 4 3 4" xfId="32279" xr:uid="{3384E499-7D3C-4A16-AC6B-1B3E47A15AD2}"/>
    <cellStyle name="Normal 5 3 3 4 4 4" xfId="19615" xr:uid="{18FA8C38-17E6-4C38-A154-E69AE6195CD8}"/>
    <cellStyle name="Normal 5 3 3 4 4 4 2" xfId="36509" xr:uid="{6C139534-4A1C-4834-9759-62722402A157}"/>
    <cellStyle name="Normal 5 3 3 4 4 5" xfId="11168" xr:uid="{D87A7922-2701-4180-A082-26E017863544}"/>
    <cellStyle name="Normal 5 3 3 4 4 6" xfId="28062" xr:uid="{D5FA78F8-4B4E-4530-8784-7402F05E3BBE}"/>
    <cellStyle name="Normal 5 3 3 4 5" xfId="2166" xr:uid="{00000000-0005-0000-0000-0000FB190000}"/>
    <cellStyle name="Normal 5 3 3 4 5 2" xfId="4395" xr:uid="{00000000-0005-0000-0000-0000FC190000}"/>
    <cellStyle name="Normal 5 3 3 4 5 2 2" xfId="8617" xr:uid="{00000000-0005-0000-0000-0000FD190000}"/>
    <cellStyle name="Normal 5 3 3 4 5 2 2 2" xfId="26390" xr:uid="{36672AD5-3276-49FF-8A40-C9645133ABA3}"/>
    <cellStyle name="Normal 5 3 3 4 5 2 2 2 2" xfId="43284" xr:uid="{3DFE4759-8F9D-4DED-B58E-C72364EB4851}"/>
    <cellStyle name="Normal 5 3 3 4 5 2 2 3" xfId="17943" xr:uid="{988641C8-9A61-4080-9A92-42D6415AF3E9}"/>
    <cellStyle name="Normal 5 3 3 4 5 2 2 4" xfId="34837" xr:uid="{2052B769-6FCD-408A-A705-C342742B3D84}"/>
    <cellStyle name="Normal 5 3 3 4 5 2 3" xfId="22173" xr:uid="{810CD79B-AD9A-4F7B-8E62-BD916FDAAD42}"/>
    <cellStyle name="Normal 5 3 3 4 5 2 3 2" xfId="39067" xr:uid="{AEC7323C-C61E-445A-895D-12C17C81907F}"/>
    <cellStyle name="Normal 5 3 3 4 5 2 4" xfId="13726" xr:uid="{5E45639C-FA48-44BD-AC80-6A502EF9F1E5}"/>
    <cellStyle name="Normal 5 3 3 4 5 2 5" xfId="30620" xr:uid="{BC64AC66-222C-4973-B7CC-B2EE5D97FBAA}"/>
    <cellStyle name="Normal 5 3 3 4 5 3" xfId="6472" xr:uid="{00000000-0005-0000-0000-0000FE190000}"/>
    <cellStyle name="Normal 5 3 3 4 5 3 2" xfId="24245" xr:uid="{41C9DAEA-03B7-44A9-BEC6-ECA8B0507EC7}"/>
    <cellStyle name="Normal 5 3 3 4 5 3 2 2" xfId="41139" xr:uid="{9DA686EF-BF7E-4E73-9285-F3DB36E4D22C}"/>
    <cellStyle name="Normal 5 3 3 4 5 3 3" xfId="15798" xr:uid="{F601DB78-E34C-45BE-830B-BEC140E09126}"/>
    <cellStyle name="Normal 5 3 3 4 5 3 4" xfId="32692" xr:uid="{DF2B8F07-8203-4954-86D1-2B22F00EB827}"/>
    <cellStyle name="Normal 5 3 3 4 5 4" xfId="20028" xr:uid="{4103F3BC-6A3B-4B79-86DF-506A13C1145F}"/>
    <cellStyle name="Normal 5 3 3 4 5 4 2" xfId="36922" xr:uid="{92201F2F-F789-4252-A048-DF054AA46806}"/>
    <cellStyle name="Normal 5 3 3 4 5 5" xfId="11581" xr:uid="{4F0E6FE0-983A-470F-B52A-768AF74197FF}"/>
    <cellStyle name="Normal 5 3 3 4 5 6" xfId="28475" xr:uid="{E04F34D9-D36B-49EE-9ECE-A668FDAD7E81}"/>
    <cellStyle name="Normal 5 3 3 4 6" xfId="2602" xr:uid="{00000000-0005-0000-0000-0000FF190000}"/>
    <cellStyle name="Normal 5 3 3 4 6 2" xfId="6885" xr:uid="{00000000-0005-0000-0000-0000001A0000}"/>
    <cellStyle name="Normal 5 3 3 4 6 2 2" xfId="24658" xr:uid="{8077D3D6-3BAE-4E97-ACF4-6B6051A07724}"/>
    <cellStyle name="Normal 5 3 3 4 6 2 2 2" xfId="41552" xr:uid="{8B46AEE1-D241-4D58-86A6-A86983CBEFAC}"/>
    <cellStyle name="Normal 5 3 3 4 6 2 3" xfId="16211" xr:uid="{AB15946C-ACE8-4DEE-B23A-52B7F2D16965}"/>
    <cellStyle name="Normal 5 3 3 4 6 2 4" xfId="33105" xr:uid="{D912D5B3-C13D-4F18-BAC7-086A0387D5B3}"/>
    <cellStyle name="Normal 5 3 3 4 6 3" xfId="20441" xr:uid="{28B4876F-5FA9-4B82-9CAB-D72926FBDFD9}"/>
    <cellStyle name="Normal 5 3 3 4 6 3 2" xfId="37335" xr:uid="{0DFD7F27-7689-45B6-A6B9-46B6E3886702}"/>
    <cellStyle name="Normal 5 3 3 4 6 4" xfId="11994" xr:uid="{26E51CEA-D337-4449-97F2-FE7B6C532E26}"/>
    <cellStyle name="Normal 5 3 3 4 6 5" xfId="28888" xr:uid="{9B97DCDB-0B5E-4C4A-8635-556E7BBC3325}"/>
    <cellStyle name="Normal 5 3 3 4 7" xfId="4820" xr:uid="{00000000-0005-0000-0000-0000011A0000}"/>
    <cellStyle name="Normal 5 3 3 4 7 2" xfId="22593" xr:uid="{3E9AD112-8A68-4D5A-849A-5E8E9D275DEC}"/>
    <cellStyle name="Normal 5 3 3 4 7 2 2" xfId="39487" xr:uid="{8E5F9769-C256-42C5-A906-2C71DCD1BD6C}"/>
    <cellStyle name="Normal 5 3 3 4 7 3" xfId="14146" xr:uid="{683D03CA-AF34-42B9-8036-08823905950F}"/>
    <cellStyle name="Normal 5 3 3 4 7 4" xfId="31040" xr:uid="{425C10BF-546B-4CC5-BD8D-7BF7CDE0BDFE}"/>
    <cellStyle name="Normal 5 3 3 4 8" xfId="8989" xr:uid="{20FA1483-98E6-46C4-B00B-4EAF7957981D}"/>
    <cellStyle name="Normal 5 3 3 4 8 2" xfId="18376" xr:uid="{A014A548-ED91-4E2B-965F-357E81B00C5A}"/>
    <cellStyle name="Normal 5 3 3 4 8 3" xfId="35270" xr:uid="{8CDDC254-73A3-4CBE-937D-CFC36042ECC3}"/>
    <cellStyle name="Normal 5 3 3 4 9" xfId="9929" xr:uid="{950C5BE8-59CB-4AA2-BC20-26974599D021}"/>
    <cellStyle name="Normal 5 3 3 5" xfId="915" xr:uid="{00000000-0005-0000-0000-0000021A0000}"/>
    <cellStyle name="Normal 5 3 3 5 2" xfId="3149" xr:uid="{00000000-0005-0000-0000-0000031A0000}"/>
    <cellStyle name="Normal 5 3 3 5 2 2" xfId="7371" xr:uid="{00000000-0005-0000-0000-0000041A0000}"/>
    <cellStyle name="Normal 5 3 3 5 2 2 2" xfId="25144" xr:uid="{DF47CA66-FE98-4803-8AC7-D6D0688C021A}"/>
    <cellStyle name="Normal 5 3 3 5 2 2 2 2" xfId="42038" xr:uid="{B279A040-6742-4BE3-BDDF-A70301838E16}"/>
    <cellStyle name="Normal 5 3 3 5 2 2 3" xfId="16697" xr:uid="{2FEB3AD9-B17A-4FF1-9D6B-9BCBE46265BC}"/>
    <cellStyle name="Normal 5 3 3 5 2 2 4" xfId="33591" xr:uid="{3E219D8F-9E52-4DFD-B58C-DFDC0F89CF91}"/>
    <cellStyle name="Normal 5 3 3 5 2 3" xfId="20927" xr:uid="{8412556E-50EF-4247-A061-BBEB080FC50E}"/>
    <cellStyle name="Normal 5 3 3 5 2 3 2" xfId="37821" xr:uid="{48C71D12-CDC5-4933-914F-64FE97806CA8}"/>
    <cellStyle name="Normal 5 3 3 5 2 4" xfId="12480" xr:uid="{BF26BA3D-9B1E-4649-B524-27EE3FDAD5A8}"/>
    <cellStyle name="Normal 5 3 3 5 2 5" xfId="29374" xr:uid="{87F76D85-A926-4490-86D0-BEC64FCDFEDC}"/>
    <cellStyle name="Normal 5 3 3 5 3" xfId="5226" xr:uid="{00000000-0005-0000-0000-0000051A0000}"/>
    <cellStyle name="Normal 5 3 3 5 3 2" xfId="22999" xr:uid="{5A781A70-89AE-430D-AB95-022A60F842E6}"/>
    <cellStyle name="Normal 5 3 3 5 3 2 2" xfId="39893" xr:uid="{343C687C-F17A-404C-8637-BEB1FFCDB766}"/>
    <cellStyle name="Normal 5 3 3 5 3 3" xfId="14552" xr:uid="{E99548AB-0162-4384-8BB7-809200610562}"/>
    <cellStyle name="Normal 5 3 3 5 3 4" xfId="31446" xr:uid="{94B2282A-ECEA-4D14-ABD4-D816CACF19A4}"/>
    <cellStyle name="Normal 5 3 3 5 4" xfId="9206" xr:uid="{CA749CBB-EAB5-483B-862D-D7B95A23D45C}"/>
    <cellStyle name="Normal 5 3 3 5 4 2" xfId="18782" xr:uid="{E9E7F938-1455-4F19-BEB1-80A8C71CD2FE}"/>
    <cellStyle name="Normal 5 3 3 5 4 3" xfId="35676" xr:uid="{872FDC32-6835-4159-BD52-F54904C98AC1}"/>
    <cellStyle name="Normal 5 3 3 5 5" xfId="10335" xr:uid="{3048A15D-25A7-4A4A-914B-8AE2E580D3FB}"/>
    <cellStyle name="Normal 5 3 3 5 6" xfId="27229" xr:uid="{2B654F77-4D26-435D-A48B-81037CA3A564}"/>
    <cellStyle name="Normal 5 3 3 6" xfId="1332" xr:uid="{00000000-0005-0000-0000-0000061A0000}"/>
    <cellStyle name="Normal 5 3 3 6 2" xfId="3562" xr:uid="{00000000-0005-0000-0000-0000071A0000}"/>
    <cellStyle name="Normal 5 3 3 6 2 2" xfId="7784" xr:uid="{00000000-0005-0000-0000-0000081A0000}"/>
    <cellStyle name="Normal 5 3 3 6 2 2 2" xfId="25557" xr:uid="{2C133593-622C-45B0-B59A-78142D21B2BD}"/>
    <cellStyle name="Normal 5 3 3 6 2 2 2 2" xfId="42451" xr:uid="{1FFFAA1C-689E-4DA8-AC93-04EA05E62751}"/>
    <cellStyle name="Normal 5 3 3 6 2 2 3" xfId="17110" xr:uid="{98CE50E9-C1E3-4E68-9A3A-5FB9B568D5B2}"/>
    <cellStyle name="Normal 5 3 3 6 2 2 4" xfId="34004" xr:uid="{4C4518E0-828E-40EC-89EE-74EB8ED98699}"/>
    <cellStyle name="Normal 5 3 3 6 2 3" xfId="21340" xr:uid="{968DFAC9-7F58-4645-9BFF-05ED4A6CB463}"/>
    <cellStyle name="Normal 5 3 3 6 2 3 2" xfId="38234" xr:uid="{0F9586A3-1578-4928-9B9E-1401FDF87ED3}"/>
    <cellStyle name="Normal 5 3 3 6 2 4" xfId="12893" xr:uid="{3CAB4370-B578-4A11-ABC1-17DE0190476C}"/>
    <cellStyle name="Normal 5 3 3 6 2 5" xfId="29787" xr:uid="{D503BE02-D7E4-4B01-AA3D-E40E90051195}"/>
    <cellStyle name="Normal 5 3 3 6 3" xfId="5639" xr:uid="{00000000-0005-0000-0000-0000091A0000}"/>
    <cellStyle name="Normal 5 3 3 6 3 2" xfId="23412" xr:uid="{7734DE10-2CD8-42B9-BDD8-6293B95F82B7}"/>
    <cellStyle name="Normal 5 3 3 6 3 2 2" xfId="40306" xr:uid="{F294A6FE-1034-4FC1-AC83-E094AF77D324}"/>
    <cellStyle name="Normal 5 3 3 6 3 3" xfId="14965" xr:uid="{B1640D52-3C36-4D12-8CD2-DADD0B323137}"/>
    <cellStyle name="Normal 5 3 3 6 3 4" xfId="31859" xr:uid="{88672CA6-9CA0-4A1F-92D5-54380D90030B}"/>
    <cellStyle name="Normal 5 3 3 6 4" xfId="19195" xr:uid="{7CDB97A6-548A-48A7-A350-F55D911A677C}"/>
    <cellStyle name="Normal 5 3 3 6 4 2" xfId="36089" xr:uid="{F74428E1-2EF7-424F-9740-D0BDE73C9C25}"/>
    <cellStyle name="Normal 5 3 3 6 5" xfId="10748" xr:uid="{41197FF4-B912-432A-AA2C-56033CB96D00}"/>
    <cellStyle name="Normal 5 3 3 6 6" xfId="27642" xr:uid="{63E8CA32-37FA-4998-8A3A-B3C2CFDFBEF3}"/>
    <cellStyle name="Normal 5 3 3 7" xfId="1745" xr:uid="{00000000-0005-0000-0000-00000A1A0000}"/>
    <cellStyle name="Normal 5 3 3 7 2" xfId="3975" xr:uid="{00000000-0005-0000-0000-00000B1A0000}"/>
    <cellStyle name="Normal 5 3 3 7 2 2" xfId="8197" xr:uid="{00000000-0005-0000-0000-00000C1A0000}"/>
    <cellStyle name="Normal 5 3 3 7 2 2 2" xfId="25970" xr:uid="{045F9F07-81AB-47A5-BCCC-EBDB77881136}"/>
    <cellStyle name="Normal 5 3 3 7 2 2 2 2" xfId="42864" xr:uid="{380A8FE0-96C2-431E-9299-8E1D516B8AD7}"/>
    <cellStyle name="Normal 5 3 3 7 2 2 3" xfId="17523" xr:uid="{74286DDA-8BED-48B4-BAA0-866DB71D43A2}"/>
    <cellStyle name="Normal 5 3 3 7 2 2 4" xfId="34417" xr:uid="{782BF2E9-69F8-44B8-A8E5-476DAC3A2DC6}"/>
    <cellStyle name="Normal 5 3 3 7 2 3" xfId="21753" xr:uid="{A32E653B-54BB-468D-AB85-2C15DE67B7A9}"/>
    <cellStyle name="Normal 5 3 3 7 2 3 2" xfId="38647" xr:uid="{1C33C134-BB56-460B-BBA2-AD967E743BD0}"/>
    <cellStyle name="Normal 5 3 3 7 2 4" xfId="13306" xr:uid="{04BD8C77-B1F4-4AC7-B2BF-78867D2C973C}"/>
    <cellStyle name="Normal 5 3 3 7 2 5" xfId="30200" xr:uid="{DB039967-B68C-4671-994E-8B08474BD25F}"/>
    <cellStyle name="Normal 5 3 3 7 3" xfId="6052" xr:uid="{00000000-0005-0000-0000-00000D1A0000}"/>
    <cellStyle name="Normal 5 3 3 7 3 2" xfId="23825" xr:uid="{9D188C87-6267-4D0E-A02E-8A3ECC2EC34C}"/>
    <cellStyle name="Normal 5 3 3 7 3 2 2" xfId="40719" xr:uid="{A4A9B047-9E69-49E6-B068-99954CC3A94B}"/>
    <cellStyle name="Normal 5 3 3 7 3 3" xfId="15378" xr:uid="{49CA7E49-0CED-41CC-91F7-F3EF4D268E8A}"/>
    <cellStyle name="Normal 5 3 3 7 3 4" xfId="32272" xr:uid="{906053B5-5E64-4B95-9A3D-D45CD4FD1D7B}"/>
    <cellStyle name="Normal 5 3 3 7 4" xfId="19608" xr:uid="{B31ECF06-07DE-4AF5-B82E-651017A7B64D}"/>
    <cellStyle name="Normal 5 3 3 7 4 2" xfId="36502" xr:uid="{13336C2D-FACB-4DFB-B00D-9D4408FEF980}"/>
    <cellStyle name="Normal 5 3 3 7 5" xfId="11161" xr:uid="{342D3C8E-A8BD-495A-BB62-E28EEDAC7A2A}"/>
    <cellStyle name="Normal 5 3 3 7 6" xfId="28055" xr:uid="{22AE6161-9BD3-4E81-9201-4EEB37A7D7BB}"/>
    <cellStyle name="Normal 5 3 3 8" xfId="2159" xr:uid="{00000000-0005-0000-0000-00000E1A0000}"/>
    <cellStyle name="Normal 5 3 3 8 2" xfId="4388" xr:uid="{00000000-0005-0000-0000-00000F1A0000}"/>
    <cellStyle name="Normal 5 3 3 8 2 2" xfId="8610" xr:uid="{00000000-0005-0000-0000-0000101A0000}"/>
    <cellStyle name="Normal 5 3 3 8 2 2 2" xfId="26383" xr:uid="{99ADE844-7863-4E8A-B9AB-9B4887A5E092}"/>
    <cellStyle name="Normal 5 3 3 8 2 2 2 2" xfId="43277" xr:uid="{2CEF8200-BA72-4817-BFB9-297B78DBDEB9}"/>
    <cellStyle name="Normal 5 3 3 8 2 2 3" xfId="17936" xr:uid="{A0C9AF92-5E51-409D-8C6F-5C2C642D89B4}"/>
    <cellStyle name="Normal 5 3 3 8 2 2 4" xfId="34830" xr:uid="{D4EEF67F-88F7-42DC-9F75-1C1D7D0B4DA5}"/>
    <cellStyle name="Normal 5 3 3 8 2 3" xfId="22166" xr:uid="{53BD96D1-5C36-435B-8164-4DD9A1B42F12}"/>
    <cellStyle name="Normal 5 3 3 8 2 3 2" xfId="39060" xr:uid="{EF3C6D0B-4945-488A-B5F2-A81FFD85CEB7}"/>
    <cellStyle name="Normal 5 3 3 8 2 4" xfId="13719" xr:uid="{25BDB4ED-DF71-47C2-A683-3E40C46A1AF0}"/>
    <cellStyle name="Normal 5 3 3 8 2 5" xfId="30613" xr:uid="{670A359B-5500-4588-A7C3-E9233D7B10D9}"/>
    <cellStyle name="Normal 5 3 3 8 3" xfId="6465" xr:uid="{00000000-0005-0000-0000-0000111A0000}"/>
    <cellStyle name="Normal 5 3 3 8 3 2" xfId="24238" xr:uid="{94D49229-1272-42EA-8365-4A65303E5983}"/>
    <cellStyle name="Normal 5 3 3 8 3 2 2" xfId="41132" xr:uid="{05AFBDC4-5963-4681-AE59-10E144A356E2}"/>
    <cellStyle name="Normal 5 3 3 8 3 3" xfId="15791" xr:uid="{05270A9E-2825-4873-A7AF-971B00B89D05}"/>
    <cellStyle name="Normal 5 3 3 8 3 4" xfId="32685" xr:uid="{A788CD62-A341-4B45-BF18-8172DACAA3E8}"/>
    <cellStyle name="Normal 5 3 3 8 4" xfId="20021" xr:uid="{C6262C74-0B4B-4687-816F-B2E0951FDBFE}"/>
    <cellStyle name="Normal 5 3 3 8 4 2" xfId="36915" xr:uid="{9A799387-5654-4553-A528-BF1A095F8607}"/>
    <cellStyle name="Normal 5 3 3 8 5" xfId="11574" xr:uid="{56FDD4BE-3C86-4577-94D9-9604A6ED2CEC}"/>
    <cellStyle name="Normal 5 3 3 8 6" xfId="28468" xr:uid="{34F9D1CA-27BB-496E-BBB6-8E14A2010966}"/>
    <cellStyle name="Normal 5 3 3 9" xfId="2595" xr:uid="{00000000-0005-0000-0000-0000121A0000}"/>
    <cellStyle name="Normal 5 3 3 9 2" xfId="6878" xr:uid="{00000000-0005-0000-0000-0000131A0000}"/>
    <cellStyle name="Normal 5 3 3 9 2 2" xfId="24651" xr:uid="{33F9A694-F911-4878-A7DE-F33831A57818}"/>
    <cellStyle name="Normal 5 3 3 9 2 2 2" xfId="41545" xr:uid="{C40E104A-3C27-46BE-B374-B5F84AFAB942}"/>
    <cellStyle name="Normal 5 3 3 9 2 3" xfId="16204" xr:uid="{63E46B72-F905-4A9F-8870-2F4A5D6C617C}"/>
    <cellStyle name="Normal 5 3 3 9 2 4" xfId="33098" xr:uid="{D1366317-B32B-4C0F-A912-9B1CC41728F6}"/>
    <cellStyle name="Normal 5 3 3 9 3" xfId="20434" xr:uid="{DD32F93A-7EE1-4A79-822E-9552373CE48B}"/>
    <cellStyle name="Normal 5 3 3 9 3 2" xfId="37328" xr:uid="{BE9B1F2A-0145-40BC-BBE4-D9982A2B0F98}"/>
    <cellStyle name="Normal 5 3 3 9 4" xfId="11987" xr:uid="{5F77FD9D-FE27-49EF-83BB-142FBC4BB11F}"/>
    <cellStyle name="Normal 5 3 3 9 5" xfId="28881" xr:uid="{B446DAFE-3225-4E41-8E93-91A01855DE2A}"/>
    <cellStyle name="Normal 5 3 4" xfId="449" xr:uid="{00000000-0005-0000-0000-0000141A0000}"/>
    <cellStyle name="Normal 5 3 4 10" xfId="8831" xr:uid="{39AD872D-FBC2-4C4A-B537-79F8014E4247}"/>
    <cellStyle name="Normal 5 3 4 10 2" xfId="18377" xr:uid="{1D528F97-F575-4183-8B40-5B3ABE653CE5}"/>
    <cellStyle name="Normal 5 3 4 10 3" xfId="35271" xr:uid="{A9225B3B-EFC7-4516-B5F0-CA675D9E35A3}"/>
    <cellStyle name="Normal 5 3 4 11" xfId="9930" xr:uid="{64695566-3642-44F2-BDE2-2B94AA38B014}"/>
    <cellStyle name="Normal 5 3 4 12" xfId="26824" xr:uid="{240EFB5D-D5A8-4B44-B1BA-C8EE1F7388F4}"/>
    <cellStyle name="Normal 5 3 4 2" xfId="450" xr:uid="{00000000-0005-0000-0000-0000151A0000}"/>
    <cellStyle name="Normal 5 3 4 2 10" xfId="9931" xr:uid="{231617D3-9D69-4E98-A743-295F4F161837}"/>
    <cellStyle name="Normal 5 3 4 2 11" xfId="26825" xr:uid="{ACE31E90-A1E4-4070-AE16-34FDAF98CB76}"/>
    <cellStyle name="Normal 5 3 4 2 2" xfId="451" xr:uid="{00000000-0005-0000-0000-0000161A0000}"/>
    <cellStyle name="Normal 5 3 4 2 2 10" xfId="26826" xr:uid="{88962889-8733-488A-A9D8-0A1415B91BF5}"/>
    <cellStyle name="Normal 5 3 4 2 2 2" xfId="925" xr:uid="{00000000-0005-0000-0000-0000171A0000}"/>
    <cellStyle name="Normal 5 3 4 2 2 2 2" xfId="3159" xr:uid="{00000000-0005-0000-0000-0000181A0000}"/>
    <cellStyle name="Normal 5 3 4 2 2 2 2 2" xfId="7381" xr:uid="{00000000-0005-0000-0000-0000191A0000}"/>
    <cellStyle name="Normal 5 3 4 2 2 2 2 2 2" xfId="25154" xr:uid="{33DCEDA0-83A0-4485-93E2-80A64A2FF308}"/>
    <cellStyle name="Normal 5 3 4 2 2 2 2 2 2 2" xfId="42048" xr:uid="{4761286F-9925-488E-A522-1F75C5EE1B37}"/>
    <cellStyle name="Normal 5 3 4 2 2 2 2 2 3" xfId="16707" xr:uid="{92A9322D-0142-4F22-8D7B-C3C298DB1364}"/>
    <cellStyle name="Normal 5 3 4 2 2 2 2 2 4" xfId="33601" xr:uid="{4F2EE308-5E4A-4258-8624-9D0D5E06F4D2}"/>
    <cellStyle name="Normal 5 3 4 2 2 2 2 3" xfId="20937" xr:uid="{50D650E2-DE01-4177-99E4-F84A1E64F5BB}"/>
    <cellStyle name="Normal 5 3 4 2 2 2 2 3 2" xfId="37831" xr:uid="{58A50B53-1122-424E-807B-8F1104B7CA78}"/>
    <cellStyle name="Normal 5 3 4 2 2 2 2 4" xfId="12490" xr:uid="{FEEB708B-12B9-41D6-82F4-36D80C307EFB}"/>
    <cellStyle name="Normal 5 3 4 2 2 2 2 5" xfId="29384" xr:uid="{3D55C1FB-8619-461B-9DDA-A187900CBC3E}"/>
    <cellStyle name="Normal 5 3 4 2 2 2 3" xfId="5236" xr:uid="{00000000-0005-0000-0000-00001A1A0000}"/>
    <cellStyle name="Normal 5 3 4 2 2 2 3 2" xfId="23009" xr:uid="{CD6400DC-C348-42AC-8C83-E422A853BCCA}"/>
    <cellStyle name="Normal 5 3 4 2 2 2 3 2 2" xfId="39903" xr:uid="{9F92CE6C-A126-49B4-83C9-0F5075093EEF}"/>
    <cellStyle name="Normal 5 3 4 2 2 2 3 3" xfId="14562" xr:uid="{AEF32B18-400A-4214-97CF-60E2C2526A50}"/>
    <cellStyle name="Normal 5 3 4 2 2 2 3 4" xfId="31456" xr:uid="{9D49E1B5-26F5-464D-AE03-2065E11C79B5}"/>
    <cellStyle name="Normal 5 3 4 2 2 2 4" xfId="9566" xr:uid="{D483C248-9680-462F-989C-42C712CD6EB7}"/>
    <cellStyle name="Normal 5 3 4 2 2 2 4 2" xfId="18792" xr:uid="{62A60481-FB9F-4CC9-91CB-48BDF05AE011}"/>
    <cellStyle name="Normal 5 3 4 2 2 2 4 3" xfId="35686" xr:uid="{1D55B1E2-AD39-4E9C-B6AE-F23ECE0ABE9A}"/>
    <cellStyle name="Normal 5 3 4 2 2 2 5" xfId="10345" xr:uid="{88119184-162F-4503-9A62-AE5D5D8498E9}"/>
    <cellStyle name="Normal 5 3 4 2 2 2 6" xfId="27239" xr:uid="{AD294805-0CD0-432F-9393-58CE58D34B6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2 2 2" xfId="25567" xr:uid="{2ACBD792-A73E-4811-922C-51AA300B2B89}"/>
    <cellStyle name="Normal 5 3 4 2 2 3 2 2 2 2" xfId="42461" xr:uid="{DE4EDCD2-A24D-48B4-BB45-C6BE7648F1AE}"/>
    <cellStyle name="Normal 5 3 4 2 2 3 2 2 3" xfId="17120" xr:uid="{39352FAC-01E2-4174-8E05-2FF55ADE5B9C}"/>
    <cellStyle name="Normal 5 3 4 2 2 3 2 2 4" xfId="34014" xr:uid="{90E5F1D1-258B-47B8-86F8-7BE98235B844}"/>
    <cellStyle name="Normal 5 3 4 2 2 3 2 3" xfId="21350" xr:uid="{83ABBB60-0AEF-4C9B-ACE8-C9BAA60596CF}"/>
    <cellStyle name="Normal 5 3 4 2 2 3 2 3 2" xfId="38244" xr:uid="{095A2737-89C2-414C-BC06-81D8EDEE8C9C}"/>
    <cellStyle name="Normal 5 3 4 2 2 3 2 4" xfId="12903" xr:uid="{D15C1A1B-CE44-4574-B54A-D0488F77BB4F}"/>
    <cellStyle name="Normal 5 3 4 2 2 3 2 5" xfId="29797" xr:uid="{C027420C-14AE-46DC-AD59-397882A8F1C6}"/>
    <cellStyle name="Normal 5 3 4 2 2 3 3" xfId="5649" xr:uid="{00000000-0005-0000-0000-00001E1A0000}"/>
    <cellStyle name="Normal 5 3 4 2 2 3 3 2" xfId="23422" xr:uid="{1392B800-9A29-474B-B8E6-2F237E2E7BBD}"/>
    <cellStyle name="Normal 5 3 4 2 2 3 3 2 2" xfId="40316" xr:uid="{9D9C4C0B-72AE-423E-82F1-9150FD9470A5}"/>
    <cellStyle name="Normal 5 3 4 2 2 3 3 3" xfId="14975" xr:uid="{2DFD7C80-A48A-420F-9AB4-DFF0E0DA8C64}"/>
    <cellStyle name="Normal 5 3 4 2 2 3 3 4" xfId="31869" xr:uid="{AEEE9C83-5AA7-4A6D-890C-096053E5320B}"/>
    <cellStyle name="Normal 5 3 4 2 2 3 4" xfId="19205" xr:uid="{047CEE13-BE4A-432C-9FAF-A32CE1E68523}"/>
    <cellStyle name="Normal 5 3 4 2 2 3 4 2" xfId="36099" xr:uid="{D87447BE-60AB-4A36-82F3-16C3A76348A3}"/>
    <cellStyle name="Normal 5 3 4 2 2 3 5" xfId="10758" xr:uid="{B257B3A4-026E-4F48-BA65-11E32012582A}"/>
    <cellStyle name="Normal 5 3 4 2 2 3 6" xfId="27652" xr:uid="{4380A744-6153-473F-BDDB-3EB2E51A8777}"/>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2 2 2" xfId="25980" xr:uid="{D60D4CF7-5813-4026-B103-74C2AC675736}"/>
    <cellStyle name="Normal 5 3 4 2 2 4 2 2 2 2" xfId="42874" xr:uid="{8A225AC5-8C4C-4095-B366-1B830329544F}"/>
    <cellStyle name="Normal 5 3 4 2 2 4 2 2 3" xfId="17533" xr:uid="{0434988A-B5FC-4D8D-B439-6D67795AA550}"/>
    <cellStyle name="Normal 5 3 4 2 2 4 2 2 4" xfId="34427" xr:uid="{06A458FF-28B0-4B8D-9564-9ED8FD555081}"/>
    <cellStyle name="Normal 5 3 4 2 2 4 2 3" xfId="21763" xr:uid="{4C72CBA5-771B-4A07-935D-9F4E6F2AA651}"/>
    <cellStyle name="Normal 5 3 4 2 2 4 2 3 2" xfId="38657" xr:uid="{A100B3DA-7305-4E5F-A035-F9CACDDFF3C3}"/>
    <cellStyle name="Normal 5 3 4 2 2 4 2 4" xfId="13316" xr:uid="{0B5C9FAA-75CA-40AB-A5F0-BDEB74F42792}"/>
    <cellStyle name="Normal 5 3 4 2 2 4 2 5" xfId="30210" xr:uid="{F3B9443E-8E85-433C-8E6E-5AB687A62C19}"/>
    <cellStyle name="Normal 5 3 4 2 2 4 3" xfId="6062" xr:uid="{00000000-0005-0000-0000-0000221A0000}"/>
    <cellStyle name="Normal 5 3 4 2 2 4 3 2" xfId="23835" xr:uid="{BB8B7C36-6D58-4C22-A756-C5EFB5842C58}"/>
    <cellStyle name="Normal 5 3 4 2 2 4 3 2 2" xfId="40729" xr:uid="{78ADA039-F412-4F26-AF39-D95D01A7A6AC}"/>
    <cellStyle name="Normal 5 3 4 2 2 4 3 3" xfId="15388" xr:uid="{63427A91-16DA-429B-8F85-FD9DD2866E53}"/>
    <cellStyle name="Normal 5 3 4 2 2 4 3 4" xfId="32282" xr:uid="{D9F20A01-0BC9-4A02-82C1-559CE4A7AF3A}"/>
    <cellStyle name="Normal 5 3 4 2 2 4 4" xfId="19618" xr:uid="{02941E55-B9F8-4801-9A82-887298613E7E}"/>
    <cellStyle name="Normal 5 3 4 2 2 4 4 2" xfId="36512" xr:uid="{22A7224C-C21E-4FA7-B7AA-0541E232A5D0}"/>
    <cellStyle name="Normal 5 3 4 2 2 4 5" xfId="11171" xr:uid="{EAEE5EED-FCD3-426E-8549-498F2910024E}"/>
    <cellStyle name="Normal 5 3 4 2 2 4 6" xfId="28065" xr:uid="{AC1269FB-04B3-4F35-9286-E07A91739845}"/>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2 2 2" xfId="26393" xr:uid="{E15013AD-A292-45B1-8D90-3D9A69C1DC10}"/>
    <cellStyle name="Normal 5 3 4 2 2 5 2 2 2 2" xfId="43287" xr:uid="{14B1E082-878B-45FF-A7CD-CDC983C3805F}"/>
    <cellStyle name="Normal 5 3 4 2 2 5 2 2 3" xfId="17946" xr:uid="{741004E5-68A4-4309-BD14-E967CD726401}"/>
    <cellStyle name="Normal 5 3 4 2 2 5 2 2 4" xfId="34840" xr:uid="{83A92427-BAAB-4C3B-9C15-E456D7EA8194}"/>
    <cellStyle name="Normal 5 3 4 2 2 5 2 3" xfId="22176" xr:uid="{8FEDFD11-1FD4-4402-AFC0-D10416443B6B}"/>
    <cellStyle name="Normal 5 3 4 2 2 5 2 3 2" xfId="39070" xr:uid="{C50C3FCE-EA52-4C94-B6D3-C325009F119F}"/>
    <cellStyle name="Normal 5 3 4 2 2 5 2 4" xfId="13729" xr:uid="{7D9EAE60-35CD-4FA8-9153-153EDCBBB121}"/>
    <cellStyle name="Normal 5 3 4 2 2 5 2 5" xfId="30623" xr:uid="{09D1CC4A-39F2-48F0-A8C6-28FACF4ACCB4}"/>
    <cellStyle name="Normal 5 3 4 2 2 5 3" xfId="6475" xr:uid="{00000000-0005-0000-0000-0000261A0000}"/>
    <cellStyle name="Normal 5 3 4 2 2 5 3 2" xfId="24248" xr:uid="{72D5A269-A7F1-4CB4-ABCE-A3C258E3B32E}"/>
    <cellStyle name="Normal 5 3 4 2 2 5 3 2 2" xfId="41142" xr:uid="{D3BA1E68-54B6-41B3-8F38-381BF02888AD}"/>
    <cellStyle name="Normal 5 3 4 2 2 5 3 3" xfId="15801" xr:uid="{97279E31-8F93-4030-8E73-F7522F736DE9}"/>
    <cellStyle name="Normal 5 3 4 2 2 5 3 4" xfId="32695" xr:uid="{71D1E18E-E1E1-4D1C-A8E3-80C08412D0E4}"/>
    <cellStyle name="Normal 5 3 4 2 2 5 4" xfId="20031" xr:uid="{E3036CFA-6DC9-494E-8195-E2CB4DDE77F1}"/>
    <cellStyle name="Normal 5 3 4 2 2 5 4 2" xfId="36925" xr:uid="{6DFFFA82-7AAC-4476-90D4-FD4E409380D4}"/>
    <cellStyle name="Normal 5 3 4 2 2 5 5" xfId="11584" xr:uid="{CD2C3F3F-BCEE-4E16-8BB3-5CD6DF393F8A}"/>
    <cellStyle name="Normal 5 3 4 2 2 5 6" xfId="28478" xr:uid="{97797FF5-1F58-4464-9AE2-F0129AD856F5}"/>
    <cellStyle name="Normal 5 3 4 2 2 6" xfId="2605" xr:uid="{00000000-0005-0000-0000-0000271A0000}"/>
    <cellStyle name="Normal 5 3 4 2 2 6 2" xfId="6888" xr:uid="{00000000-0005-0000-0000-0000281A0000}"/>
    <cellStyle name="Normal 5 3 4 2 2 6 2 2" xfId="24661" xr:uid="{EAA0A179-A3A2-48E1-9661-221D6B13E688}"/>
    <cellStyle name="Normal 5 3 4 2 2 6 2 2 2" xfId="41555" xr:uid="{520DFF3A-E89D-4DDB-9056-6A75E3FCFCD9}"/>
    <cellStyle name="Normal 5 3 4 2 2 6 2 3" xfId="16214" xr:uid="{345B4F02-15DD-411A-9E2F-E92FBF36E6EF}"/>
    <cellStyle name="Normal 5 3 4 2 2 6 2 4" xfId="33108" xr:uid="{E811E93A-44B5-4D86-A804-D1E8B86360F1}"/>
    <cellStyle name="Normal 5 3 4 2 2 6 3" xfId="20444" xr:uid="{3B62CCD8-A7FB-4644-B6F3-5610FA2C6D4B}"/>
    <cellStyle name="Normal 5 3 4 2 2 6 3 2" xfId="37338" xr:uid="{1B9AA190-99EE-4887-95A7-C7E662278ECD}"/>
    <cellStyle name="Normal 5 3 4 2 2 6 4" xfId="11997" xr:uid="{683FF003-7C38-4705-AA0A-CFF6CC919300}"/>
    <cellStyle name="Normal 5 3 4 2 2 6 5" xfId="28891" xr:uid="{17345D80-AEEB-42BF-A5EF-7E011801F4AD}"/>
    <cellStyle name="Normal 5 3 4 2 2 7" xfId="4823" xr:uid="{00000000-0005-0000-0000-0000291A0000}"/>
    <cellStyle name="Normal 5 3 4 2 2 7 2" xfId="22596" xr:uid="{EFC7271D-A627-4545-9BF3-F93EC20DB940}"/>
    <cellStyle name="Normal 5 3 4 2 2 7 2 2" xfId="39490" xr:uid="{ECCDDCEE-5AEB-4F00-B048-63E2E7A5A2C0}"/>
    <cellStyle name="Normal 5 3 4 2 2 7 3" xfId="14149" xr:uid="{9F399723-1B2B-44C9-87D7-868CECA1E439}"/>
    <cellStyle name="Normal 5 3 4 2 2 7 4" xfId="31043" xr:uid="{9C32B044-E372-46ED-BE68-41CC557C8703}"/>
    <cellStyle name="Normal 5 3 4 2 2 8" xfId="9141" xr:uid="{6B63A6D0-0E60-498B-8E53-451D5144533A}"/>
    <cellStyle name="Normal 5 3 4 2 2 8 2" xfId="18379" xr:uid="{ED0465B0-CA97-41CC-A9BA-E50AEDA3F6DF}"/>
    <cellStyle name="Normal 5 3 4 2 2 8 3" xfId="35273" xr:uid="{E8DEAABF-3011-4CC9-806D-8F0169267429}"/>
    <cellStyle name="Normal 5 3 4 2 2 9" xfId="9932" xr:uid="{8080BB54-41B9-4747-88B6-A0A91D475E7E}"/>
    <cellStyle name="Normal 5 3 4 2 3" xfId="924" xr:uid="{00000000-0005-0000-0000-00002A1A0000}"/>
    <cellStyle name="Normal 5 3 4 2 3 2" xfId="3158" xr:uid="{00000000-0005-0000-0000-00002B1A0000}"/>
    <cellStyle name="Normal 5 3 4 2 3 2 2" xfId="7380" xr:uid="{00000000-0005-0000-0000-00002C1A0000}"/>
    <cellStyle name="Normal 5 3 4 2 3 2 2 2" xfId="25153" xr:uid="{A44A901B-72CF-4560-90DA-1C46EF71A2DE}"/>
    <cellStyle name="Normal 5 3 4 2 3 2 2 2 2" xfId="42047" xr:uid="{CF1E73F2-6BBA-4743-8C38-5D768DF9D064}"/>
    <cellStyle name="Normal 5 3 4 2 3 2 2 3" xfId="16706" xr:uid="{37DFBCCF-C440-45FB-B636-641412928491}"/>
    <cellStyle name="Normal 5 3 4 2 3 2 2 4" xfId="33600" xr:uid="{B5239F68-9DD9-4D09-8313-E4396DD3FDFD}"/>
    <cellStyle name="Normal 5 3 4 2 3 2 3" xfId="20936" xr:uid="{DB8F66A5-068E-44BE-BC91-727DD07E0A0E}"/>
    <cellStyle name="Normal 5 3 4 2 3 2 3 2" xfId="37830" xr:uid="{20599B37-26CA-4442-9190-1C5B431CA009}"/>
    <cellStyle name="Normal 5 3 4 2 3 2 4" xfId="12489" xr:uid="{B8BD8FEE-1E89-45A6-B3BC-C82BAD76DA37}"/>
    <cellStyle name="Normal 5 3 4 2 3 2 5" xfId="29383" xr:uid="{20DD0C44-5F12-4242-8786-8A591E3BBF8B}"/>
    <cellStyle name="Normal 5 3 4 2 3 3" xfId="5235" xr:uid="{00000000-0005-0000-0000-00002D1A0000}"/>
    <cellStyle name="Normal 5 3 4 2 3 3 2" xfId="23008" xr:uid="{4744B3B2-A002-4A48-8B9B-163D18C6F790}"/>
    <cellStyle name="Normal 5 3 4 2 3 3 2 2" xfId="39902" xr:uid="{911CD644-8F34-4EFD-91BB-8C717C5D9C00}"/>
    <cellStyle name="Normal 5 3 4 2 3 3 3" xfId="14561" xr:uid="{C104040E-3B16-4FC8-B3D9-E871232EDB1E}"/>
    <cellStyle name="Normal 5 3 4 2 3 3 4" xfId="31455" xr:uid="{9211AA59-05F3-4AD8-BCA1-60B8007ECB12}"/>
    <cellStyle name="Normal 5 3 4 2 3 4" xfId="9359" xr:uid="{FAC41203-2BC4-411F-9296-10781BA4F1AB}"/>
    <cellStyle name="Normal 5 3 4 2 3 4 2" xfId="18791" xr:uid="{8006A41E-86D0-4198-816D-FD5BD5A0A93F}"/>
    <cellStyle name="Normal 5 3 4 2 3 4 3" xfId="35685" xr:uid="{7105B822-D3BA-4FF6-842E-02AF0FD5B2B3}"/>
    <cellStyle name="Normal 5 3 4 2 3 5" xfId="10344" xr:uid="{1B8DA86C-38F1-4982-B646-6111FA03E6A3}"/>
    <cellStyle name="Normal 5 3 4 2 3 6" xfId="27238" xr:uid="{840CF01C-5063-4BF0-A157-140D195694D5}"/>
    <cellStyle name="Normal 5 3 4 2 4" xfId="1341" xr:uid="{00000000-0005-0000-0000-00002E1A0000}"/>
    <cellStyle name="Normal 5 3 4 2 4 2" xfId="3571" xr:uid="{00000000-0005-0000-0000-00002F1A0000}"/>
    <cellStyle name="Normal 5 3 4 2 4 2 2" xfId="7793" xr:uid="{00000000-0005-0000-0000-0000301A0000}"/>
    <cellStyle name="Normal 5 3 4 2 4 2 2 2" xfId="25566" xr:uid="{2F3618ED-E97E-48CD-AFA5-F1A83519F0A2}"/>
    <cellStyle name="Normal 5 3 4 2 4 2 2 2 2" xfId="42460" xr:uid="{27408395-C978-4A26-8DD1-B199130FD6D7}"/>
    <cellStyle name="Normal 5 3 4 2 4 2 2 3" xfId="17119" xr:uid="{74713028-FF2C-4267-AD76-2DE67BD6E6CD}"/>
    <cellStyle name="Normal 5 3 4 2 4 2 2 4" xfId="34013" xr:uid="{8CDF75C6-BE7A-45E5-8E10-F89B7FBAF8B9}"/>
    <cellStyle name="Normal 5 3 4 2 4 2 3" xfId="21349" xr:uid="{0FC03D57-7280-4108-AFAC-7D55C61E45D4}"/>
    <cellStyle name="Normal 5 3 4 2 4 2 3 2" xfId="38243" xr:uid="{7B1805B6-3842-4D50-AA59-CA07CAD09CAA}"/>
    <cellStyle name="Normal 5 3 4 2 4 2 4" xfId="12902" xr:uid="{F2EE8ED3-812D-418D-9242-BBB72E8AA13A}"/>
    <cellStyle name="Normal 5 3 4 2 4 2 5" xfId="29796" xr:uid="{45F518F8-CB9D-404F-BB29-16C3E2586923}"/>
    <cellStyle name="Normal 5 3 4 2 4 3" xfId="5648" xr:uid="{00000000-0005-0000-0000-0000311A0000}"/>
    <cellStyle name="Normal 5 3 4 2 4 3 2" xfId="23421" xr:uid="{FCC74D9F-7BBC-411D-9AF7-60D91E9862DA}"/>
    <cellStyle name="Normal 5 3 4 2 4 3 2 2" xfId="40315" xr:uid="{9A11BD1C-E4E5-4406-B151-41844DA630C9}"/>
    <cellStyle name="Normal 5 3 4 2 4 3 3" xfId="14974" xr:uid="{9C7CA5DC-AFD7-4204-BADA-86D9909B2D3D}"/>
    <cellStyle name="Normal 5 3 4 2 4 3 4" xfId="31868" xr:uid="{1AE32DFF-40C9-4954-90E3-05A358333D59}"/>
    <cellStyle name="Normal 5 3 4 2 4 4" xfId="19204" xr:uid="{07FD98FB-07AB-43A9-B25A-DB4C0581A63C}"/>
    <cellStyle name="Normal 5 3 4 2 4 4 2" xfId="36098" xr:uid="{90A442C6-6C3D-49DC-AA4A-EE56BAFFDF27}"/>
    <cellStyle name="Normal 5 3 4 2 4 5" xfId="10757" xr:uid="{8350F945-9B4A-485E-966D-D598AA664CD6}"/>
    <cellStyle name="Normal 5 3 4 2 4 6" xfId="27651" xr:uid="{E2567E15-21CB-41B3-B5BF-2A768448D18A}"/>
    <cellStyle name="Normal 5 3 4 2 5" xfId="1754" xr:uid="{00000000-0005-0000-0000-0000321A0000}"/>
    <cellStyle name="Normal 5 3 4 2 5 2" xfId="3984" xr:uid="{00000000-0005-0000-0000-0000331A0000}"/>
    <cellStyle name="Normal 5 3 4 2 5 2 2" xfId="8206" xr:uid="{00000000-0005-0000-0000-0000341A0000}"/>
    <cellStyle name="Normal 5 3 4 2 5 2 2 2" xfId="25979" xr:uid="{B67164FF-F013-48BC-BE5E-8FA93F520785}"/>
    <cellStyle name="Normal 5 3 4 2 5 2 2 2 2" xfId="42873" xr:uid="{2335F93D-6574-47CD-A03A-95709066F3A9}"/>
    <cellStyle name="Normal 5 3 4 2 5 2 2 3" xfId="17532" xr:uid="{CE5F1E9E-520D-4AEB-9B06-11332535E946}"/>
    <cellStyle name="Normal 5 3 4 2 5 2 2 4" xfId="34426" xr:uid="{863317A3-66E7-4928-8270-82FCB91DD82A}"/>
    <cellStyle name="Normal 5 3 4 2 5 2 3" xfId="21762" xr:uid="{FE78B8F5-ED62-4F50-9D7F-6C8242371BB7}"/>
    <cellStyle name="Normal 5 3 4 2 5 2 3 2" xfId="38656" xr:uid="{3B574B48-6804-454D-85B9-48AEAF24E720}"/>
    <cellStyle name="Normal 5 3 4 2 5 2 4" xfId="13315" xr:uid="{71EC1AFD-38CF-4D01-8520-63BD2D53FC02}"/>
    <cellStyle name="Normal 5 3 4 2 5 2 5" xfId="30209" xr:uid="{C6C27BE9-BCB7-4FF5-ACCC-C9ACCA6243AB}"/>
    <cellStyle name="Normal 5 3 4 2 5 3" xfId="6061" xr:uid="{00000000-0005-0000-0000-0000351A0000}"/>
    <cellStyle name="Normal 5 3 4 2 5 3 2" xfId="23834" xr:uid="{C8EF3667-D280-4362-BEF3-709AD7DA4E7F}"/>
    <cellStyle name="Normal 5 3 4 2 5 3 2 2" xfId="40728" xr:uid="{19A50532-3A1E-4B4C-A311-DB3D085F6517}"/>
    <cellStyle name="Normal 5 3 4 2 5 3 3" xfId="15387" xr:uid="{17A68DFA-8188-4A8A-B8E1-F7DE3355FAB7}"/>
    <cellStyle name="Normal 5 3 4 2 5 3 4" xfId="32281" xr:uid="{A3B6ECD3-F466-4365-BEC1-F835D4A73B76}"/>
    <cellStyle name="Normal 5 3 4 2 5 4" xfId="19617" xr:uid="{BB50E58C-B88C-4AAA-8557-AC0FC2AAB52B}"/>
    <cellStyle name="Normal 5 3 4 2 5 4 2" xfId="36511" xr:uid="{1EFB09BE-D8DB-4B48-BF74-00BC673DD253}"/>
    <cellStyle name="Normal 5 3 4 2 5 5" xfId="11170" xr:uid="{271D7E3B-0FF6-4D57-B573-4A24A2440E2A}"/>
    <cellStyle name="Normal 5 3 4 2 5 6" xfId="28064" xr:uid="{76669190-422A-45BB-BE2D-209C55A38B8C}"/>
    <cellStyle name="Normal 5 3 4 2 6" xfId="2168" xr:uid="{00000000-0005-0000-0000-0000361A0000}"/>
    <cellStyle name="Normal 5 3 4 2 6 2" xfId="4397" xr:uid="{00000000-0005-0000-0000-0000371A0000}"/>
    <cellStyle name="Normal 5 3 4 2 6 2 2" xfId="8619" xr:uid="{00000000-0005-0000-0000-0000381A0000}"/>
    <cellStyle name="Normal 5 3 4 2 6 2 2 2" xfId="26392" xr:uid="{48432674-6B7E-459C-9358-A8C7A4FC3049}"/>
    <cellStyle name="Normal 5 3 4 2 6 2 2 2 2" xfId="43286" xr:uid="{D4765715-D5A2-46F4-A169-F00EA8B70927}"/>
    <cellStyle name="Normal 5 3 4 2 6 2 2 3" xfId="17945" xr:uid="{23AD9A16-D0FF-4119-86AA-6916A340ABE3}"/>
    <cellStyle name="Normal 5 3 4 2 6 2 2 4" xfId="34839" xr:uid="{FA481A1E-17E7-4A6F-A8F2-03021A49B01C}"/>
    <cellStyle name="Normal 5 3 4 2 6 2 3" xfId="22175" xr:uid="{1A83FEF5-20EA-48DD-BFD7-30D36C231636}"/>
    <cellStyle name="Normal 5 3 4 2 6 2 3 2" xfId="39069" xr:uid="{98E66B51-00F4-40E6-A692-CB485FFCBA55}"/>
    <cellStyle name="Normal 5 3 4 2 6 2 4" xfId="13728" xr:uid="{ECD1D81D-CB50-47DF-9DC6-3C4D72F6BD70}"/>
    <cellStyle name="Normal 5 3 4 2 6 2 5" xfId="30622" xr:uid="{A62F4C31-9BC4-4C68-8A0D-65E04D7B47F8}"/>
    <cellStyle name="Normal 5 3 4 2 6 3" xfId="6474" xr:uid="{00000000-0005-0000-0000-0000391A0000}"/>
    <cellStyle name="Normal 5 3 4 2 6 3 2" xfId="24247" xr:uid="{C7BED157-4680-474F-9AF4-87FCD03FA1EB}"/>
    <cellStyle name="Normal 5 3 4 2 6 3 2 2" xfId="41141" xr:uid="{0D6DE8FC-622B-4F35-BEB2-877A178F91EA}"/>
    <cellStyle name="Normal 5 3 4 2 6 3 3" xfId="15800" xr:uid="{E57EDE72-9A01-4F27-9F1A-C1D9349F591F}"/>
    <cellStyle name="Normal 5 3 4 2 6 3 4" xfId="32694" xr:uid="{E157CAEF-147A-441B-847B-88FC195CDC35}"/>
    <cellStyle name="Normal 5 3 4 2 6 4" xfId="20030" xr:uid="{EC3977C8-44A0-4173-8422-1192F319EC96}"/>
    <cellStyle name="Normal 5 3 4 2 6 4 2" xfId="36924" xr:uid="{C4404C48-6F35-45FA-BC7C-4896BBEF80D0}"/>
    <cellStyle name="Normal 5 3 4 2 6 5" xfId="11583" xr:uid="{E3C5460B-76B6-4CC6-B318-1C7D1FF8217A}"/>
    <cellStyle name="Normal 5 3 4 2 6 6" xfId="28477" xr:uid="{354C10DF-6182-4A9D-9C88-312D374BB349}"/>
    <cellStyle name="Normal 5 3 4 2 7" xfId="2604" xr:uid="{00000000-0005-0000-0000-00003A1A0000}"/>
    <cellStyle name="Normal 5 3 4 2 7 2" xfId="6887" xr:uid="{00000000-0005-0000-0000-00003B1A0000}"/>
    <cellStyle name="Normal 5 3 4 2 7 2 2" xfId="24660" xr:uid="{F435BD9C-117A-4F93-BFF6-7A34A6A866BD}"/>
    <cellStyle name="Normal 5 3 4 2 7 2 2 2" xfId="41554" xr:uid="{255A2133-0D0C-4FF2-B4BE-4F0B766795BE}"/>
    <cellStyle name="Normal 5 3 4 2 7 2 3" xfId="16213" xr:uid="{C07366C0-A282-4787-8DDE-3416BD66FE83}"/>
    <cellStyle name="Normal 5 3 4 2 7 2 4" xfId="33107" xr:uid="{69251902-0B0B-43FD-9C82-F01B02C64D46}"/>
    <cellStyle name="Normal 5 3 4 2 7 3" xfId="20443" xr:uid="{9269CCB6-511E-4E15-98A2-EA6B7CDC5BA3}"/>
    <cellStyle name="Normal 5 3 4 2 7 3 2" xfId="37337" xr:uid="{320C0D93-F09D-4DA2-A608-49ECC8FC907E}"/>
    <cellStyle name="Normal 5 3 4 2 7 4" xfId="11996" xr:uid="{1F451B82-D0B9-4272-A128-3767EEA69668}"/>
    <cellStyle name="Normal 5 3 4 2 7 5" xfId="28890" xr:uid="{3E03747A-1A84-4C81-8C3C-AA7EFEEED4CF}"/>
    <cellStyle name="Normal 5 3 4 2 8" xfId="4822" xr:uid="{00000000-0005-0000-0000-00003C1A0000}"/>
    <cellStyle name="Normal 5 3 4 2 8 2" xfId="22595" xr:uid="{A6BFA5E2-B730-4097-A1E3-936D79DB5A39}"/>
    <cellStyle name="Normal 5 3 4 2 8 2 2" xfId="39489" xr:uid="{291B128F-7B47-4273-B6A4-2BA09678525F}"/>
    <cellStyle name="Normal 5 3 4 2 8 3" xfId="14148" xr:uid="{AC31440C-2E78-4910-99B0-6BA953937133}"/>
    <cellStyle name="Normal 5 3 4 2 8 4" xfId="31042" xr:uid="{FE1E95F9-366A-4360-AF8B-00E9806005E8}"/>
    <cellStyle name="Normal 5 3 4 2 9" xfId="8934" xr:uid="{D16D0DF9-4576-4200-8972-8AAD50545E0D}"/>
    <cellStyle name="Normal 5 3 4 2 9 2" xfId="18378" xr:uid="{299EB273-C1AC-4864-990C-B3C4E0DC26E0}"/>
    <cellStyle name="Normal 5 3 4 2 9 3" xfId="35272" xr:uid="{0F6D301C-E5D7-4AFA-835D-34D9F1D93716}"/>
    <cellStyle name="Normal 5 3 4 3" xfId="452" xr:uid="{00000000-0005-0000-0000-00003D1A0000}"/>
    <cellStyle name="Normal 5 3 4 3 10" xfId="26827" xr:uid="{0AFFAA60-9005-4B87-A5E6-4670ABBF7213}"/>
    <cellStyle name="Normal 5 3 4 3 2" xfId="926" xr:uid="{00000000-0005-0000-0000-00003E1A0000}"/>
    <cellStyle name="Normal 5 3 4 3 2 2" xfId="3160" xr:uid="{00000000-0005-0000-0000-00003F1A0000}"/>
    <cellStyle name="Normal 5 3 4 3 2 2 2" xfId="7382" xr:uid="{00000000-0005-0000-0000-0000401A0000}"/>
    <cellStyle name="Normal 5 3 4 3 2 2 2 2" xfId="25155" xr:uid="{479ADAA5-8436-4A24-92B5-E14AD47B63D8}"/>
    <cellStyle name="Normal 5 3 4 3 2 2 2 2 2" xfId="42049" xr:uid="{A24A922F-322D-48FA-A608-8B85357BE16C}"/>
    <cellStyle name="Normal 5 3 4 3 2 2 2 3" xfId="16708" xr:uid="{A82BF48E-3108-4436-B9F1-61E6B2DB8B0C}"/>
    <cellStyle name="Normal 5 3 4 3 2 2 2 4" xfId="33602" xr:uid="{50173C34-485B-4796-9E4D-E750F9767DB3}"/>
    <cellStyle name="Normal 5 3 4 3 2 2 3" xfId="20938" xr:uid="{D00793BC-D9DA-48A7-85DF-28A4014FCFA4}"/>
    <cellStyle name="Normal 5 3 4 3 2 2 3 2" xfId="37832" xr:uid="{B16E0358-2B15-41AE-AF99-10C56EFEAF2C}"/>
    <cellStyle name="Normal 5 3 4 3 2 2 4" xfId="12491" xr:uid="{F92229B4-F573-42B8-AFCB-354404C730BE}"/>
    <cellStyle name="Normal 5 3 4 3 2 2 5" xfId="29385" xr:uid="{740B737B-A5C0-4530-AD01-8B4D4F51002A}"/>
    <cellStyle name="Normal 5 3 4 3 2 3" xfId="5237" xr:uid="{00000000-0005-0000-0000-0000411A0000}"/>
    <cellStyle name="Normal 5 3 4 3 2 3 2" xfId="23010" xr:uid="{F342F55D-C1E9-464B-8515-5AAE079C30F7}"/>
    <cellStyle name="Normal 5 3 4 3 2 3 2 2" xfId="39904" xr:uid="{B448993A-E031-4F40-84E3-5D42BEF08870}"/>
    <cellStyle name="Normal 5 3 4 3 2 3 3" xfId="14563" xr:uid="{2A353EB2-0B74-4D55-A01A-8EAA430621E0}"/>
    <cellStyle name="Normal 5 3 4 3 2 3 4" xfId="31457" xr:uid="{6D164509-2236-4A96-A273-A90C3C18C599}"/>
    <cellStyle name="Normal 5 3 4 3 2 4" xfId="9463" xr:uid="{1CC38E89-013B-404F-9F3E-11BABC37F656}"/>
    <cellStyle name="Normal 5 3 4 3 2 4 2" xfId="18793" xr:uid="{28C45BA0-DC4B-4D26-965A-51CCE0BCC063}"/>
    <cellStyle name="Normal 5 3 4 3 2 4 3" xfId="35687" xr:uid="{584B86F0-8597-462B-B4A3-11ACD34E9C30}"/>
    <cellStyle name="Normal 5 3 4 3 2 5" xfId="10346" xr:uid="{F7CD7C08-A313-43AA-B30D-49F500D72C6D}"/>
    <cellStyle name="Normal 5 3 4 3 2 6" xfId="27240" xr:uid="{2B1647C2-7B1F-45A0-BF59-8ACAFE466D07}"/>
    <cellStyle name="Normal 5 3 4 3 3" xfId="1343" xr:uid="{00000000-0005-0000-0000-0000421A0000}"/>
    <cellStyle name="Normal 5 3 4 3 3 2" xfId="3573" xr:uid="{00000000-0005-0000-0000-0000431A0000}"/>
    <cellStyle name="Normal 5 3 4 3 3 2 2" xfId="7795" xr:uid="{00000000-0005-0000-0000-0000441A0000}"/>
    <cellStyle name="Normal 5 3 4 3 3 2 2 2" xfId="25568" xr:uid="{4C53B57B-6300-477B-B8C6-20E441670991}"/>
    <cellStyle name="Normal 5 3 4 3 3 2 2 2 2" xfId="42462" xr:uid="{14439279-DE37-44EC-A741-93E1CC660CB1}"/>
    <cellStyle name="Normal 5 3 4 3 3 2 2 3" xfId="17121" xr:uid="{33FAD9D2-D2DC-49EB-93C9-E80F229599F5}"/>
    <cellStyle name="Normal 5 3 4 3 3 2 2 4" xfId="34015" xr:uid="{3EAA02F8-3220-4AF9-8076-59D320A628C4}"/>
    <cellStyle name="Normal 5 3 4 3 3 2 3" xfId="21351" xr:uid="{3D5168A1-8C69-43FF-A909-3053118F779B}"/>
    <cellStyle name="Normal 5 3 4 3 3 2 3 2" xfId="38245" xr:uid="{A045EE73-B211-4D5B-8BC5-BC301E83097B}"/>
    <cellStyle name="Normal 5 3 4 3 3 2 4" xfId="12904" xr:uid="{B3BA9217-F0CB-4568-BD92-3F53982B0D28}"/>
    <cellStyle name="Normal 5 3 4 3 3 2 5" xfId="29798" xr:uid="{736E508F-85C1-4C2F-8F52-D6E45BFCF2F9}"/>
    <cellStyle name="Normal 5 3 4 3 3 3" xfId="5650" xr:uid="{00000000-0005-0000-0000-0000451A0000}"/>
    <cellStyle name="Normal 5 3 4 3 3 3 2" xfId="23423" xr:uid="{298580C4-27CC-4629-8898-F180DAFCCF14}"/>
    <cellStyle name="Normal 5 3 4 3 3 3 2 2" xfId="40317" xr:uid="{D7B5DFC5-4327-4C57-A813-1D3B979C655B}"/>
    <cellStyle name="Normal 5 3 4 3 3 3 3" xfId="14976" xr:uid="{A50E0C28-E18B-4383-99CE-F487B02EBD01}"/>
    <cellStyle name="Normal 5 3 4 3 3 3 4" xfId="31870" xr:uid="{FBC360C7-3AE8-4371-BDEC-602007AE0388}"/>
    <cellStyle name="Normal 5 3 4 3 3 4" xfId="19206" xr:uid="{0DE0F8CA-12C7-42A3-BB57-50642A8F18D9}"/>
    <cellStyle name="Normal 5 3 4 3 3 4 2" xfId="36100" xr:uid="{B6C230F4-5661-4838-93DC-E0606812B975}"/>
    <cellStyle name="Normal 5 3 4 3 3 5" xfId="10759" xr:uid="{19E9BFFC-51FE-4DB2-A6D9-CCDD9D1D7772}"/>
    <cellStyle name="Normal 5 3 4 3 3 6" xfId="27653" xr:uid="{DE2B2640-146E-4D94-BFA0-CB26CBFD6E6E}"/>
    <cellStyle name="Normal 5 3 4 3 4" xfId="1756" xr:uid="{00000000-0005-0000-0000-0000461A0000}"/>
    <cellStyle name="Normal 5 3 4 3 4 2" xfId="3986" xr:uid="{00000000-0005-0000-0000-0000471A0000}"/>
    <cellStyle name="Normal 5 3 4 3 4 2 2" xfId="8208" xr:uid="{00000000-0005-0000-0000-0000481A0000}"/>
    <cellStyle name="Normal 5 3 4 3 4 2 2 2" xfId="25981" xr:uid="{AB2B45DB-ED9D-439B-865D-FEB05A9EFF9C}"/>
    <cellStyle name="Normal 5 3 4 3 4 2 2 2 2" xfId="42875" xr:uid="{2634934E-C755-412F-865A-C543B95B3103}"/>
    <cellStyle name="Normal 5 3 4 3 4 2 2 3" xfId="17534" xr:uid="{97DC68C3-D2FB-475E-85B4-748D4B4809FF}"/>
    <cellStyle name="Normal 5 3 4 3 4 2 2 4" xfId="34428" xr:uid="{AC52F758-D35F-43E8-885E-69516BFD696E}"/>
    <cellStyle name="Normal 5 3 4 3 4 2 3" xfId="21764" xr:uid="{B7EE05E8-25F2-4AD0-B2C3-329CE87975CC}"/>
    <cellStyle name="Normal 5 3 4 3 4 2 3 2" xfId="38658" xr:uid="{736A55CD-D939-4FAE-9234-9E9893FA5F44}"/>
    <cellStyle name="Normal 5 3 4 3 4 2 4" xfId="13317" xr:uid="{BE3811C4-316C-4904-AE1E-F131B15C07DA}"/>
    <cellStyle name="Normal 5 3 4 3 4 2 5" xfId="30211" xr:uid="{8B003389-9386-4607-A313-0D350C550D92}"/>
    <cellStyle name="Normal 5 3 4 3 4 3" xfId="6063" xr:uid="{00000000-0005-0000-0000-0000491A0000}"/>
    <cellStyle name="Normal 5 3 4 3 4 3 2" xfId="23836" xr:uid="{C5748083-A7E3-434A-8D8E-F2DA22C739B8}"/>
    <cellStyle name="Normal 5 3 4 3 4 3 2 2" xfId="40730" xr:uid="{A892919E-6040-40A7-B72B-A332820FDD31}"/>
    <cellStyle name="Normal 5 3 4 3 4 3 3" xfId="15389" xr:uid="{87A21C5F-0DB5-4449-927F-325CA72B784C}"/>
    <cellStyle name="Normal 5 3 4 3 4 3 4" xfId="32283" xr:uid="{49CA598F-17F0-4FC5-9742-2AB20F3BC125}"/>
    <cellStyle name="Normal 5 3 4 3 4 4" xfId="19619" xr:uid="{3533C6E2-D75E-40DD-AAB4-B9B5B1194F48}"/>
    <cellStyle name="Normal 5 3 4 3 4 4 2" xfId="36513" xr:uid="{6D75040E-C761-438E-A18C-A46AD38DE7E7}"/>
    <cellStyle name="Normal 5 3 4 3 4 5" xfId="11172" xr:uid="{B2D40090-1C09-4797-A47E-BC40DA63B185}"/>
    <cellStyle name="Normal 5 3 4 3 4 6" xfId="28066" xr:uid="{D6EF3B75-CB61-476E-8601-A834018D2B13}"/>
    <cellStyle name="Normal 5 3 4 3 5" xfId="2170" xr:uid="{00000000-0005-0000-0000-00004A1A0000}"/>
    <cellStyle name="Normal 5 3 4 3 5 2" xfId="4399" xr:uid="{00000000-0005-0000-0000-00004B1A0000}"/>
    <cellStyle name="Normal 5 3 4 3 5 2 2" xfId="8621" xr:uid="{00000000-0005-0000-0000-00004C1A0000}"/>
    <cellStyle name="Normal 5 3 4 3 5 2 2 2" xfId="26394" xr:uid="{611C4206-EA4B-415E-954B-B7A5D6AC8D96}"/>
    <cellStyle name="Normal 5 3 4 3 5 2 2 2 2" xfId="43288" xr:uid="{C9A6A322-FEE0-461C-A2D6-368DD2D89B6C}"/>
    <cellStyle name="Normal 5 3 4 3 5 2 2 3" xfId="17947" xr:uid="{B4D70920-D22D-4674-9AFB-218A2A201A14}"/>
    <cellStyle name="Normal 5 3 4 3 5 2 2 4" xfId="34841" xr:uid="{BEA6E0A8-DBE8-4FF5-980C-ABEE42A80D8C}"/>
    <cellStyle name="Normal 5 3 4 3 5 2 3" xfId="22177" xr:uid="{5E527A79-08DA-47C3-A1A6-FACFE7C57F5C}"/>
    <cellStyle name="Normal 5 3 4 3 5 2 3 2" xfId="39071" xr:uid="{174936A3-02FA-4F25-9DCD-73CD2F5284C8}"/>
    <cellStyle name="Normal 5 3 4 3 5 2 4" xfId="13730" xr:uid="{58FEDF8A-5BC1-4C9E-8324-37FC230D8653}"/>
    <cellStyle name="Normal 5 3 4 3 5 2 5" xfId="30624" xr:uid="{D05A62A0-E575-43A8-A226-CF26C2616E72}"/>
    <cellStyle name="Normal 5 3 4 3 5 3" xfId="6476" xr:uid="{00000000-0005-0000-0000-00004D1A0000}"/>
    <cellStyle name="Normal 5 3 4 3 5 3 2" xfId="24249" xr:uid="{004DC6FE-D869-4A7A-ADAF-73FB1DBF6DFB}"/>
    <cellStyle name="Normal 5 3 4 3 5 3 2 2" xfId="41143" xr:uid="{3DFCDD87-DEF3-4337-A232-8F6106F14F21}"/>
    <cellStyle name="Normal 5 3 4 3 5 3 3" xfId="15802" xr:uid="{29AA41E0-BD5A-4E75-BC3B-9645BAD6A096}"/>
    <cellStyle name="Normal 5 3 4 3 5 3 4" xfId="32696" xr:uid="{CDE880D4-7FEF-4654-AF94-9775CB6DE85A}"/>
    <cellStyle name="Normal 5 3 4 3 5 4" xfId="20032" xr:uid="{4F33245C-EC03-4549-905A-4F9ED53A5D29}"/>
    <cellStyle name="Normal 5 3 4 3 5 4 2" xfId="36926" xr:uid="{60828FC4-2E12-4721-BCFA-46E19C20A795}"/>
    <cellStyle name="Normal 5 3 4 3 5 5" xfId="11585" xr:uid="{CA894BF7-BC75-449A-93BC-47E9C05A7F06}"/>
    <cellStyle name="Normal 5 3 4 3 5 6" xfId="28479" xr:uid="{AD5259A1-420A-4AA8-BEA8-173A904244EF}"/>
    <cellStyle name="Normal 5 3 4 3 6" xfId="2606" xr:uid="{00000000-0005-0000-0000-00004E1A0000}"/>
    <cellStyle name="Normal 5 3 4 3 6 2" xfId="6889" xr:uid="{00000000-0005-0000-0000-00004F1A0000}"/>
    <cellStyle name="Normal 5 3 4 3 6 2 2" xfId="24662" xr:uid="{403224EB-847E-45E5-9FFA-5F07A5C5E495}"/>
    <cellStyle name="Normal 5 3 4 3 6 2 2 2" xfId="41556" xr:uid="{6A6AB598-2C8F-4A96-BE5E-94267D22563C}"/>
    <cellStyle name="Normal 5 3 4 3 6 2 3" xfId="16215" xr:uid="{B87A80B7-DB8D-4C8B-BB8B-4D69C1E48CD5}"/>
    <cellStyle name="Normal 5 3 4 3 6 2 4" xfId="33109" xr:uid="{2533F124-FB7D-4890-803A-065CB96F9085}"/>
    <cellStyle name="Normal 5 3 4 3 6 3" xfId="20445" xr:uid="{E04950C7-448D-4EF6-A5DD-CEBFAE7687E4}"/>
    <cellStyle name="Normal 5 3 4 3 6 3 2" xfId="37339" xr:uid="{300377D6-B646-457C-B410-3057B6B042C1}"/>
    <cellStyle name="Normal 5 3 4 3 6 4" xfId="11998" xr:uid="{53F5BEED-E6B0-40FE-BF02-7EA2069060B8}"/>
    <cellStyle name="Normal 5 3 4 3 6 5" xfId="28892" xr:uid="{B08C9142-041C-47F0-96F2-3588BCEB6EFB}"/>
    <cellStyle name="Normal 5 3 4 3 7" xfId="4824" xr:uid="{00000000-0005-0000-0000-0000501A0000}"/>
    <cellStyle name="Normal 5 3 4 3 7 2" xfId="22597" xr:uid="{2E6FC09A-06BD-4328-9946-BDE42B4E26ED}"/>
    <cellStyle name="Normal 5 3 4 3 7 2 2" xfId="39491" xr:uid="{CF83CD18-8C5D-4782-8B62-D4B497C24193}"/>
    <cellStyle name="Normal 5 3 4 3 7 3" xfId="14150" xr:uid="{50BEF130-A2E7-46DD-ABB1-0DCBECADE2F8}"/>
    <cellStyle name="Normal 5 3 4 3 7 4" xfId="31044" xr:uid="{F9B51FEF-B71D-469D-8671-9A50F73440FD}"/>
    <cellStyle name="Normal 5 3 4 3 8" xfId="9038" xr:uid="{15024032-E3C2-4FDD-B674-481D39A836C5}"/>
    <cellStyle name="Normal 5 3 4 3 8 2" xfId="18380" xr:uid="{A8254F2A-BA4F-4A0F-B9DE-8F6E4013A409}"/>
    <cellStyle name="Normal 5 3 4 3 8 3" xfId="35274" xr:uid="{73F24EC8-5077-423B-AA78-CCFF95E4971B}"/>
    <cellStyle name="Normal 5 3 4 3 9" xfId="9933" xr:uid="{974DA381-100A-4A5A-BE00-5B080D684678}"/>
    <cellStyle name="Normal 5 3 4 4" xfId="923" xr:uid="{00000000-0005-0000-0000-0000511A0000}"/>
    <cellStyle name="Normal 5 3 4 4 2" xfId="3157" xr:uid="{00000000-0005-0000-0000-0000521A0000}"/>
    <cellStyle name="Normal 5 3 4 4 2 2" xfId="7379" xr:uid="{00000000-0005-0000-0000-0000531A0000}"/>
    <cellStyle name="Normal 5 3 4 4 2 2 2" xfId="25152" xr:uid="{02588A3C-AB33-416F-B44C-880D038A9C62}"/>
    <cellStyle name="Normal 5 3 4 4 2 2 2 2" xfId="42046" xr:uid="{2DA28775-3BA9-42AD-A2FC-33DEDBF32C80}"/>
    <cellStyle name="Normal 5 3 4 4 2 2 3" xfId="16705" xr:uid="{2976C861-3029-49A2-B3F7-60CA719D1830}"/>
    <cellStyle name="Normal 5 3 4 4 2 2 4" xfId="33599" xr:uid="{82FBDC2E-9791-458A-B9B9-6451E0FAD600}"/>
    <cellStyle name="Normal 5 3 4 4 2 3" xfId="20935" xr:uid="{1066B766-F568-4DB1-8355-47A6A5E3017C}"/>
    <cellStyle name="Normal 5 3 4 4 2 3 2" xfId="37829" xr:uid="{AE38CC90-34F1-41FD-BD08-A676BBC2365B}"/>
    <cellStyle name="Normal 5 3 4 4 2 4" xfId="12488" xr:uid="{80D1B441-7911-419D-B623-FD52FA3DEFAD}"/>
    <cellStyle name="Normal 5 3 4 4 2 5" xfId="29382" xr:uid="{F4E2D48C-9D99-4CB6-A112-FCCBAAE619D3}"/>
    <cellStyle name="Normal 5 3 4 4 3" xfId="5234" xr:uid="{00000000-0005-0000-0000-0000541A0000}"/>
    <cellStyle name="Normal 5 3 4 4 3 2" xfId="23007" xr:uid="{F390494B-63D3-4A04-84C2-C4DE95290A26}"/>
    <cellStyle name="Normal 5 3 4 4 3 2 2" xfId="39901" xr:uid="{EDAE7DAF-8BF7-454A-AE98-6E55DD6DD5D8}"/>
    <cellStyle name="Normal 5 3 4 4 3 3" xfId="14560" xr:uid="{59E62802-AFB8-44F1-885F-1F88A361982A}"/>
    <cellStyle name="Normal 5 3 4 4 3 4" xfId="31454" xr:uid="{D7C20A4B-A249-42AE-9CD8-0A47030883B5}"/>
    <cellStyle name="Normal 5 3 4 4 4" xfId="9256" xr:uid="{69A14F57-2B46-4294-8CA5-E21858516C25}"/>
    <cellStyle name="Normal 5 3 4 4 4 2" xfId="18790" xr:uid="{3F38FCAE-F7D0-4062-A346-8D80D3766331}"/>
    <cellStyle name="Normal 5 3 4 4 4 3" xfId="35684" xr:uid="{EA98624E-BA95-44E9-A64E-2957D6532CFC}"/>
    <cellStyle name="Normal 5 3 4 4 5" xfId="10343" xr:uid="{37C42EF2-4B75-43F2-ADBC-E5A740011266}"/>
    <cellStyle name="Normal 5 3 4 4 6" xfId="27237" xr:uid="{EBDCDE95-D14E-44AB-83BF-4C787527682B}"/>
    <cellStyle name="Normal 5 3 4 5" xfId="1340" xr:uid="{00000000-0005-0000-0000-0000551A0000}"/>
    <cellStyle name="Normal 5 3 4 5 2" xfId="3570" xr:uid="{00000000-0005-0000-0000-0000561A0000}"/>
    <cellStyle name="Normal 5 3 4 5 2 2" xfId="7792" xr:uid="{00000000-0005-0000-0000-0000571A0000}"/>
    <cellStyle name="Normal 5 3 4 5 2 2 2" xfId="25565" xr:uid="{EF04EA60-41E4-4670-B05D-4A36EF34DF9C}"/>
    <cellStyle name="Normal 5 3 4 5 2 2 2 2" xfId="42459" xr:uid="{48210F4A-E2EC-44CA-BE99-3FF751413D80}"/>
    <cellStyle name="Normal 5 3 4 5 2 2 3" xfId="17118" xr:uid="{C2C6ABD9-6C38-4DC3-850E-D8DFD4AFD264}"/>
    <cellStyle name="Normal 5 3 4 5 2 2 4" xfId="34012" xr:uid="{4D357760-D9C2-449C-B935-884AADBA09E7}"/>
    <cellStyle name="Normal 5 3 4 5 2 3" xfId="21348" xr:uid="{DBB375B7-3377-4EE8-80CC-7174B41BA1C1}"/>
    <cellStyle name="Normal 5 3 4 5 2 3 2" xfId="38242" xr:uid="{251EFB5B-C50C-4066-B640-8D38D9480E63}"/>
    <cellStyle name="Normal 5 3 4 5 2 4" xfId="12901" xr:uid="{9ED4939A-E4F8-452A-95EF-F71AB8D5E006}"/>
    <cellStyle name="Normal 5 3 4 5 2 5" xfId="29795" xr:uid="{F89BAFFA-BCC5-4437-82E8-2DE7C7FEEE12}"/>
    <cellStyle name="Normal 5 3 4 5 3" xfId="5647" xr:uid="{00000000-0005-0000-0000-0000581A0000}"/>
    <cellStyle name="Normal 5 3 4 5 3 2" xfId="23420" xr:uid="{6FB289E7-F9D5-4E31-832C-2D50539E7219}"/>
    <cellStyle name="Normal 5 3 4 5 3 2 2" xfId="40314" xr:uid="{49969698-EE94-49ED-91E5-BEB3CECD292E}"/>
    <cellStyle name="Normal 5 3 4 5 3 3" xfId="14973" xr:uid="{6138F0B5-B251-4CF0-866A-019899948697}"/>
    <cellStyle name="Normal 5 3 4 5 3 4" xfId="31867" xr:uid="{C62068D7-F3A0-4E03-B08B-9FEF979F8497}"/>
    <cellStyle name="Normal 5 3 4 5 4" xfId="19203" xr:uid="{9D5E8274-9611-42E1-A87F-8624976D694E}"/>
    <cellStyle name="Normal 5 3 4 5 4 2" xfId="36097" xr:uid="{8882510C-6820-44B8-818A-1D0B4BE09E47}"/>
    <cellStyle name="Normal 5 3 4 5 5" xfId="10756" xr:uid="{9FD86E05-B769-48E0-BDF7-9FBC2EF78EAD}"/>
    <cellStyle name="Normal 5 3 4 5 6" xfId="27650" xr:uid="{E3B10D8C-2F64-4076-BAD5-00A145F1AB73}"/>
    <cellStyle name="Normal 5 3 4 6" xfId="1753" xr:uid="{00000000-0005-0000-0000-0000591A0000}"/>
    <cellStyle name="Normal 5 3 4 6 2" xfId="3983" xr:uid="{00000000-0005-0000-0000-00005A1A0000}"/>
    <cellStyle name="Normal 5 3 4 6 2 2" xfId="8205" xr:uid="{00000000-0005-0000-0000-00005B1A0000}"/>
    <cellStyle name="Normal 5 3 4 6 2 2 2" xfId="25978" xr:uid="{01B9530D-B857-4942-82B0-FCCC5996897D}"/>
    <cellStyle name="Normal 5 3 4 6 2 2 2 2" xfId="42872" xr:uid="{0C419A53-CE46-498A-8004-6F347C4C4471}"/>
    <cellStyle name="Normal 5 3 4 6 2 2 3" xfId="17531" xr:uid="{6E3D4334-2855-4931-A6DA-E9DED1AC410F}"/>
    <cellStyle name="Normal 5 3 4 6 2 2 4" xfId="34425" xr:uid="{901C9F40-C9EE-4177-9FC5-F7F5BB787A42}"/>
    <cellStyle name="Normal 5 3 4 6 2 3" xfId="21761" xr:uid="{F8074590-AD03-46BA-8529-DC766E20EE9E}"/>
    <cellStyle name="Normal 5 3 4 6 2 3 2" xfId="38655" xr:uid="{AF27A4BC-1CB0-4FD8-B029-09DB6D8E058E}"/>
    <cellStyle name="Normal 5 3 4 6 2 4" xfId="13314" xr:uid="{5EA2041A-0F9A-4A06-AA4B-3F4F1A345F0A}"/>
    <cellStyle name="Normal 5 3 4 6 2 5" xfId="30208" xr:uid="{A2E988D1-B60D-4A89-8ECA-CB2869DD3389}"/>
    <cellStyle name="Normal 5 3 4 6 3" xfId="6060" xr:uid="{00000000-0005-0000-0000-00005C1A0000}"/>
    <cellStyle name="Normal 5 3 4 6 3 2" xfId="23833" xr:uid="{5F20ADFE-401A-43A8-8BAC-B3A0E7F54BE3}"/>
    <cellStyle name="Normal 5 3 4 6 3 2 2" xfId="40727" xr:uid="{72D5C341-3278-4907-8510-E474BA5E895F}"/>
    <cellStyle name="Normal 5 3 4 6 3 3" xfId="15386" xr:uid="{687313B6-7B2E-49F9-9A88-4EAC39B6BE69}"/>
    <cellStyle name="Normal 5 3 4 6 3 4" xfId="32280" xr:uid="{2F2C153C-955A-4B83-B93C-560C075857E8}"/>
    <cellStyle name="Normal 5 3 4 6 4" xfId="19616" xr:uid="{663AA2BD-6D83-4647-BA9E-3DBD6505422F}"/>
    <cellStyle name="Normal 5 3 4 6 4 2" xfId="36510" xr:uid="{49636805-23A5-4772-B09B-A9B5863F14E1}"/>
    <cellStyle name="Normal 5 3 4 6 5" xfId="11169" xr:uid="{56131D3C-A0D7-4339-8113-6285656456D2}"/>
    <cellStyle name="Normal 5 3 4 6 6" xfId="28063" xr:uid="{B0A93635-6D0A-4E65-8BCC-188A984F8538}"/>
    <cellStyle name="Normal 5 3 4 7" xfId="2167" xr:uid="{00000000-0005-0000-0000-00005D1A0000}"/>
    <cellStyle name="Normal 5 3 4 7 2" xfId="4396" xr:uid="{00000000-0005-0000-0000-00005E1A0000}"/>
    <cellStyle name="Normal 5 3 4 7 2 2" xfId="8618" xr:uid="{00000000-0005-0000-0000-00005F1A0000}"/>
    <cellStyle name="Normal 5 3 4 7 2 2 2" xfId="26391" xr:uid="{250DBC0C-1A14-44CC-98AD-832E4B58D9AE}"/>
    <cellStyle name="Normal 5 3 4 7 2 2 2 2" xfId="43285" xr:uid="{37A89D22-88CC-4BCD-A4B3-668F75B9E142}"/>
    <cellStyle name="Normal 5 3 4 7 2 2 3" xfId="17944" xr:uid="{C322EE31-12D7-4523-A3A7-26DF5F24AC17}"/>
    <cellStyle name="Normal 5 3 4 7 2 2 4" xfId="34838" xr:uid="{F9870B0F-B22E-4368-A155-63A7D26FCD70}"/>
    <cellStyle name="Normal 5 3 4 7 2 3" xfId="22174" xr:uid="{3240A7D9-AE84-4C86-98CC-3F0C4EE8DE9C}"/>
    <cellStyle name="Normal 5 3 4 7 2 3 2" xfId="39068" xr:uid="{C94A1234-B1F8-48AE-9600-0DC3CD5F1562}"/>
    <cellStyle name="Normal 5 3 4 7 2 4" xfId="13727" xr:uid="{7DE08918-6AB3-492F-954B-2D251FAA9ADB}"/>
    <cellStyle name="Normal 5 3 4 7 2 5" xfId="30621" xr:uid="{B2B456D2-EE48-4A76-A9EE-49C9638A4838}"/>
    <cellStyle name="Normal 5 3 4 7 3" xfId="6473" xr:uid="{00000000-0005-0000-0000-0000601A0000}"/>
    <cellStyle name="Normal 5 3 4 7 3 2" xfId="24246" xr:uid="{A6F6F59C-B5B2-4E34-BB92-442E14162477}"/>
    <cellStyle name="Normal 5 3 4 7 3 2 2" xfId="41140" xr:uid="{C4B53C96-BA59-4EDE-A75E-10093DF0D755}"/>
    <cellStyle name="Normal 5 3 4 7 3 3" xfId="15799" xr:uid="{1DB75595-CEDD-43CF-BEBF-66973ABDE03D}"/>
    <cellStyle name="Normal 5 3 4 7 3 4" xfId="32693" xr:uid="{D318AB79-2E42-4CB2-8A4C-4596D640DC87}"/>
    <cellStyle name="Normal 5 3 4 7 4" xfId="20029" xr:uid="{EBF23B6C-656E-4B65-ADCE-1AD5AAC9C476}"/>
    <cellStyle name="Normal 5 3 4 7 4 2" xfId="36923" xr:uid="{FBD1B18C-DA5F-4FF8-95AC-994C4512C4BF}"/>
    <cellStyle name="Normal 5 3 4 7 5" xfId="11582" xr:uid="{83D1F292-0C0E-4EA2-9F6A-D247CA64C6F1}"/>
    <cellStyle name="Normal 5 3 4 7 6" xfId="28476" xr:uid="{79FD0DB7-D1B1-418B-AF17-41FCF432ED13}"/>
    <cellStyle name="Normal 5 3 4 8" xfId="2603" xr:uid="{00000000-0005-0000-0000-0000611A0000}"/>
    <cellStyle name="Normal 5 3 4 8 2" xfId="6886" xr:uid="{00000000-0005-0000-0000-0000621A0000}"/>
    <cellStyle name="Normal 5 3 4 8 2 2" xfId="24659" xr:uid="{849C66E3-52EA-4B76-BA09-4DB633D936C6}"/>
    <cellStyle name="Normal 5 3 4 8 2 2 2" xfId="41553" xr:uid="{A74DF109-77D0-47CE-ADA4-6EE6B17874ED}"/>
    <cellStyle name="Normal 5 3 4 8 2 3" xfId="16212" xr:uid="{3D404C64-7578-418F-9860-E64A071D2F11}"/>
    <cellStyle name="Normal 5 3 4 8 2 4" xfId="33106" xr:uid="{927C06EC-7D40-4729-B28F-976EE40DFFDD}"/>
    <cellStyle name="Normal 5 3 4 8 3" xfId="20442" xr:uid="{7BA760AE-3DBF-4AD9-8248-6D699EAFEC7F}"/>
    <cellStyle name="Normal 5 3 4 8 3 2" xfId="37336" xr:uid="{385C84E9-23F6-40EA-B118-655B5253F546}"/>
    <cellStyle name="Normal 5 3 4 8 4" xfId="11995" xr:uid="{04405056-43AE-4AE1-9925-2D438786F3EE}"/>
    <cellStyle name="Normal 5 3 4 8 5" xfId="28889" xr:uid="{C23F33D7-D9DA-42E0-A892-E9FE51372F72}"/>
    <cellStyle name="Normal 5 3 4 9" xfId="4821" xr:uid="{00000000-0005-0000-0000-0000631A0000}"/>
    <cellStyle name="Normal 5 3 4 9 2" xfId="22594" xr:uid="{0A547C3B-4F9E-425F-A1E6-5C9906CE03A9}"/>
    <cellStyle name="Normal 5 3 4 9 2 2" xfId="39488" xr:uid="{60768B8E-6B3D-4F2E-A914-D0F7DD9FF3C0}"/>
    <cellStyle name="Normal 5 3 4 9 3" xfId="14147" xr:uid="{9AE16877-55D4-42F9-87D2-EE1E42ED275A}"/>
    <cellStyle name="Normal 5 3 4 9 4" xfId="31041" xr:uid="{150DDBC3-9702-40F2-A657-A880A7D994BF}"/>
    <cellStyle name="Normal 5 3 5" xfId="453" xr:uid="{00000000-0005-0000-0000-0000641A0000}"/>
    <cellStyle name="Normal 5 3 5 10" xfId="9934" xr:uid="{21A15A3B-B284-4DF2-8BDB-CD10910EDB25}"/>
    <cellStyle name="Normal 5 3 5 11" xfId="26828" xr:uid="{E6A27682-C17C-40BB-BD22-09815A307372}"/>
    <cellStyle name="Normal 5 3 5 2" xfId="454" xr:uid="{00000000-0005-0000-0000-0000651A0000}"/>
    <cellStyle name="Normal 5 3 5 2 10" xfId="26829" xr:uid="{9005654B-D4B5-44A0-8AAF-4753071040AD}"/>
    <cellStyle name="Normal 5 3 5 2 2" xfId="928" xr:uid="{00000000-0005-0000-0000-0000661A0000}"/>
    <cellStyle name="Normal 5 3 5 2 2 2" xfId="3162" xr:uid="{00000000-0005-0000-0000-0000671A0000}"/>
    <cellStyle name="Normal 5 3 5 2 2 2 2" xfId="7384" xr:uid="{00000000-0005-0000-0000-0000681A0000}"/>
    <cellStyle name="Normal 5 3 5 2 2 2 2 2" xfId="25157" xr:uid="{FAB621C9-6737-40BF-A072-C1B1C4E05A65}"/>
    <cellStyle name="Normal 5 3 5 2 2 2 2 2 2" xfId="42051" xr:uid="{4AFF95E3-825D-464F-ABD0-5CB9F7A36F88}"/>
    <cellStyle name="Normal 5 3 5 2 2 2 2 3" xfId="16710" xr:uid="{9E2024FF-C0D8-4C76-9A08-CD9597552ABA}"/>
    <cellStyle name="Normal 5 3 5 2 2 2 2 4" xfId="33604" xr:uid="{0634CBEB-4590-4844-BB45-68E922FA049E}"/>
    <cellStyle name="Normal 5 3 5 2 2 2 3" xfId="20940" xr:uid="{13308D27-2536-4422-BECC-77A4E798F376}"/>
    <cellStyle name="Normal 5 3 5 2 2 2 3 2" xfId="37834" xr:uid="{F03BDC90-6F71-4BF5-911C-9928C228C2F9}"/>
    <cellStyle name="Normal 5 3 5 2 2 2 4" xfId="12493" xr:uid="{A7EA975D-B35E-4988-9A4E-61F91A5C2FAE}"/>
    <cellStyle name="Normal 5 3 5 2 2 2 5" xfId="29387" xr:uid="{9BBF1D28-ACD8-4C2B-809C-D78F7C907C27}"/>
    <cellStyle name="Normal 5 3 5 2 2 3" xfId="5239" xr:uid="{00000000-0005-0000-0000-0000691A0000}"/>
    <cellStyle name="Normal 5 3 5 2 2 3 2" xfId="23012" xr:uid="{3A9252EC-3471-45F2-9358-E023F9B265C9}"/>
    <cellStyle name="Normal 5 3 5 2 2 3 2 2" xfId="39906" xr:uid="{A5A1ABF1-8193-41FA-BB8E-051B2F81B5F6}"/>
    <cellStyle name="Normal 5 3 5 2 2 3 3" xfId="14565" xr:uid="{A138687C-9BF0-4CF3-B8AF-F746B158B185}"/>
    <cellStyle name="Normal 5 3 5 2 2 3 4" xfId="31459" xr:uid="{E449D589-5A14-4D56-B179-849BDA519F61}"/>
    <cellStyle name="Normal 5 3 5 2 2 4" xfId="9485" xr:uid="{E88A0512-4544-44F7-B02F-696DEB177F8E}"/>
    <cellStyle name="Normal 5 3 5 2 2 4 2" xfId="18795" xr:uid="{32CF3661-1D3E-486E-B7F5-66638383F5FB}"/>
    <cellStyle name="Normal 5 3 5 2 2 4 3" xfId="35689" xr:uid="{75874ED4-CA09-4BB1-836A-F43229B78275}"/>
    <cellStyle name="Normal 5 3 5 2 2 5" xfId="10348" xr:uid="{ED673E46-388A-4556-9717-E1870CDE356F}"/>
    <cellStyle name="Normal 5 3 5 2 2 6" xfId="27242" xr:uid="{56C822B6-128F-4B82-8429-910932F7BC97}"/>
    <cellStyle name="Normal 5 3 5 2 3" xfId="1345" xr:uid="{00000000-0005-0000-0000-00006A1A0000}"/>
    <cellStyle name="Normal 5 3 5 2 3 2" xfId="3575" xr:uid="{00000000-0005-0000-0000-00006B1A0000}"/>
    <cellStyle name="Normal 5 3 5 2 3 2 2" xfId="7797" xr:uid="{00000000-0005-0000-0000-00006C1A0000}"/>
    <cellStyle name="Normal 5 3 5 2 3 2 2 2" xfId="25570" xr:uid="{48DC9C34-4164-4571-86D9-E8BE853BDBCF}"/>
    <cellStyle name="Normal 5 3 5 2 3 2 2 2 2" xfId="42464" xr:uid="{705BD057-C1CA-4400-9259-9F56DF03B004}"/>
    <cellStyle name="Normal 5 3 5 2 3 2 2 3" xfId="17123" xr:uid="{BAAE2A52-C381-4547-898E-1C17A740D391}"/>
    <cellStyle name="Normal 5 3 5 2 3 2 2 4" xfId="34017" xr:uid="{F0D8683A-9BBE-4643-801A-F535A685A77B}"/>
    <cellStyle name="Normal 5 3 5 2 3 2 3" xfId="21353" xr:uid="{7C4BAEFC-CABB-4690-90B5-1FB29DF87351}"/>
    <cellStyle name="Normal 5 3 5 2 3 2 3 2" xfId="38247" xr:uid="{F3E73E0B-FCA1-4735-BFA2-57FD37FB12E3}"/>
    <cellStyle name="Normal 5 3 5 2 3 2 4" xfId="12906" xr:uid="{8CDAF763-3D84-4398-8015-88A72D5D100A}"/>
    <cellStyle name="Normal 5 3 5 2 3 2 5" xfId="29800" xr:uid="{722E5077-8F39-4DC4-A997-1565A2437611}"/>
    <cellStyle name="Normal 5 3 5 2 3 3" xfId="5652" xr:uid="{00000000-0005-0000-0000-00006D1A0000}"/>
    <cellStyle name="Normal 5 3 5 2 3 3 2" xfId="23425" xr:uid="{A59C9AE7-8C79-4443-B705-3FF9D10F9A3D}"/>
    <cellStyle name="Normal 5 3 5 2 3 3 2 2" xfId="40319" xr:uid="{5C9A2378-51A8-434B-88C1-01F4127D2FCA}"/>
    <cellStyle name="Normal 5 3 5 2 3 3 3" xfId="14978" xr:uid="{A5416403-11C3-44BE-9C65-8B846C66EF93}"/>
    <cellStyle name="Normal 5 3 5 2 3 3 4" xfId="31872" xr:uid="{7FFA9651-B855-4749-8551-B06D05582B1A}"/>
    <cellStyle name="Normal 5 3 5 2 3 4" xfId="19208" xr:uid="{442F408A-7B88-4BCD-9686-28750D0E5EC8}"/>
    <cellStyle name="Normal 5 3 5 2 3 4 2" xfId="36102" xr:uid="{1FBD4F62-2A62-4BE3-A77E-794BE8C8D853}"/>
    <cellStyle name="Normal 5 3 5 2 3 5" xfId="10761" xr:uid="{0849221D-3786-4549-8C16-C11EEC816F01}"/>
    <cellStyle name="Normal 5 3 5 2 3 6" xfId="27655" xr:uid="{56BF8836-BB14-40D2-B5B9-8272845563B0}"/>
    <cellStyle name="Normal 5 3 5 2 4" xfId="1758" xr:uid="{00000000-0005-0000-0000-00006E1A0000}"/>
    <cellStyle name="Normal 5 3 5 2 4 2" xfId="3988" xr:uid="{00000000-0005-0000-0000-00006F1A0000}"/>
    <cellStyle name="Normal 5 3 5 2 4 2 2" xfId="8210" xr:uid="{00000000-0005-0000-0000-0000701A0000}"/>
    <cellStyle name="Normal 5 3 5 2 4 2 2 2" xfId="25983" xr:uid="{28CEE8AE-FADB-45A7-A168-D01825F2C925}"/>
    <cellStyle name="Normal 5 3 5 2 4 2 2 2 2" xfId="42877" xr:uid="{0B0E9845-B172-46A3-BDA8-918B4E4ACF44}"/>
    <cellStyle name="Normal 5 3 5 2 4 2 2 3" xfId="17536" xr:uid="{2153970D-3143-4576-A6CF-D7716609431C}"/>
    <cellStyle name="Normal 5 3 5 2 4 2 2 4" xfId="34430" xr:uid="{04F99D67-3E1A-47B3-8935-BC3B3EEE256F}"/>
    <cellStyle name="Normal 5 3 5 2 4 2 3" xfId="21766" xr:uid="{AF5461E1-E8BA-4192-A7EC-FBB5A89F80C1}"/>
    <cellStyle name="Normal 5 3 5 2 4 2 3 2" xfId="38660" xr:uid="{4246D662-8B23-4357-90B1-D8DDF83FA300}"/>
    <cellStyle name="Normal 5 3 5 2 4 2 4" xfId="13319" xr:uid="{EF8D977B-20ED-4CAE-8CC7-C8F7E3E4E179}"/>
    <cellStyle name="Normal 5 3 5 2 4 2 5" xfId="30213" xr:uid="{0CE0A216-1851-419B-9D2E-7FA324B4170E}"/>
    <cellStyle name="Normal 5 3 5 2 4 3" xfId="6065" xr:uid="{00000000-0005-0000-0000-0000711A0000}"/>
    <cellStyle name="Normal 5 3 5 2 4 3 2" xfId="23838" xr:uid="{BFA31AAF-D13A-4F45-B55D-B3C315AD901D}"/>
    <cellStyle name="Normal 5 3 5 2 4 3 2 2" xfId="40732" xr:uid="{2785008B-15EB-4D5F-B827-2E3749920C9C}"/>
    <cellStyle name="Normal 5 3 5 2 4 3 3" xfId="15391" xr:uid="{E102709F-90D8-46B4-B09F-7811506EE57D}"/>
    <cellStyle name="Normal 5 3 5 2 4 3 4" xfId="32285" xr:uid="{30FE2EBC-943E-4D31-81EF-1D40E6DACB6E}"/>
    <cellStyle name="Normal 5 3 5 2 4 4" xfId="19621" xr:uid="{AA8DB363-4B9F-482F-A319-1627A451875A}"/>
    <cellStyle name="Normal 5 3 5 2 4 4 2" xfId="36515" xr:uid="{1E2D4D5E-C0F9-42BF-8BAF-8762CDFAA6AB}"/>
    <cellStyle name="Normal 5 3 5 2 4 5" xfId="11174" xr:uid="{7AE05BA8-AB40-4DB8-9D31-701FAD23481F}"/>
    <cellStyle name="Normal 5 3 5 2 4 6" xfId="28068" xr:uid="{EFB90196-2903-443D-893D-8A04474103C7}"/>
    <cellStyle name="Normal 5 3 5 2 5" xfId="2172" xr:uid="{00000000-0005-0000-0000-0000721A0000}"/>
    <cellStyle name="Normal 5 3 5 2 5 2" xfId="4401" xr:uid="{00000000-0005-0000-0000-0000731A0000}"/>
    <cellStyle name="Normal 5 3 5 2 5 2 2" xfId="8623" xr:uid="{00000000-0005-0000-0000-0000741A0000}"/>
    <cellStyle name="Normal 5 3 5 2 5 2 2 2" xfId="26396" xr:uid="{00C75934-8176-4294-82A2-30B8DD9C32B3}"/>
    <cellStyle name="Normal 5 3 5 2 5 2 2 2 2" xfId="43290" xr:uid="{B850796B-8473-4776-9BD9-009EF334CF37}"/>
    <cellStyle name="Normal 5 3 5 2 5 2 2 3" xfId="17949" xr:uid="{992DC1E7-A5FA-4600-BBCD-FB43208D472A}"/>
    <cellStyle name="Normal 5 3 5 2 5 2 2 4" xfId="34843" xr:uid="{8D1A8EDB-8023-43DB-BC8C-92282B1F83EF}"/>
    <cellStyle name="Normal 5 3 5 2 5 2 3" xfId="22179" xr:uid="{0A6197E9-D876-4153-84B7-67BD0FFBB776}"/>
    <cellStyle name="Normal 5 3 5 2 5 2 3 2" xfId="39073" xr:uid="{F1E98AD9-ADF3-4619-BE90-70A81DB396F4}"/>
    <cellStyle name="Normal 5 3 5 2 5 2 4" xfId="13732" xr:uid="{29F5FF11-81CB-4CB0-A899-B916580E42ED}"/>
    <cellStyle name="Normal 5 3 5 2 5 2 5" xfId="30626" xr:uid="{46ED8B0E-00AD-4F3D-A3B9-32CB989FFB9F}"/>
    <cellStyle name="Normal 5 3 5 2 5 3" xfId="6478" xr:uid="{00000000-0005-0000-0000-0000751A0000}"/>
    <cellStyle name="Normal 5 3 5 2 5 3 2" xfId="24251" xr:uid="{A411A2AD-2960-4399-BB3F-8B74BBFB5511}"/>
    <cellStyle name="Normal 5 3 5 2 5 3 2 2" xfId="41145" xr:uid="{56931448-AD17-4F73-9D42-0AB074F50B50}"/>
    <cellStyle name="Normal 5 3 5 2 5 3 3" xfId="15804" xr:uid="{CD070835-13EC-4FF7-901E-042A1AA26A9D}"/>
    <cellStyle name="Normal 5 3 5 2 5 3 4" xfId="32698" xr:uid="{C8EDFA1A-84BC-4255-85D0-ACE6C4D5F1B2}"/>
    <cellStyle name="Normal 5 3 5 2 5 4" xfId="20034" xr:uid="{613FD876-C935-441A-9D3E-7EA126AA7616}"/>
    <cellStyle name="Normal 5 3 5 2 5 4 2" xfId="36928" xr:uid="{A5978B38-58CB-4C08-8790-0DA36CE95C17}"/>
    <cellStyle name="Normal 5 3 5 2 5 5" xfId="11587" xr:uid="{53569164-FD52-488C-9FC8-D48B2F4A8C01}"/>
    <cellStyle name="Normal 5 3 5 2 5 6" xfId="28481" xr:uid="{524EA9D5-96E6-4B45-9A45-EACA34E6D478}"/>
    <cellStyle name="Normal 5 3 5 2 6" xfId="2608" xr:uid="{00000000-0005-0000-0000-0000761A0000}"/>
    <cellStyle name="Normal 5 3 5 2 6 2" xfId="6891" xr:uid="{00000000-0005-0000-0000-0000771A0000}"/>
    <cellStyle name="Normal 5 3 5 2 6 2 2" xfId="24664" xr:uid="{2AED2E41-1C90-4937-98A4-9AABF3EAA7A8}"/>
    <cellStyle name="Normal 5 3 5 2 6 2 2 2" xfId="41558" xr:uid="{89F07CA4-F83F-441B-9E3E-EBA0564C86D1}"/>
    <cellStyle name="Normal 5 3 5 2 6 2 3" xfId="16217" xr:uid="{834F3ACF-4A42-40C1-A99D-61C004E7F53B}"/>
    <cellStyle name="Normal 5 3 5 2 6 2 4" xfId="33111" xr:uid="{DBF64EE0-53B3-4680-9959-ECAD3E50A119}"/>
    <cellStyle name="Normal 5 3 5 2 6 3" xfId="20447" xr:uid="{DF2FA90D-0704-40F9-BF48-E8B1C7122B7A}"/>
    <cellStyle name="Normal 5 3 5 2 6 3 2" xfId="37341" xr:uid="{A43FFD73-CC12-40FF-89FA-E7DDB6270158}"/>
    <cellStyle name="Normal 5 3 5 2 6 4" xfId="12000" xr:uid="{C5B0979D-D1EB-413D-AD26-CBBD865FF79E}"/>
    <cellStyle name="Normal 5 3 5 2 6 5" xfId="28894" xr:uid="{BDEAB079-EA05-42C8-8840-08EA6FB99DDB}"/>
    <cellStyle name="Normal 5 3 5 2 7" xfId="4826" xr:uid="{00000000-0005-0000-0000-0000781A0000}"/>
    <cellStyle name="Normal 5 3 5 2 7 2" xfId="22599" xr:uid="{8A840B18-DB4B-4A2D-9BE7-74FDAB11D439}"/>
    <cellStyle name="Normal 5 3 5 2 7 2 2" xfId="39493" xr:uid="{7BC7F455-6A62-46AB-993F-B99192756A80}"/>
    <cellStyle name="Normal 5 3 5 2 7 3" xfId="14152" xr:uid="{E7DB63A0-A9C3-4A1F-A657-3FF0CE7570C2}"/>
    <cellStyle name="Normal 5 3 5 2 7 4" xfId="31046" xr:uid="{2876F381-D427-4178-B937-CA12B9DFC432}"/>
    <cellStyle name="Normal 5 3 5 2 8" xfId="9060" xr:uid="{D76124DC-5753-46E4-97E7-1D76E6E20EEE}"/>
    <cellStyle name="Normal 5 3 5 2 8 2" xfId="18382" xr:uid="{A2CB0E6B-EF92-498C-BFEF-B59066AF9AE3}"/>
    <cellStyle name="Normal 5 3 5 2 8 3" xfId="35276" xr:uid="{DDF521F5-7631-48C2-9CDD-D46C0F607A86}"/>
    <cellStyle name="Normal 5 3 5 2 9" xfId="9935" xr:uid="{EC6709F7-D4CC-430C-BA60-D4E04E6E5410}"/>
    <cellStyle name="Normal 5 3 5 3" xfId="927" xr:uid="{00000000-0005-0000-0000-0000791A0000}"/>
    <cellStyle name="Normal 5 3 5 3 2" xfId="3161" xr:uid="{00000000-0005-0000-0000-00007A1A0000}"/>
    <cellStyle name="Normal 5 3 5 3 2 2" xfId="7383" xr:uid="{00000000-0005-0000-0000-00007B1A0000}"/>
    <cellStyle name="Normal 5 3 5 3 2 2 2" xfId="25156" xr:uid="{7F4E85DA-4171-4BFF-A9FC-AFF621BDA0E2}"/>
    <cellStyle name="Normal 5 3 5 3 2 2 2 2" xfId="42050" xr:uid="{7B7A4839-9939-4FB1-89BE-764799929755}"/>
    <cellStyle name="Normal 5 3 5 3 2 2 3" xfId="16709" xr:uid="{22BE4824-F176-4E4F-BFB9-241C45B88022}"/>
    <cellStyle name="Normal 5 3 5 3 2 2 4" xfId="33603" xr:uid="{98E96831-FEE2-43AB-8864-8B6C24BAD182}"/>
    <cellStyle name="Normal 5 3 5 3 2 3" xfId="20939" xr:uid="{BE142844-E428-4CD5-B511-76D5A4C62B66}"/>
    <cellStyle name="Normal 5 3 5 3 2 3 2" xfId="37833" xr:uid="{6BE28CDF-5FCE-4FB4-8CA6-4A4E61C40390}"/>
    <cellStyle name="Normal 5 3 5 3 2 4" xfId="12492" xr:uid="{F9DEA69C-C527-4CAD-9CC7-BD3E617E9C19}"/>
    <cellStyle name="Normal 5 3 5 3 2 5" xfId="29386" xr:uid="{2EDE539A-DF6E-482E-99A4-2F7DD1243EFB}"/>
    <cellStyle name="Normal 5 3 5 3 3" xfId="5238" xr:uid="{00000000-0005-0000-0000-00007C1A0000}"/>
    <cellStyle name="Normal 5 3 5 3 3 2" xfId="23011" xr:uid="{7BA9D54D-EC7C-43B4-8894-CA8E404800A9}"/>
    <cellStyle name="Normal 5 3 5 3 3 2 2" xfId="39905" xr:uid="{A39791AB-E1B3-46F1-9D39-E2CBFED98240}"/>
    <cellStyle name="Normal 5 3 5 3 3 3" xfId="14564" xr:uid="{84B2D1A1-11E0-4E66-8A72-5901F6A15240}"/>
    <cellStyle name="Normal 5 3 5 3 3 4" xfId="31458" xr:uid="{96218EC9-8B08-4012-AECB-74A52F5CEB5B}"/>
    <cellStyle name="Normal 5 3 5 3 4" xfId="9278" xr:uid="{6197750A-97CA-41EF-A67C-63E25EE58E9E}"/>
    <cellStyle name="Normal 5 3 5 3 4 2" xfId="18794" xr:uid="{6E98D95D-08B4-4AB4-99CF-91F91194FB9E}"/>
    <cellStyle name="Normal 5 3 5 3 4 3" xfId="35688" xr:uid="{2B0BCE89-F594-4493-B251-56ECDED1771E}"/>
    <cellStyle name="Normal 5 3 5 3 5" xfId="10347" xr:uid="{F3E0D62D-E3C2-46DA-90D7-0F64ED929660}"/>
    <cellStyle name="Normal 5 3 5 3 6" xfId="27241" xr:uid="{9028962F-0548-4EE8-A564-C96B41935237}"/>
    <cellStyle name="Normal 5 3 5 4" xfId="1344" xr:uid="{00000000-0005-0000-0000-00007D1A0000}"/>
    <cellStyle name="Normal 5 3 5 4 2" xfId="3574" xr:uid="{00000000-0005-0000-0000-00007E1A0000}"/>
    <cellStyle name="Normal 5 3 5 4 2 2" xfId="7796" xr:uid="{00000000-0005-0000-0000-00007F1A0000}"/>
    <cellStyle name="Normal 5 3 5 4 2 2 2" xfId="25569" xr:uid="{35C0A54A-4600-42A9-89F4-383B7EE0A156}"/>
    <cellStyle name="Normal 5 3 5 4 2 2 2 2" xfId="42463" xr:uid="{C8100AF5-FDBA-441B-9B3F-CC9B3F123DDE}"/>
    <cellStyle name="Normal 5 3 5 4 2 2 3" xfId="17122" xr:uid="{941A6B14-5017-4772-A36E-62B230298D95}"/>
    <cellStyle name="Normal 5 3 5 4 2 2 4" xfId="34016" xr:uid="{401EAD93-39CD-4186-B234-18BE4AF5F97E}"/>
    <cellStyle name="Normal 5 3 5 4 2 3" xfId="21352" xr:uid="{332C13B4-B365-413F-B03F-447E34ABC222}"/>
    <cellStyle name="Normal 5 3 5 4 2 3 2" xfId="38246" xr:uid="{FAEE541C-D090-44D5-9EB9-E331DB310AE1}"/>
    <cellStyle name="Normal 5 3 5 4 2 4" xfId="12905" xr:uid="{25AA3F4C-D185-47E3-84C7-9BAF83E21D98}"/>
    <cellStyle name="Normal 5 3 5 4 2 5" xfId="29799" xr:uid="{8ACE4FE5-3E71-435A-B887-1B4B41C2AE78}"/>
    <cellStyle name="Normal 5 3 5 4 3" xfId="5651" xr:uid="{00000000-0005-0000-0000-0000801A0000}"/>
    <cellStyle name="Normal 5 3 5 4 3 2" xfId="23424" xr:uid="{10DE1D13-04F3-4737-8E58-145E377C9C14}"/>
    <cellStyle name="Normal 5 3 5 4 3 2 2" xfId="40318" xr:uid="{C30F5857-BB78-4B5D-A1FE-9F4E179F1D17}"/>
    <cellStyle name="Normal 5 3 5 4 3 3" xfId="14977" xr:uid="{9FAFE297-8C7C-4DEB-8EE2-BF1286EDED0D}"/>
    <cellStyle name="Normal 5 3 5 4 3 4" xfId="31871" xr:uid="{084D870E-B02E-4CBD-ACED-364043CC6D75}"/>
    <cellStyle name="Normal 5 3 5 4 4" xfId="19207" xr:uid="{C2CDA767-0A8D-460B-AF78-EBA79DC4BABC}"/>
    <cellStyle name="Normal 5 3 5 4 4 2" xfId="36101" xr:uid="{3D965D4E-058F-4277-873C-2366D6BFF69C}"/>
    <cellStyle name="Normal 5 3 5 4 5" xfId="10760" xr:uid="{BD7BEB0B-018C-4EF8-8CF4-468E5B75A1F5}"/>
    <cellStyle name="Normal 5 3 5 4 6" xfId="27654" xr:uid="{C6EA5372-C160-4D82-BD46-B786DCED0A72}"/>
    <cellStyle name="Normal 5 3 5 5" xfId="1757" xr:uid="{00000000-0005-0000-0000-0000811A0000}"/>
    <cellStyle name="Normal 5 3 5 5 2" xfId="3987" xr:uid="{00000000-0005-0000-0000-0000821A0000}"/>
    <cellStyle name="Normal 5 3 5 5 2 2" xfId="8209" xr:uid="{00000000-0005-0000-0000-0000831A0000}"/>
    <cellStyle name="Normal 5 3 5 5 2 2 2" xfId="25982" xr:uid="{1D42DCB6-F4EB-4C51-AE90-4017083A24D3}"/>
    <cellStyle name="Normal 5 3 5 5 2 2 2 2" xfId="42876" xr:uid="{61D7455D-3912-481A-A055-7AD18F88FE82}"/>
    <cellStyle name="Normal 5 3 5 5 2 2 3" xfId="17535" xr:uid="{94170408-2C74-495B-9415-CC18E01CCAD6}"/>
    <cellStyle name="Normal 5 3 5 5 2 2 4" xfId="34429" xr:uid="{617D99F9-3CB2-463C-A10E-43787B479C96}"/>
    <cellStyle name="Normal 5 3 5 5 2 3" xfId="21765" xr:uid="{4ED4FFD8-9ED2-4983-ACAE-6C29572C7B93}"/>
    <cellStyle name="Normal 5 3 5 5 2 3 2" xfId="38659" xr:uid="{84A883D6-A253-41C2-B690-BC8E3A96BA2A}"/>
    <cellStyle name="Normal 5 3 5 5 2 4" xfId="13318" xr:uid="{CF233BB8-0743-47F0-BBA3-4B9FCAF8DD16}"/>
    <cellStyle name="Normal 5 3 5 5 2 5" xfId="30212" xr:uid="{835A38CD-CDF9-4CA4-8D6C-2380C07085A6}"/>
    <cellStyle name="Normal 5 3 5 5 3" xfId="6064" xr:uid="{00000000-0005-0000-0000-0000841A0000}"/>
    <cellStyle name="Normal 5 3 5 5 3 2" xfId="23837" xr:uid="{A4C030E1-C149-4833-9DE9-101A61E3CED8}"/>
    <cellStyle name="Normal 5 3 5 5 3 2 2" xfId="40731" xr:uid="{F3B7A794-03EE-4D20-A407-9B1903128661}"/>
    <cellStyle name="Normal 5 3 5 5 3 3" xfId="15390" xr:uid="{67166B08-4DF9-4CC0-9BBE-3290CD4AB987}"/>
    <cellStyle name="Normal 5 3 5 5 3 4" xfId="32284" xr:uid="{1F8A7E10-9A93-4297-8006-98CF99F15DD6}"/>
    <cellStyle name="Normal 5 3 5 5 4" xfId="19620" xr:uid="{FC5ECED6-8A96-4A4A-A738-7A7315BC573C}"/>
    <cellStyle name="Normal 5 3 5 5 4 2" xfId="36514" xr:uid="{C22A288E-FE96-4F56-AE4A-014636FC42FF}"/>
    <cellStyle name="Normal 5 3 5 5 5" xfId="11173" xr:uid="{9845802B-9760-4197-8FDE-1D959B45EDA4}"/>
    <cellStyle name="Normal 5 3 5 5 6" xfId="28067" xr:uid="{FF2F8B07-7B7E-4E8C-8DD4-E418769543F5}"/>
    <cellStyle name="Normal 5 3 5 6" xfId="2171" xr:uid="{00000000-0005-0000-0000-0000851A0000}"/>
    <cellStyle name="Normal 5 3 5 6 2" xfId="4400" xr:uid="{00000000-0005-0000-0000-0000861A0000}"/>
    <cellStyle name="Normal 5 3 5 6 2 2" xfId="8622" xr:uid="{00000000-0005-0000-0000-0000871A0000}"/>
    <cellStyle name="Normal 5 3 5 6 2 2 2" xfId="26395" xr:uid="{0F57F44B-DE91-45FB-BC63-B2AE8B3DE777}"/>
    <cellStyle name="Normal 5 3 5 6 2 2 2 2" xfId="43289" xr:uid="{D7211399-A7B1-4A1C-A525-690AD440A169}"/>
    <cellStyle name="Normal 5 3 5 6 2 2 3" xfId="17948" xr:uid="{94C773BE-6959-4CB9-88FE-53506C5D1AD9}"/>
    <cellStyle name="Normal 5 3 5 6 2 2 4" xfId="34842" xr:uid="{A019ACD6-FDA3-4A07-A2E9-882DA57685DE}"/>
    <cellStyle name="Normal 5 3 5 6 2 3" xfId="22178" xr:uid="{042D6006-A18B-489C-8391-6935E27FB2A6}"/>
    <cellStyle name="Normal 5 3 5 6 2 3 2" xfId="39072" xr:uid="{58704739-E47D-47E3-B496-25555CD9C316}"/>
    <cellStyle name="Normal 5 3 5 6 2 4" xfId="13731" xr:uid="{7254216E-A2D3-4E7C-B35E-D3D225059780}"/>
    <cellStyle name="Normal 5 3 5 6 2 5" xfId="30625" xr:uid="{0B8733BF-21A8-43D9-8F16-E2094A325249}"/>
    <cellStyle name="Normal 5 3 5 6 3" xfId="6477" xr:uid="{00000000-0005-0000-0000-0000881A0000}"/>
    <cellStyle name="Normal 5 3 5 6 3 2" xfId="24250" xr:uid="{B14099E3-327B-45FC-92DB-0500E9D93608}"/>
    <cellStyle name="Normal 5 3 5 6 3 2 2" xfId="41144" xr:uid="{659CE680-446A-41CD-87B4-BB94AC100348}"/>
    <cellStyle name="Normal 5 3 5 6 3 3" xfId="15803" xr:uid="{F9169BDF-A1B9-4A76-8922-BDF100D6E19A}"/>
    <cellStyle name="Normal 5 3 5 6 3 4" xfId="32697" xr:uid="{DF80805A-C89A-47C8-B79E-40F79FECFE31}"/>
    <cellStyle name="Normal 5 3 5 6 4" xfId="20033" xr:uid="{933FB9AD-D918-4976-AB4E-315FF5B765FD}"/>
    <cellStyle name="Normal 5 3 5 6 4 2" xfId="36927" xr:uid="{6BF0146B-85A7-42AC-8834-BBFAD9EB63BB}"/>
    <cellStyle name="Normal 5 3 5 6 5" xfId="11586" xr:uid="{DCD3078E-2BC8-4C4A-8B10-F904F7D99D04}"/>
    <cellStyle name="Normal 5 3 5 6 6" xfId="28480" xr:uid="{97AF65A9-11B0-459B-9F97-B8A300320D4C}"/>
    <cellStyle name="Normal 5 3 5 7" xfId="2607" xr:uid="{00000000-0005-0000-0000-0000891A0000}"/>
    <cellStyle name="Normal 5 3 5 7 2" xfId="6890" xr:uid="{00000000-0005-0000-0000-00008A1A0000}"/>
    <cellStyle name="Normal 5 3 5 7 2 2" xfId="24663" xr:uid="{A9C031DC-A69D-479A-9534-C3493DAC98EF}"/>
    <cellStyle name="Normal 5 3 5 7 2 2 2" xfId="41557" xr:uid="{07F67CBE-4DAE-4252-9A09-4D4BE30E3C20}"/>
    <cellStyle name="Normal 5 3 5 7 2 3" xfId="16216" xr:uid="{A0EF6EE8-3353-4685-A88E-F16FFBADCCB4}"/>
    <cellStyle name="Normal 5 3 5 7 2 4" xfId="33110" xr:uid="{7920178C-6CD5-4470-91C1-4EC8858B5B8E}"/>
    <cellStyle name="Normal 5 3 5 7 3" xfId="20446" xr:uid="{182038B2-6940-44FC-8CE8-129FA5742002}"/>
    <cellStyle name="Normal 5 3 5 7 3 2" xfId="37340" xr:uid="{70A3D627-712F-462E-8045-1134AD02B6CE}"/>
    <cellStyle name="Normal 5 3 5 7 4" xfId="11999" xr:uid="{D58590BA-60D5-493B-B8A4-1ED62EF37AE5}"/>
    <cellStyle name="Normal 5 3 5 7 5" xfId="28893" xr:uid="{CE365308-E893-4DA7-BDC6-77E2747259B0}"/>
    <cellStyle name="Normal 5 3 5 8" xfId="4825" xr:uid="{00000000-0005-0000-0000-00008B1A0000}"/>
    <cellStyle name="Normal 5 3 5 8 2" xfId="22598" xr:uid="{C48572AC-4EA7-428B-B864-89250C36AEBE}"/>
    <cellStyle name="Normal 5 3 5 8 2 2" xfId="39492" xr:uid="{4694EEAD-D32B-4D2D-8937-D18107E8833A}"/>
    <cellStyle name="Normal 5 3 5 8 3" xfId="14151" xr:uid="{2ADAD930-6A2F-4931-8B7B-FA0EA94AC66E}"/>
    <cellStyle name="Normal 5 3 5 8 4" xfId="31045" xr:uid="{05205675-C062-40E4-BF35-5C059DAFEA6D}"/>
    <cellStyle name="Normal 5 3 5 9" xfId="8853" xr:uid="{049FA2CE-003F-47C1-A264-645323886F35}"/>
    <cellStyle name="Normal 5 3 5 9 2" xfId="18381" xr:uid="{67FCDC7F-0C5B-4FC7-9013-9BC4E48DA587}"/>
    <cellStyle name="Normal 5 3 5 9 3" xfId="35275" xr:uid="{00643F73-52B5-416E-860C-F4674D9BCD15}"/>
    <cellStyle name="Normal 5 3 6" xfId="455" xr:uid="{00000000-0005-0000-0000-00008C1A0000}"/>
    <cellStyle name="Normal 5 3 6 10" xfId="26830" xr:uid="{F8282061-9BA7-41C0-A202-13A25F862B05}"/>
    <cellStyle name="Normal 5 3 6 2" xfId="929" xr:uid="{00000000-0005-0000-0000-00008D1A0000}"/>
    <cellStyle name="Normal 5 3 6 2 2" xfId="3163" xr:uid="{00000000-0005-0000-0000-00008E1A0000}"/>
    <cellStyle name="Normal 5 3 6 2 2 2" xfId="7385" xr:uid="{00000000-0005-0000-0000-00008F1A0000}"/>
    <cellStyle name="Normal 5 3 6 2 2 2 2" xfId="25158" xr:uid="{5F190E98-F950-4136-93E8-6A116E0EFFE7}"/>
    <cellStyle name="Normal 5 3 6 2 2 2 2 2" xfId="42052" xr:uid="{A7156BC0-4E60-4A4F-85D4-59C6D1FECDAD}"/>
    <cellStyle name="Normal 5 3 6 2 2 2 3" xfId="16711" xr:uid="{A5134704-F640-4DDD-BBAD-D70357D6D7C3}"/>
    <cellStyle name="Normal 5 3 6 2 2 2 4" xfId="33605" xr:uid="{7D72B62E-2ADA-4E4F-B0C8-7E648E9B8F25}"/>
    <cellStyle name="Normal 5 3 6 2 2 3" xfId="20941" xr:uid="{F6D1475E-DA87-4138-8327-1145BA149D8C}"/>
    <cellStyle name="Normal 5 3 6 2 2 3 2" xfId="37835" xr:uid="{D6ABF33C-81B2-4200-A376-C233231222B3}"/>
    <cellStyle name="Normal 5 3 6 2 2 4" xfId="12494" xr:uid="{A90E672A-56F1-4418-AC93-B8900E38F075}"/>
    <cellStyle name="Normal 5 3 6 2 2 5" xfId="29388" xr:uid="{3077D158-C447-4B2E-A2A9-8E9E464BEF52}"/>
    <cellStyle name="Normal 5 3 6 2 3" xfId="5240" xr:uid="{00000000-0005-0000-0000-0000901A0000}"/>
    <cellStyle name="Normal 5 3 6 2 3 2" xfId="23013" xr:uid="{73682E23-3E46-42F7-A4BE-D616D432EA03}"/>
    <cellStyle name="Normal 5 3 6 2 3 2 2" xfId="39907" xr:uid="{65C2D0B8-AB54-43DC-B3C0-6D94FAF13785}"/>
    <cellStyle name="Normal 5 3 6 2 3 3" xfId="14566" xr:uid="{6B16E1B6-B812-445B-869B-BBDB390F1D2A}"/>
    <cellStyle name="Normal 5 3 6 2 3 4" xfId="31460" xr:uid="{4CBC74C4-6739-4598-B922-2AB5C666A2DA}"/>
    <cellStyle name="Normal 5 3 6 2 4" xfId="9394" xr:uid="{040FDD8C-10C9-4583-9A6E-8F76047ECA0C}"/>
    <cellStyle name="Normal 5 3 6 2 4 2" xfId="18796" xr:uid="{B5DDFE1D-9B33-4780-AFCE-DC13156A01B4}"/>
    <cellStyle name="Normal 5 3 6 2 4 3" xfId="35690" xr:uid="{D14DE4D4-EEDA-4361-BCB2-5DCFA06E8C12}"/>
    <cellStyle name="Normal 5 3 6 2 5" xfId="10349" xr:uid="{7E4649E0-D7CD-4DA5-B2C0-3A2A0FE9CB73}"/>
    <cellStyle name="Normal 5 3 6 2 6" xfId="27243" xr:uid="{44D13838-D834-4507-BDF7-8E751A6B727C}"/>
    <cellStyle name="Normal 5 3 6 3" xfId="1346" xr:uid="{00000000-0005-0000-0000-0000911A0000}"/>
    <cellStyle name="Normal 5 3 6 3 2" xfId="3576" xr:uid="{00000000-0005-0000-0000-0000921A0000}"/>
    <cellStyle name="Normal 5 3 6 3 2 2" xfId="7798" xr:uid="{00000000-0005-0000-0000-0000931A0000}"/>
    <cellStyle name="Normal 5 3 6 3 2 2 2" xfId="25571" xr:uid="{42C14FE0-276C-49A4-92FF-01E9D5074BEF}"/>
    <cellStyle name="Normal 5 3 6 3 2 2 2 2" xfId="42465" xr:uid="{E5EF4FE5-6DD0-4092-AABF-4DD36837D589}"/>
    <cellStyle name="Normal 5 3 6 3 2 2 3" xfId="17124" xr:uid="{7166CADD-065C-40E7-9C98-03328656C15B}"/>
    <cellStyle name="Normal 5 3 6 3 2 2 4" xfId="34018" xr:uid="{3490C625-271F-4EA5-9A78-09347B0376B2}"/>
    <cellStyle name="Normal 5 3 6 3 2 3" xfId="21354" xr:uid="{D39F5C4C-FBBF-47A6-AD0D-A1B3D36E0C84}"/>
    <cellStyle name="Normal 5 3 6 3 2 3 2" xfId="38248" xr:uid="{5E4C730C-6796-4CF7-83C0-F0EFDCB7FC6F}"/>
    <cellStyle name="Normal 5 3 6 3 2 4" xfId="12907" xr:uid="{71447DBA-1E21-477C-993A-122EA8D6CD75}"/>
    <cellStyle name="Normal 5 3 6 3 2 5" xfId="29801" xr:uid="{954326FA-04D7-4CFF-BB19-BF288BA1CB04}"/>
    <cellStyle name="Normal 5 3 6 3 3" xfId="5653" xr:uid="{00000000-0005-0000-0000-0000941A0000}"/>
    <cellStyle name="Normal 5 3 6 3 3 2" xfId="23426" xr:uid="{D4CDA65C-1B32-462B-9526-A8F90108E0B1}"/>
    <cellStyle name="Normal 5 3 6 3 3 2 2" xfId="40320" xr:uid="{437C340D-1DBA-48EB-83FB-67C1229AA1DD}"/>
    <cellStyle name="Normal 5 3 6 3 3 3" xfId="14979" xr:uid="{C5604E19-6402-4075-8882-448CB54845A7}"/>
    <cellStyle name="Normal 5 3 6 3 3 4" xfId="31873" xr:uid="{D7CAEA6A-F764-4BF2-AE3B-F287B380939D}"/>
    <cellStyle name="Normal 5 3 6 3 4" xfId="19209" xr:uid="{E85CD681-F46A-4AE8-8A77-0B852D3C9E2A}"/>
    <cellStyle name="Normal 5 3 6 3 4 2" xfId="36103" xr:uid="{046528C9-1F3F-44C4-8FA9-35D430E4D29F}"/>
    <cellStyle name="Normal 5 3 6 3 5" xfId="10762" xr:uid="{3B014767-569E-4FE9-991E-63ACCEDD23DA}"/>
    <cellStyle name="Normal 5 3 6 3 6" xfId="27656" xr:uid="{4236E0F6-5BEA-446D-8B09-EB6E580B8DFE}"/>
    <cellStyle name="Normal 5 3 6 4" xfId="1759" xr:uid="{00000000-0005-0000-0000-0000951A0000}"/>
    <cellStyle name="Normal 5 3 6 4 2" xfId="3989" xr:uid="{00000000-0005-0000-0000-0000961A0000}"/>
    <cellStyle name="Normal 5 3 6 4 2 2" xfId="8211" xr:uid="{00000000-0005-0000-0000-0000971A0000}"/>
    <cellStyle name="Normal 5 3 6 4 2 2 2" xfId="25984" xr:uid="{DD6DF700-6856-4C1B-8B39-ECC7854C65BA}"/>
    <cellStyle name="Normal 5 3 6 4 2 2 2 2" xfId="42878" xr:uid="{EB227C90-99AF-4902-9DDE-9832210A5951}"/>
    <cellStyle name="Normal 5 3 6 4 2 2 3" xfId="17537" xr:uid="{F81436E5-A28F-48E5-8029-F190D44707E7}"/>
    <cellStyle name="Normal 5 3 6 4 2 2 4" xfId="34431" xr:uid="{53D62F0E-A9CC-46DC-83E7-D8C18CC3D00D}"/>
    <cellStyle name="Normal 5 3 6 4 2 3" xfId="21767" xr:uid="{80966B1C-6BDE-4F14-8C97-253C654F9100}"/>
    <cellStyle name="Normal 5 3 6 4 2 3 2" xfId="38661" xr:uid="{BD063DA7-AD0C-4349-A418-190D8245E40A}"/>
    <cellStyle name="Normal 5 3 6 4 2 4" xfId="13320" xr:uid="{9BC848E7-5FCA-43E5-A56B-19908AC48838}"/>
    <cellStyle name="Normal 5 3 6 4 2 5" xfId="30214" xr:uid="{DB2736E5-BF38-4FC0-A98D-9EA90AA7DF9C}"/>
    <cellStyle name="Normal 5 3 6 4 3" xfId="6066" xr:uid="{00000000-0005-0000-0000-0000981A0000}"/>
    <cellStyle name="Normal 5 3 6 4 3 2" xfId="23839" xr:uid="{52E549A0-892D-4C9C-88E2-EA836284D2EB}"/>
    <cellStyle name="Normal 5 3 6 4 3 2 2" xfId="40733" xr:uid="{80F214F4-6B77-4D6B-9302-5DB8A7F44C37}"/>
    <cellStyle name="Normal 5 3 6 4 3 3" xfId="15392" xr:uid="{ED0F8A62-61BD-45F4-9984-97A82B7A3041}"/>
    <cellStyle name="Normal 5 3 6 4 3 4" xfId="32286" xr:uid="{5DACBCC5-9320-4438-8822-3ADDDAC0751D}"/>
    <cellStyle name="Normal 5 3 6 4 4" xfId="19622" xr:uid="{F111BC1E-EAF8-4A1E-B1B3-91AE7D30FAE1}"/>
    <cellStyle name="Normal 5 3 6 4 4 2" xfId="36516" xr:uid="{27CF12E2-F20C-4E53-9E01-316E12423F0E}"/>
    <cellStyle name="Normal 5 3 6 4 5" xfId="11175" xr:uid="{81637FA8-1A00-4933-8F66-AC15665173EC}"/>
    <cellStyle name="Normal 5 3 6 4 6" xfId="28069" xr:uid="{85D3C9D1-FE5E-4303-B972-8BAFE589B083}"/>
    <cellStyle name="Normal 5 3 6 5" xfId="2173" xr:uid="{00000000-0005-0000-0000-0000991A0000}"/>
    <cellStyle name="Normal 5 3 6 5 2" xfId="4402" xr:uid="{00000000-0005-0000-0000-00009A1A0000}"/>
    <cellStyle name="Normal 5 3 6 5 2 2" xfId="8624" xr:uid="{00000000-0005-0000-0000-00009B1A0000}"/>
    <cellStyle name="Normal 5 3 6 5 2 2 2" xfId="26397" xr:uid="{94578987-8C29-4261-803C-C327192A86A3}"/>
    <cellStyle name="Normal 5 3 6 5 2 2 2 2" xfId="43291" xr:uid="{828727CF-916A-4B2E-AA3C-E79299F0D166}"/>
    <cellStyle name="Normal 5 3 6 5 2 2 3" xfId="17950" xr:uid="{3C224C11-70FD-47A3-934F-1055AF8C41F4}"/>
    <cellStyle name="Normal 5 3 6 5 2 2 4" xfId="34844" xr:uid="{78CA6814-E88B-4AC7-8FA2-6E68EB5744CC}"/>
    <cellStyle name="Normal 5 3 6 5 2 3" xfId="22180" xr:uid="{DE81CFA4-65B4-407E-A1DE-2D87CC80FA68}"/>
    <cellStyle name="Normal 5 3 6 5 2 3 2" xfId="39074" xr:uid="{864A79DC-F574-47F3-8E3F-1C769C06FCC5}"/>
    <cellStyle name="Normal 5 3 6 5 2 4" xfId="13733" xr:uid="{45F02943-4D23-4D61-B0E8-ACD89DA9A1B3}"/>
    <cellStyle name="Normal 5 3 6 5 2 5" xfId="30627" xr:uid="{761C4629-4A94-45CD-92AD-D13362F14408}"/>
    <cellStyle name="Normal 5 3 6 5 3" xfId="6479" xr:uid="{00000000-0005-0000-0000-00009C1A0000}"/>
    <cellStyle name="Normal 5 3 6 5 3 2" xfId="24252" xr:uid="{E34F9BFD-7A37-45C6-B0FF-E86066FC23AE}"/>
    <cellStyle name="Normal 5 3 6 5 3 2 2" xfId="41146" xr:uid="{2D9428FA-796E-44ED-833A-731CCB824E16}"/>
    <cellStyle name="Normal 5 3 6 5 3 3" xfId="15805" xr:uid="{3B11E6AA-DC18-4FD5-B937-6FBABA2B99A4}"/>
    <cellStyle name="Normal 5 3 6 5 3 4" xfId="32699" xr:uid="{495A01A7-1330-4092-B01B-459913BF1D4B}"/>
    <cellStyle name="Normal 5 3 6 5 4" xfId="20035" xr:uid="{4BC1F227-BEFA-40D7-8F6E-8FCC08204563}"/>
    <cellStyle name="Normal 5 3 6 5 4 2" xfId="36929" xr:uid="{A51914BA-1833-4C67-ACB5-AC6BC295ED32}"/>
    <cellStyle name="Normal 5 3 6 5 5" xfId="11588" xr:uid="{854568C6-A05F-4E8B-A7B4-5D7AD8D60CB8}"/>
    <cellStyle name="Normal 5 3 6 5 6" xfId="28482" xr:uid="{0F805C32-F26E-4ECB-A0A0-298876212C24}"/>
    <cellStyle name="Normal 5 3 6 6" xfId="2609" xr:uid="{00000000-0005-0000-0000-00009D1A0000}"/>
    <cellStyle name="Normal 5 3 6 6 2" xfId="6892" xr:uid="{00000000-0005-0000-0000-00009E1A0000}"/>
    <cellStyle name="Normal 5 3 6 6 2 2" xfId="24665" xr:uid="{38E3F560-54B8-487A-8431-35FF9A17D3D0}"/>
    <cellStyle name="Normal 5 3 6 6 2 2 2" xfId="41559" xr:uid="{E257EDF6-0A65-4805-AA5C-6936039ED7C6}"/>
    <cellStyle name="Normal 5 3 6 6 2 3" xfId="16218" xr:uid="{89444CFD-69F1-4423-9780-DDB9C95DB50B}"/>
    <cellStyle name="Normal 5 3 6 6 2 4" xfId="33112" xr:uid="{85524991-0AAE-4B08-8005-FC50A5ACC6BD}"/>
    <cellStyle name="Normal 5 3 6 6 3" xfId="20448" xr:uid="{A3D751FF-73A3-4F4B-9ED7-7DE4B5F6BAD2}"/>
    <cellStyle name="Normal 5 3 6 6 3 2" xfId="37342" xr:uid="{BB3A49CF-9C31-47E6-A515-96EE865CDF15}"/>
    <cellStyle name="Normal 5 3 6 6 4" xfId="12001" xr:uid="{D9A692B2-FB19-426A-AE0A-3058A686103A}"/>
    <cellStyle name="Normal 5 3 6 6 5" xfId="28895" xr:uid="{998A675D-16DE-4B97-AFFF-929A08D35B09}"/>
    <cellStyle name="Normal 5 3 6 7" xfId="4827" xr:uid="{00000000-0005-0000-0000-00009F1A0000}"/>
    <cellStyle name="Normal 5 3 6 7 2" xfId="22600" xr:uid="{260D0667-711F-46CE-8B4C-7A589001BC9A}"/>
    <cellStyle name="Normal 5 3 6 7 2 2" xfId="39494" xr:uid="{B760A955-A6EF-4E84-88AA-B1A60D77D2EA}"/>
    <cellStyle name="Normal 5 3 6 7 3" xfId="14153" xr:uid="{82AFAA39-F5AF-4EBC-866C-4CD726CB2521}"/>
    <cellStyle name="Normal 5 3 6 7 4" xfId="31047" xr:uid="{C2709645-347C-46B1-BBA1-EF31E7F82429}"/>
    <cellStyle name="Normal 5 3 6 8" xfId="8969" xr:uid="{FA7ABEAF-BFEA-4D3E-A53B-E23F3117BFD8}"/>
    <cellStyle name="Normal 5 3 6 8 2" xfId="18383" xr:uid="{865B4396-4C10-4D12-A2EB-20BC81346DB7}"/>
    <cellStyle name="Normal 5 3 6 8 3" xfId="35277" xr:uid="{803B2244-E2F4-4D47-97C1-38CAC8D7DDC1}"/>
    <cellStyle name="Normal 5 3 6 9" xfId="9936" xr:uid="{DF1D0341-0DC2-4960-BFBE-A87435E1688F}"/>
    <cellStyle name="Normal 5 3 7" xfId="913" xr:uid="{00000000-0005-0000-0000-0000A01A0000}"/>
    <cellStyle name="Normal 5 3 7 2" xfId="3148" xr:uid="{00000000-0005-0000-0000-0000A11A0000}"/>
    <cellStyle name="Normal 5 3 7 2 2" xfId="7370" xr:uid="{00000000-0005-0000-0000-0000A21A0000}"/>
    <cellStyle name="Normal 5 3 7 2 2 2" xfId="25143" xr:uid="{318686BD-08C3-4D6A-91FC-B1FCB562C387}"/>
    <cellStyle name="Normal 5 3 7 2 2 2 2" xfId="42037" xr:uid="{6AFD7D3B-D768-40C3-AAAD-BBAC0CFDD311}"/>
    <cellStyle name="Normal 5 3 7 2 2 3" xfId="16696" xr:uid="{B374CEBF-0A43-4987-9F4B-AAE59B5F299D}"/>
    <cellStyle name="Normal 5 3 7 2 2 4" xfId="33590" xr:uid="{0F1FF197-638F-4D9D-AD7B-B017153B1308}"/>
    <cellStyle name="Normal 5 3 7 2 3" xfId="20926" xr:uid="{50A0436D-341F-4467-A725-199FECF43C73}"/>
    <cellStyle name="Normal 5 3 7 2 3 2" xfId="37820" xr:uid="{EC2B88A6-D620-4ACF-AE97-031EE0513FA7}"/>
    <cellStyle name="Normal 5 3 7 2 4" xfId="12479" xr:uid="{2C8EC9A8-5A78-4376-98F1-11EA9130BB84}"/>
    <cellStyle name="Normal 5 3 7 2 5" xfId="29373" xr:uid="{70531A6E-9624-4ABF-9D1E-B1223933D4DD}"/>
    <cellStyle name="Normal 5 3 7 3" xfId="5225" xr:uid="{00000000-0005-0000-0000-0000A31A0000}"/>
    <cellStyle name="Normal 5 3 7 3 2" xfId="22998" xr:uid="{30047CC8-2609-4A92-8B23-8037ABB156B7}"/>
    <cellStyle name="Normal 5 3 7 3 2 2" xfId="39892" xr:uid="{A72D2C72-B424-45E4-9858-721D58627D5D}"/>
    <cellStyle name="Normal 5 3 7 3 3" xfId="14551" xr:uid="{564B3E99-704A-4198-A5EC-3EECD3A06662}"/>
    <cellStyle name="Normal 5 3 7 3 4" xfId="31445" xr:uid="{29307B75-5CE0-41F1-AE4B-A3620E21107E}"/>
    <cellStyle name="Normal 5 3 7 4" xfId="9172" xr:uid="{5609ABAF-B913-41DD-9CCE-B28C6A880815}"/>
    <cellStyle name="Normal 5 3 7 4 2" xfId="18781" xr:uid="{35AC42DC-9DC7-41D7-B848-0B7528945B69}"/>
    <cellStyle name="Normal 5 3 7 4 3" xfId="35675" xr:uid="{0181553F-659A-4184-8868-932FBEA50E5A}"/>
    <cellStyle name="Normal 5 3 7 5" xfId="10334" xr:uid="{8DA65FC2-FAF6-48A4-9B07-0F842D56B61F}"/>
    <cellStyle name="Normal 5 3 7 6" xfId="27228" xr:uid="{0A95E1DD-B2AD-482B-A1BB-D45E4473B282}"/>
    <cellStyle name="Normal 5 3 8" xfId="1331" xr:uid="{00000000-0005-0000-0000-0000A41A0000}"/>
    <cellStyle name="Normal 5 3 8 2" xfId="3561" xr:uid="{00000000-0005-0000-0000-0000A51A0000}"/>
    <cellStyle name="Normal 5 3 8 2 2" xfId="7783" xr:uid="{00000000-0005-0000-0000-0000A61A0000}"/>
    <cellStyle name="Normal 5 3 8 2 2 2" xfId="25556" xr:uid="{82CBB37D-5F0B-40C2-9FCE-4E3E900D6C86}"/>
    <cellStyle name="Normal 5 3 8 2 2 2 2" xfId="42450" xr:uid="{DE5FF0CC-A79E-4C1E-A4B5-734672CE07B1}"/>
    <cellStyle name="Normal 5 3 8 2 2 3" xfId="17109" xr:uid="{00ED323B-8FED-450E-AF61-87B6DD1CB763}"/>
    <cellStyle name="Normal 5 3 8 2 2 4" xfId="34003" xr:uid="{70880A04-F559-425D-9F3C-D89468A57E8E}"/>
    <cellStyle name="Normal 5 3 8 2 3" xfId="21339" xr:uid="{D738EB8D-74EE-418A-A3C0-025490C43FC8}"/>
    <cellStyle name="Normal 5 3 8 2 3 2" xfId="38233" xr:uid="{BB1A8062-ADD5-4084-8722-6F130B282722}"/>
    <cellStyle name="Normal 5 3 8 2 4" xfId="12892" xr:uid="{8CF844F4-948D-4183-9F1A-B4743320AD2D}"/>
    <cellStyle name="Normal 5 3 8 2 5" xfId="29786" xr:uid="{51E91462-8394-437B-B1E5-44AB88ED4D18}"/>
    <cellStyle name="Normal 5 3 8 3" xfId="5638" xr:uid="{00000000-0005-0000-0000-0000A71A0000}"/>
    <cellStyle name="Normal 5 3 8 3 2" xfId="23411" xr:uid="{A4EF2EAE-E7AF-4798-9D17-2898BB3F2E83}"/>
    <cellStyle name="Normal 5 3 8 3 2 2" xfId="40305" xr:uid="{13559060-1C3B-4DC8-AD73-D8ED2323B50C}"/>
    <cellStyle name="Normal 5 3 8 3 3" xfId="14964" xr:uid="{D1A0F4B2-F6AA-4E05-8CE1-CEC4A6B0E025}"/>
    <cellStyle name="Normal 5 3 8 3 4" xfId="31858" xr:uid="{0BE09093-C384-4CA7-BB1E-3F0BF802B643}"/>
    <cellStyle name="Normal 5 3 8 4" xfId="19194" xr:uid="{38D84494-049D-48E5-B49B-2FB9D3BA0512}"/>
    <cellStyle name="Normal 5 3 8 4 2" xfId="36088" xr:uid="{9698E2B1-03B8-41B1-A821-FCD9A02FA5AA}"/>
    <cellStyle name="Normal 5 3 8 5" xfId="10747" xr:uid="{456AD918-949A-43CC-8677-2E7CF60C8637}"/>
    <cellStyle name="Normal 5 3 8 6" xfId="27641" xr:uid="{2420F3B2-1844-4710-BEF9-1AF6905FEA7E}"/>
    <cellStyle name="Normal 5 3 9" xfId="1744" xr:uid="{00000000-0005-0000-0000-0000A81A0000}"/>
    <cellStyle name="Normal 5 3 9 2" xfId="3974" xr:uid="{00000000-0005-0000-0000-0000A91A0000}"/>
    <cellStyle name="Normal 5 3 9 2 2" xfId="8196" xr:uid="{00000000-0005-0000-0000-0000AA1A0000}"/>
    <cellStyle name="Normal 5 3 9 2 2 2" xfId="25969" xr:uid="{45C53CFC-424C-447C-BFAB-2D9B6AB22AF4}"/>
    <cellStyle name="Normal 5 3 9 2 2 2 2" xfId="42863" xr:uid="{6CB9EDC6-9046-45EA-A177-B49C229D4654}"/>
    <cellStyle name="Normal 5 3 9 2 2 3" xfId="17522" xr:uid="{4FC0A28B-A60D-4B00-AC32-2A42DF4F2B89}"/>
    <cellStyle name="Normal 5 3 9 2 2 4" xfId="34416" xr:uid="{995A64A5-A514-457C-AF69-A286AC9D8593}"/>
    <cellStyle name="Normal 5 3 9 2 3" xfId="21752" xr:uid="{F6DA4670-3356-421B-A581-08F8BDC90512}"/>
    <cellStyle name="Normal 5 3 9 2 3 2" xfId="38646" xr:uid="{2385A267-342E-4039-85F4-B1BCC2C456E6}"/>
    <cellStyle name="Normal 5 3 9 2 4" xfId="13305" xr:uid="{D0441C9D-3FFA-4359-89BA-ECA5D68AECD9}"/>
    <cellStyle name="Normal 5 3 9 2 5" xfId="30199" xr:uid="{73DB4901-5B02-441F-897D-870985498C5F}"/>
    <cellStyle name="Normal 5 3 9 3" xfId="6051" xr:uid="{00000000-0005-0000-0000-0000AB1A0000}"/>
    <cellStyle name="Normal 5 3 9 3 2" xfId="23824" xr:uid="{8CCC8E63-4B56-42BF-9DF0-4F2C8C446CD4}"/>
    <cellStyle name="Normal 5 3 9 3 2 2" xfId="40718" xr:uid="{253D4848-9CE0-4398-B4B7-6CC8AE54976F}"/>
    <cellStyle name="Normal 5 3 9 3 3" xfId="15377" xr:uid="{D1B1959F-C01C-443C-AE86-5107FE3128EE}"/>
    <cellStyle name="Normal 5 3 9 3 4" xfId="32271" xr:uid="{CE1E74C3-FA51-4773-BF70-00F9F344AB60}"/>
    <cellStyle name="Normal 5 3 9 4" xfId="19607" xr:uid="{62E992DF-CD16-4FB3-8155-E614819BFF0E}"/>
    <cellStyle name="Normal 5 3 9 4 2" xfId="36501" xr:uid="{268E30C7-864F-48B6-849E-81ED75BD8EAF}"/>
    <cellStyle name="Normal 5 3 9 5" xfId="11160" xr:uid="{FA3F3A3B-CE03-4833-A06C-BD0195F15B86}"/>
    <cellStyle name="Normal 5 3 9 6" xfId="28054" xr:uid="{3E19190B-50DC-4C96-A921-AAA010A334EC}"/>
    <cellStyle name="Normal 5 4" xfId="456" xr:uid="{00000000-0005-0000-0000-0000AC1A0000}"/>
    <cellStyle name="Normal 5 4 10" xfId="4828" xr:uid="{00000000-0005-0000-0000-0000AD1A0000}"/>
    <cellStyle name="Normal 5 4 10 2" xfId="22601" xr:uid="{C087C709-0826-43E6-BC7F-0548229283B1}"/>
    <cellStyle name="Normal 5 4 10 2 2" xfId="39495" xr:uid="{460923CE-5F88-42B7-B238-DE755EF80DAB}"/>
    <cellStyle name="Normal 5 4 10 3" xfId="14154" xr:uid="{373D9EB3-8303-4712-BC34-6B704AE43866}"/>
    <cellStyle name="Normal 5 4 10 4" xfId="31048" xr:uid="{C6A4C3F5-6130-4282-B9E8-6504AFE82406}"/>
    <cellStyle name="Normal 5 4 11" xfId="8773" xr:uid="{50472F80-32FD-428C-B078-8DE338D6CA16}"/>
    <cellStyle name="Normal 5 4 11 2" xfId="18384" xr:uid="{DA6DAE24-115E-45BA-A49D-75A16635DB4E}"/>
    <cellStyle name="Normal 5 4 11 3" xfId="35278" xr:uid="{1603401E-668F-4D10-8E45-7ED63FB61987}"/>
    <cellStyle name="Normal 5 4 12" xfId="9937" xr:uid="{7C634743-2676-42D3-A262-A9C23FCB01CF}"/>
    <cellStyle name="Normal 5 4 13" xfId="26831" xr:uid="{83F1E884-C173-4238-8953-BEF198805C91}"/>
    <cellStyle name="Normal 5 4 2" xfId="457" xr:uid="{00000000-0005-0000-0000-0000AE1A0000}"/>
    <cellStyle name="Normal 5 4 2 10" xfId="8833" xr:uid="{6EA55230-8E5B-4EF6-B83C-8DF4202F8C31}"/>
    <cellStyle name="Normal 5 4 2 10 2" xfId="18385" xr:uid="{11A92A83-80BB-48E7-981D-4DC62220E241}"/>
    <cellStyle name="Normal 5 4 2 10 3" xfId="35279" xr:uid="{32A3FD34-985F-4E59-A3A7-8EC418EE80F0}"/>
    <cellStyle name="Normal 5 4 2 11" xfId="9938" xr:uid="{0C0935A4-88FB-4F7A-959B-9C18763E87AE}"/>
    <cellStyle name="Normal 5 4 2 12" xfId="26832" xr:uid="{194AB6BE-5855-4822-9138-2618189BEC8C}"/>
    <cellStyle name="Normal 5 4 2 2" xfId="458" xr:uid="{00000000-0005-0000-0000-0000AF1A0000}"/>
    <cellStyle name="Normal 5 4 2 2 10" xfId="9939" xr:uid="{19418101-68F0-492D-BA71-984DEE979784}"/>
    <cellStyle name="Normal 5 4 2 2 11" xfId="26833" xr:uid="{98A9C46E-CCBA-4FC0-871E-533C50FF5609}"/>
    <cellStyle name="Normal 5 4 2 2 2" xfId="459" xr:uid="{00000000-0005-0000-0000-0000B01A0000}"/>
    <cellStyle name="Normal 5 4 2 2 2 10" xfId="26834" xr:uid="{01DBDBC4-E1C0-4FF5-818F-45F8600A6F16}"/>
    <cellStyle name="Normal 5 4 2 2 2 2" xfId="933" xr:uid="{00000000-0005-0000-0000-0000B11A0000}"/>
    <cellStyle name="Normal 5 4 2 2 2 2 2" xfId="3167" xr:uid="{00000000-0005-0000-0000-0000B21A0000}"/>
    <cellStyle name="Normal 5 4 2 2 2 2 2 2" xfId="7389" xr:uid="{00000000-0005-0000-0000-0000B31A0000}"/>
    <cellStyle name="Normal 5 4 2 2 2 2 2 2 2" xfId="25162" xr:uid="{6721EE24-2DEF-4D24-875E-CE98EFA645E7}"/>
    <cellStyle name="Normal 5 4 2 2 2 2 2 2 2 2" xfId="42056" xr:uid="{8DE3954A-2655-42F7-BC2C-A2606D23C3C3}"/>
    <cellStyle name="Normal 5 4 2 2 2 2 2 2 3" xfId="16715" xr:uid="{804F01BC-4050-4E55-9F68-7D1E5846D528}"/>
    <cellStyle name="Normal 5 4 2 2 2 2 2 2 4" xfId="33609" xr:uid="{4D5F6BFE-D02C-4A02-A2FE-E846F085C396}"/>
    <cellStyle name="Normal 5 4 2 2 2 2 2 3" xfId="20945" xr:uid="{27681C1D-93AB-40C5-B760-EA84325030B5}"/>
    <cellStyle name="Normal 5 4 2 2 2 2 2 3 2" xfId="37839" xr:uid="{4F52F8EF-E61B-4172-B9BD-908C82CD9CCF}"/>
    <cellStyle name="Normal 5 4 2 2 2 2 2 4" xfId="12498" xr:uid="{1BAF3218-AF26-4371-81E6-C9660E91922D}"/>
    <cellStyle name="Normal 5 4 2 2 2 2 2 5" xfId="29392" xr:uid="{8FC71CA0-7845-47BD-AB51-0023372FB3DA}"/>
    <cellStyle name="Normal 5 4 2 2 2 2 3" xfId="5244" xr:uid="{00000000-0005-0000-0000-0000B41A0000}"/>
    <cellStyle name="Normal 5 4 2 2 2 2 3 2" xfId="23017" xr:uid="{A1116106-3A60-4A29-BF27-A7A2E2D024D0}"/>
    <cellStyle name="Normal 5 4 2 2 2 2 3 2 2" xfId="39911" xr:uid="{4CFA35FE-1E39-4B37-A38D-AF85A9C36C13}"/>
    <cellStyle name="Normal 5 4 2 2 2 2 3 3" xfId="14570" xr:uid="{34BFA1A2-D69F-47A0-8EF0-5DD966569216}"/>
    <cellStyle name="Normal 5 4 2 2 2 2 3 4" xfId="31464" xr:uid="{5C7DC7C1-DF00-41B7-80A9-4757C48A0621}"/>
    <cellStyle name="Normal 5 4 2 2 2 2 4" xfId="9568" xr:uid="{C9922021-D284-4633-BD4E-F2DB1197482A}"/>
    <cellStyle name="Normal 5 4 2 2 2 2 4 2" xfId="18800" xr:uid="{813955D3-EA54-405D-AC63-AD162622CDE0}"/>
    <cellStyle name="Normal 5 4 2 2 2 2 4 3" xfId="35694" xr:uid="{7D26C45B-DAD6-4451-9017-D7976D41E733}"/>
    <cellStyle name="Normal 5 4 2 2 2 2 5" xfId="10353" xr:uid="{4425DB12-609E-4118-84CF-78D83C75D149}"/>
    <cellStyle name="Normal 5 4 2 2 2 2 6" xfId="27247" xr:uid="{E3F20204-1DFC-4C43-83AA-D9F8047BB6DF}"/>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2 2 2" xfId="25575" xr:uid="{EDA79B15-E7D8-4FA0-AE1D-383CEB3105F9}"/>
    <cellStyle name="Normal 5 4 2 2 2 3 2 2 2 2" xfId="42469" xr:uid="{EAF493AC-8A28-42F3-8B18-E9179C1E8701}"/>
    <cellStyle name="Normal 5 4 2 2 2 3 2 2 3" xfId="17128" xr:uid="{360AF013-06E9-49B2-94BC-CF92ECF4F3BD}"/>
    <cellStyle name="Normal 5 4 2 2 2 3 2 2 4" xfId="34022" xr:uid="{36131CA5-4394-49F6-B591-2BBAF8E723F3}"/>
    <cellStyle name="Normal 5 4 2 2 2 3 2 3" xfId="21358" xr:uid="{44356AF2-06DE-413C-9693-6B20668CE680}"/>
    <cellStyle name="Normal 5 4 2 2 2 3 2 3 2" xfId="38252" xr:uid="{F9475C83-D835-41C3-8E29-0B701A75F60F}"/>
    <cellStyle name="Normal 5 4 2 2 2 3 2 4" xfId="12911" xr:uid="{D6975C90-379F-42C3-B973-02B021845F74}"/>
    <cellStyle name="Normal 5 4 2 2 2 3 2 5" xfId="29805" xr:uid="{C76AE0FF-E473-4558-A9BB-3CB3C5E0E304}"/>
    <cellStyle name="Normal 5 4 2 2 2 3 3" xfId="5657" xr:uid="{00000000-0005-0000-0000-0000B81A0000}"/>
    <cellStyle name="Normal 5 4 2 2 2 3 3 2" xfId="23430" xr:uid="{A80F6189-B6F2-484E-9851-EB9470CA1300}"/>
    <cellStyle name="Normal 5 4 2 2 2 3 3 2 2" xfId="40324" xr:uid="{BFC4583C-68D6-4263-98E7-9A9CB8078807}"/>
    <cellStyle name="Normal 5 4 2 2 2 3 3 3" xfId="14983" xr:uid="{1EEFE369-6847-4AAE-A2DA-CD449E900456}"/>
    <cellStyle name="Normal 5 4 2 2 2 3 3 4" xfId="31877" xr:uid="{4C610126-2981-4EEC-A94B-61B259E15F4E}"/>
    <cellStyle name="Normal 5 4 2 2 2 3 4" xfId="19213" xr:uid="{770684FA-0FD8-47C7-B698-47A2A01A39EF}"/>
    <cellStyle name="Normal 5 4 2 2 2 3 4 2" xfId="36107" xr:uid="{2FD9247C-0EF5-41AC-9C97-9786C43484CA}"/>
    <cellStyle name="Normal 5 4 2 2 2 3 5" xfId="10766" xr:uid="{2E59890C-5DE7-4B8F-817D-059AFF968E99}"/>
    <cellStyle name="Normal 5 4 2 2 2 3 6" xfId="27660" xr:uid="{B5872B3E-3832-4603-AE18-9A28A70BB9F5}"/>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2 2 2" xfId="25988" xr:uid="{39D1B6E1-A5DE-49A9-8DEC-F110F38FA1AE}"/>
    <cellStyle name="Normal 5 4 2 2 2 4 2 2 2 2" xfId="42882" xr:uid="{81A5425B-C977-4EC8-A40B-8E314AC2C0F1}"/>
    <cellStyle name="Normal 5 4 2 2 2 4 2 2 3" xfId="17541" xr:uid="{4647DD94-6E10-40AF-86FE-2FB300E3D1D4}"/>
    <cellStyle name="Normal 5 4 2 2 2 4 2 2 4" xfId="34435" xr:uid="{7A91B0AD-5C9F-4126-9C89-101940AE34B1}"/>
    <cellStyle name="Normal 5 4 2 2 2 4 2 3" xfId="21771" xr:uid="{3FE43EF1-70CC-4E44-A3A6-D6CA92B1D46D}"/>
    <cellStyle name="Normal 5 4 2 2 2 4 2 3 2" xfId="38665" xr:uid="{958B8328-B133-42E0-9BE9-4A8C49908611}"/>
    <cellStyle name="Normal 5 4 2 2 2 4 2 4" xfId="13324" xr:uid="{3B8BAAC4-D495-468D-AFDF-91C953FCFCF4}"/>
    <cellStyle name="Normal 5 4 2 2 2 4 2 5" xfId="30218" xr:uid="{2CDDE6BE-6E41-4310-9E07-C02A0161EEF5}"/>
    <cellStyle name="Normal 5 4 2 2 2 4 3" xfId="6070" xr:uid="{00000000-0005-0000-0000-0000BC1A0000}"/>
    <cellStyle name="Normal 5 4 2 2 2 4 3 2" xfId="23843" xr:uid="{FD366C44-7F13-47D4-BBC9-B8D350FB0761}"/>
    <cellStyle name="Normal 5 4 2 2 2 4 3 2 2" xfId="40737" xr:uid="{B4E4A7B1-8532-45B8-BFAA-CAFA54E5F612}"/>
    <cellStyle name="Normal 5 4 2 2 2 4 3 3" xfId="15396" xr:uid="{A28FAA2A-C78E-49FF-916E-53BB1DA967B3}"/>
    <cellStyle name="Normal 5 4 2 2 2 4 3 4" xfId="32290" xr:uid="{5484F49C-A128-425F-96CC-DC926AFECFBD}"/>
    <cellStyle name="Normal 5 4 2 2 2 4 4" xfId="19626" xr:uid="{2450E42D-9F83-4B47-9E58-C88A70F339D6}"/>
    <cellStyle name="Normal 5 4 2 2 2 4 4 2" xfId="36520" xr:uid="{AAF70D27-02E5-42CF-AD57-EE21D460BDF5}"/>
    <cellStyle name="Normal 5 4 2 2 2 4 5" xfId="11179" xr:uid="{AB5AD6EC-F109-4614-B65C-CFEED9567005}"/>
    <cellStyle name="Normal 5 4 2 2 2 4 6" xfId="28073" xr:uid="{BC552F59-6656-4864-B3FC-4AF30E15DF1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2 2 2" xfId="26401" xr:uid="{68E1197B-BB10-42D0-9ED2-1F09C3D988B6}"/>
    <cellStyle name="Normal 5 4 2 2 2 5 2 2 2 2" xfId="43295" xr:uid="{1CA3FA7A-207D-49F6-B621-7F0E5BFA60DD}"/>
    <cellStyle name="Normal 5 4 2 2 2 5 2 2 3" xfId="17954" xr:uid="{676F6A26-CB44-430F-B454-AC5BB5647432}"/>
    <cellStyle name="Normal 5 4 2 2 2 5 2 2 4" xfId="34848" xr:uid="{83D5609F-03D0-4186-A4B4-9AE03166E754}"/>
    <cellStyle name="Normal 5 4 2 2 2 5 2 3" xfId="22184" xr:uid="{AB52EB19-4382-40F9-9F72-5B2646308246}"/>
    <cellStyle name="Normal 5 4 2 2 2 5 2 3 2" xfId="39078" xr:uid="{B9C8BF17-4FDF-492D-A770-380C92F9063F}"/>
    <cellStyle name="Normal 5 4 2 2 2 5 2 4" xfId="13737" xr:uid="{23650721-D598-451C-BF06-02541AFF3B4E}"/>
    <cellStyle name="Normal 5 4 2 2 2 5 2 5" xfId="30631" xr:uid="{BB7D228C-62B4-48F6-A254-4E8069D73412}"/>
    <cellStyle name="Normal 5 4 2 2 2 5 3" xfId="6483" xr:uid="{00000000-0005-0000-0000-0000C01A0000}"/>
    <cellStyle name="Normal 5 4 2 2 2 5 3 2" xfId="24256" xr:uid="{8BED85FB-1ADD-45D3-BCAF-AD0DA3E5F10D}"/>
    <cellStyle name="Normal 5 4 2 2 2 5 3 2 2" xfId="41150" xr:uid="{F44D0076-5266-4EFA-BD44-7A104C813743}"/>
    <cellStyle name="Normal 5 4 2 2 2 5 3 3" xfId="15809" xr:uid="{466D33EE-4F80-4068-822B-2C0ABE950F5D}"/>
    <cellStyle name="Normal 5 4 2 2 2 5 3 4" xfId="32703" xr:uid="{4FAC6122-8920-488A-A880-87B835D0CB1B}"/>
    <cellStyle name="Normal 5 4 2 2 2 5 4" xfId="20039" xr:uid="{E98CA749-4A94-448C-A7BF-648C446B5F4F}"/>
    <cellStyle name="Normal 5 4 2 2 2 5 4 2" xfId="36933" xr:uid="{4420DE0F-6256-40C9-A1C6-7609798C0E1B}"/>
    <cellStyle name="Normal 5 4 2 2 2 5 5" xfId="11592" xr:uid="{E64B9D59-B29B-4933-84C3-31B5CB0E5BAC}"/>
    <cellStyle name="Normal 5 4 2 2 2 5 6" xfId="28486" xr:uid="{811B6134-42F5-4C19-BBC5-4F5E384901F8}"/>
    <cellStyle name="Normal 5 4 2 2 2 6" xfId="2613" xr:uid="{00000000-0005-0000-0000-0000C11A0000}"/>
    <cellStyle name="Normal 5 4 2 2 2 6 2" xfId="6896" xr:uid="{00000000-0005-0000-0000-0000C21A0000}"/>
    <cellStyle name="Normal 5 4 2 2 2 6 2 2" xfId="24669" xr:uid="{127F10EF-92A7-451F-A122-A45567C15E4C}"/>
    <cellStyle name="Normal 5 4 2 2 2 6 2 2 2" xfId="41563" xr:uid="{4394850E-403E-4967-B7B8-1A4A5C994C40}"/>
    <cellStyle name="Normal 5 4 2 2 2 6 2 3" xfId="16222" xr:uid="{48DC9CB8-3D9E-4348-A904-287354CA528F}"/>
    <cellStyle name="Normal 5 4 2 2 2 6 2 4" xfId="33116" xr:uid="{FD96D8FD-2813-4742-AF78-C07219842EDC}"/>
    <cellStyle name="Normal 5 4 2 2 2 6 3" xfId="20452" xr:uid="{A6A80DB6-CD14-42E6-B81F-4ABC79F1A84E}"/>
    <cellStyle name="Normal 5 4 2 2 2 6 3 2" xfId="37346" xr:uid="{E23BF071-033B-465C-917F-210C6DDBB9B4}"/>
    <cellStyle name="Normal 5 4 2 2 2 6 4" xfId="12005" xr:uid="{2BC4E651-B2EF-41A6-B474-473A3A740E1A}"/>
    <cellStyle name="Normal 5 4 2 2 2 6 5" xfId="28899" xr:uid="{65A8C6B1-3DE4-493C-9C61-1F26978CDA9A}"/>
    <cellStyle name="Normal 5 4 2 2 2 7" xfId="4831" xr:uid="{00000000-0005-0000-0000-0000C31A0000}"/>
    <cellStyle name="Normal 5 4 2 2 2 7 2" xfId="22604" xr:uid="{B579C5E3-8187-4BB6-812E-269AAD27887B}"/>
    <cellStyle name="Normal 5 4 2 2 2 7 2 2" xfId="39498" xr:uid="{67AD1742-19E6-4449-9670-404DD652C3A9}"/>
    <cellStyle name="Normal 5 4 2 2 2 7 3" xfId="14157" xr:uid="{36CFE74D-B467-4EBD-83D1-14C7C9872C7B}"/>
    <cellStyle name="Normal 5 4 2 2 2 7 4" xfId="31051" xr:uid="{F1F9CBE6-6D6B-4A5F-96BD-504034EE72E4}"/>
    <cellStyle name="Normal 5 4 2 2 2 8" xfId="9143" xr:uid="{C8F15FA9-FDFE-4358-95A8-17B14299B14C}"/>
    <cellStyle name="Normal 5 4 2 2 2 8 2" xfId="18387" xr:uid="{02FC849D-BD07-4E01-B00A-9BCDEF8C202C}"/>
    <cellStyle name="Normal 5 4 2 2 2 8 3" xfId="35281" xr:uid="{DE38CCCE-10CB-43B3-9898-84CA916DA620}"/>
    <cellStyle name="Normal 5 4 2 2 2 9" xfId="9940" xr:uid="{7FFE396D-C2C0-4EBA-9097-40706BE4B362}"/>
    <cellStyle name="Normal 5 4 2 2 3" xfId="932" xr:uid="{00000000-0005-0000-0000-0000C41A0000}"/>
    <cellStyle name="Normal 5 4 2 2 3 2" xfId="3166" xr:uid="{00000000-0005-0000-0000-0000C51A0000}"/>
    <cellStyle name="Normal 5 4 2 2 3 2 2" xfId="7388" xr:uid="{00000000-0005-0000-0000-0000C61A0000}"/>
    <cellStyle name="Normal 5 4 2 2 3 2 2 2" xfId="25161" xr:uid="{97803F1F-B215-4CAC-BE24-C10C893EA2A8}"/>
    <cellStyle name="Normal 5 4 2 2 3 2 2 2 2" xfId="42055" xr:uid="{F5B08CD4-59AB-4FC4-A1A8-5609CE0222FE}"/>
    <cellStyle name="Normal 5 4 2 2 3 2 2 3" xfId="16714" xr:uid="{52C5071F-0279-4209-8597-EFC705A060CF}"/>
    <cellStyle name="Normal 5 4 2 2 3 2 2 4" xfId="33608" xr:uid="{1121825C-47FB-4DA8-8DFF-CD149AED5124}"/>
    <cellStyle name="Normal 5 4 2 2 3 2 3" xfId="20944" xr:uid="{8EF8608A-F4CF-4A35-94D3-9B27C385BB83}"/>
    <cellStyle name="Normal 5 4 2 2 3 2 3 2" xfId="37838" xr:uid="{528F5FF5-8744-4323-93FD-1922CDF79A44}"/>
    <cellStyle name="Normal 5 4 2 2 3 2 4" xfId="12497" xr:uid="{2CA2C3B4-F21D-4C94-BDF9-8F91872C7577}"/>
    <cellStyle name="Normal 5 4 2 2 3 2 5" xfId="29391" xr:uid="{9563D4A3-497D-489A-9433-A128AD434FDD}"/>
    <cellStyle name="Normal 5 4 2 2 3 3" xfId="5243" xr:uid="{00000000-0005-0000-0000-0000C71A0000}"/>
    <cellStyle name="Normal 5 4 2 2 3 3 2" xfId="23016" xr:uid="{D26633C5-BDDC-418C-A7ED-01CBBCD1189E}"/>
    <cellStyle name="Normal 5 4 2 2 3 3 2 2" xfId="39910" xr:uid="{DDD86308-6589-45D2-86EC-24D26D37B30F}"/>
    <cellStyle name="Normal 5 4 2 2 3 3 3" xfId="14569" xr:uid="{2DC6DE96-8790-4182-84E8-3B03C73A965D}"/>
    <cellStyle name="Normal 5 4 2 2 3 3 4" xfId="31463" xr:uid="{42028A6F-5DB8-4B0F-B2E3-5DDE117C4EF4}"/>
    <cellStyle name="Normal 5 4 2 2 3 4" xfId="9361" xr:uid="{421F0FC8-8E8F-498F-BD31-B00CB58D5B43}"/>
    <cellStyle name="Normal 5 4 2 2 3 4 2" xfId="18799" xr:uid="{A25F4EA1-83A1-410A-914F-BA5FDCEE8658}"/>
    <cellStyle name="Normal 5 4 2 2 3 4 3" xfId="35693" xr:uid="{A6DB7479-6DFD-4F93-AEC3-CEA2A142E1B9}"/>
    <cellStyle name="Normal 5 4 2 2 3 5" xfId="10352" xr:uid="{9705209C-27B8-47EF-84C1-265954E75721}"/>
    <cellStyle name="Normal 5 4 2 2 3 6" xfId="27246" xr:uid="{8E21DB21-516F-429E-A26A-1D9A82285F9F}"/>
    <cellStyle name="Normal 5 4 2 2 4" xfId="1349" xr:uid="{00000000-0005-0000-0000-0000C81A0000}"/>
    <cellStyle name="Normal 5 4 2 2 4 2" xfId="3579" xr:uid="{00000000-0005-0000-0000-0000C91A0000}"/>
    <cellStyle name="Normal 5 4 2 2 4 2 2" xfId="7801" xr:uid="{00000000-0005-0000-0000-0000CA1A0000}"/>
    <cellStyle name="Normal 5 4 2 2 4 2 2 2" xfId="25574" xr:uid="{B33B81F0-D39F-4E5A-9B0F-C46547DCF8D8}"/>
    <cellStyle name="Normal 5 4 2 2 4 2 2 2 2" xfId="42468" xr:uid="{2895B468-23B9-4116-A7B6-5C5D0935F16B}"/>
    <cellStyle name="Normal 5 4 2 2 4 2 2 3" xfId="17127" xr:uid="{574A4CAC-78B6-47DD-AAA3-AD510F30C81F}"/>
    <cellStyle name="Normal 5 4 2 2 4 2 2 4" xfId="34021" xr:uid="{5FADF20E-88CF-4835-9399-410809249E69}"/>
    <cellStyle name="Normal 5 4 2 2 4 2 3" xfId="21357" xr:uid="{CB69DFCE-E428-475E-ADF1-8DD447997F16}"/>
    <cellStyle name="Normal 5 4 2 2 4 2 3 2" xfId="38251" xr:uid="{029FDC6D-3768-435B-8DD3-5D45F5D2E062}"/>
    <cellStyle name="Normal 5 4 2 2 4 2 4" xfId="12910" xr:uid="{96EDDD8E-FDD8-4561-8B5B-97CAD231483B}"/>
    <cellStyle name="Normal 5 4 2 2 4 2 5" xfId="29804" xr:uid="{AD155567-CF43-43DB-92F2-AB427FFF9BBF}"/>
    <cellStyle name="Normal 5 4 2 2 4 3" xfId="5656" xr:uid="{00000000-0005-0000-0000-0000CB1A0000}"/>
    <cellStyle name="Normal 5 4 2 2 4 3 2" xfId="23429" xr:uid="{864876A4-78E6-42A0-8EA1-E67868D88D45}"/>
    <cellStyle name="Normal 5 4 2 2 4 3 2 2" xfId="40323" xr:uid="{D1FE805A-3439-4478-879C-87C930C8D2BE}"/>
    <cellStyle name="Normal 5 4 2 2 4 3 3" xfId="14982" xr:uid="{42090072-D754-4616-8148-6CC9B7CA9091}"/>
    <cellStyle name="Normal 5 4 2 2 4 3 4" xfId="31876" xr:uid="{4F2C796F-0CB3-4F5E-9081-5CE48FD69EF4}"/>
    <cellStyle name="Normal 5 4 2 2 4 4" xfId="19212" xr:uid="{14D96C8C-44AC-4118-8A62-43CCECBB173C}"/>
    <cellStyle name="Normal 5 4 2 2 4 4 2" xfId="36106" xr:uid="{EAA4F59E-996B-48F9-8AAE-F913C1FCDAD5}"/>
    <cellStyle name="Normal 5 4 2 2 4 5" xfId="10765" xr:uid="{A4643EFF-0538-42C4-A5ED-19A5496BC622}"/>
    <cellStyle name="Normal 5 4 2 2 4 6" xfId="27659" xr:uid="{983CFE4B-2FE7-4168-B3C1-3F265A4EF20E}"/>
    <cellStyle name="Normal 5 4 2 2 5" xfId="1762" xr:uid="{00000000-0005-0000-0000-0000CC1A0000}"/>
    <cellStyle name="Normal 5 4 2 2 5 2" xfId="3992" xr:uid="{00000000-0005-0000-0000-0000CD1A0000}"/>
    <cellStyle name="Normal 5 4 2 2 5 2 2" xfId="8214" xr:uid="{00000000-0005-0000-0000-0000CE1A0000}"/>
    <cellStyle name="Normal 5 4 2 2 5 2 2 2" xfId="25987" xr:uid="{1604B86C-D379-4A24-8082-EACB19FFB330}"/>
    <cellStyle name="Normal 5 4 2 2 5 2 2 2 2" xfId="42881" xr:uid="{3E365CC4-2338-41A0-AF53-16FDD13FD7F7}"/>
    <cellStyle name="Normal 5 4 2 2 5 2 2 3" xfId="17540" xr:uid="{26A76817-DDC4-4902-83A6-EA74EB6B932D}"/>
    <cellStyle name="Normal 5 4 2 2 5 2 2 4" xfId="34434" xr:uid="{6F996FE3-6C42-40E6-86F8-EF5B9232F1D7}"/>
    <cellStyle name="Normal 5 4 2 2 5 2 3" xfId="21770" xr:uid="{88A6C871-A7D5-4A51-B1C3-B116148BAF1D}"/>
    <cellStyle name="Normal 5 4 2 2 5 2 3 2" xfId="38664" xr:uid="{10D60B9F-067E-4BA6-A981-4D881D62469B}"/>
    <cellStyle name="Normal 5 4 2 2 5 2 4" xfId="13323" xr:uid="{BA84ED61-E2CE-4C6D-B236-A9D001A62C1D}"/>
    <cellStyle name="Normal 5 4 2 2 5 2 5" xfId="30217" xr:uid="{570F57CE-9CF6-4339-9A23-3FD8A816371A}"/>
    <cellStyle name="Normal 5 4 2 2 5 3" xfId="6069" xr:uid="{00000000-0005-0000-0000-0000CF1A0000}"/>
    <cellStyle name="Normal 5 4 2 2 5 3 2" xfId="23842" xr:uid="{AD59DA19-8DB1-42D2-91A4-D890AC1DAC67}"/>
    <cellStyle name="Normal 5 4 2 2 5 3 2 2" xfId="40736" xr:uid="{71CDD0DB-BF82-4507-A7A1-9AEE4C5CDDD2}"/>
    <cellStyle name="Normal 5 4 2 2 5 3 3" xfId="15395" xr:uid="{AF17D523-69B4-4AA6-9EB9-B0E88F2352A8}"/>
    <cellStyle name="Normal 5 4 2 2 5 3 4" xfId="32289" xr:uid="{2FCE3D66-839A-4351-B5DF-CAC62720B08F}"/>
    <cellStyle name="Normal 5 4 2 2 5 4" xfId="19625" xr:uid="{34B521D2-31D1-489D-9E70-771EBD412F3D}"/>
    <cellStyle name="Normal 5 4 2 2 5 4 2" xfId="36519" xr:uid="{B7D644B2-F9DE-46F3-A7B4-EBA6C6FEC517}"/>
    <cellStyle name="Normal 5 4 2 2 5 5" xfId="11178" xr:uid="{5E01A43A-078B-4497-91BB-6C49C3B9C86B}"/>
    <cellStyle name="Normal 5 4 2 2 5 6" xfId="28072" xr:uid="{142DC944-FE95-4E5E-8C7D-AC3A8A82172E}"/>
    <cellStyle name="Normal 5 4 2 2 6" xfId="2176" xr:uid="{00000000-0005-0000-0000-0000D01A0000}"/>
    <cellStyle name="Normal 5 4 2 2 6 2" xfId="4405" xr:uid="{00000000-0005-0000-0000-0000D11A0000}"/>
    <cellStyle name="Normal 5 4 2 2 6 2 2" xfId="8627" xr:uid="{00000000-0005-0000-0000-0000D21A0000}"/>
    <cellStyle name="Normal 5 4 2 2 6 2 2 2" xfId="26400" xr:uid="{2F330DBB-0246-4F40-8387-0E11BDAAE840}"/>
    <cellStyle name="Normal 5 4 2 2 6 2 2 2 2" xfId="43294" xr:uid="{588E4710-2A2B-4A98-9357-80ED87614EF1}"/>
    <cellStyle name="Normal 5 4 2 2 6 2 2 3" xfId="17953" xr:uid="{967FD1CD-1CF9-46C5-92B3-EAA186323F9F}"/>
    <cellStyle name="Normal 5 4 2 2 6 2 2 4" xfId="34847" xr:uid="{19A252B2-1F44-4191-9591-8C3B1CE1F8D9}"/>
    <cellStyle name="Normal 5 4 2 2 6 2 3" xfId="22183" xr:uid="{AA82FBAD-9DCA-46F8-962D-FAA71B179C3F}"/>
    <cellStyle name="Normal 5 4 2 2 6 2 3 2" xfId="39077" xr:uid="{137FB84D-E2E9-40AF-9EA0-3F74A1A53F6E}"/>
    <cellStyle name="Normal 5 4 2 2 6 2 4" xfId="13736" xr:uid="{F3B0A869-0664-415E-938C-443A65693C14}"/>
    <cellStyle name="Normal 5 4 2 2 6 2 5" xfId="30630" xr:uid="{DDD5B977-1A6B-407E-91BF-1FAFEAB9E5A4}"/>
    <cellStyle name="Normal 5 4 2 2 6 3" xfId="6482" xr:uid="{00000000-0005-0000-0000-0000D31A0000}"/>
    <cellStyle name="Normal 5 4 2 2 6 3 2" xfId="24255" xr:uid="{353184C2-0DB7-486B-9FB8-240BBD0AA79D}"/>
    <cellStyle name="Normal 5 4 2 2 6 3 2 2" xfId="41149" xr:uid="{63684B9D-E392-48FC-868F-13447A9954E6}"/>
    <cellStyle name="Normal 5 4 2 2 6 3 3" xfId="15808" xr:uid="{72AE983B-C91D-4766-8545-A54B707CFA7B}"/>
    <cellStyle name="Normal 5 4 2 2 6 3 4" xfId="32702" xr:uid="{140E9A77-3D67-4029-B43D-1B39FC12D8B6}"/>
    <cellStyle name="Normal 5 4 2 2 6 4" xfId="20038" xr:uid="{0C177C6A-A4D2-474B-A1F4-40CFFC0E1145}"/>
    <cellStyle name="Normal 5 4 2 2 6 4 2" xfId="36932" xr:uid="{DB8D83D3-13D5-4C66-A16F-BD3046F237F6}"/>
    <cellStyle name="Normal 5 4 2 2 6 5" xfId="11591" xr:uid="{B4A4E779-2EFE-4034-9025-30EED3F79A87}"/>
    <cellStyle name="Normal 5 4 2 2 6 6" xfId="28485" xr:uid="{9811ED51-4B54-45B3-8613-78753EE0F5F8}"/>
    <cellStyle name="Normal 5 4 2 2 7" xfId="2612" xr:uid="{00000000-0005-0000-0000-0000D41A0000}"/>
    <cellStyle name="Normal 5 4 2 2 7 2" xfId="6895" xr:uid="{00000000-0005-0000-0000-0000D51A0000}"/>
    <cellStyle name="Normal 5 4 2 2 7 2 2" xfId="24668" xr:uid="{20F1D71B-09A0-491E-8C49-7272FC9DD26C}"/>
    <cellStyle name="Normal 5 4 2 2 7 2 2 2" xfId="41562" xr:uid="{78AA0DFD-FE06-4C3F-8C92-CE8E22A968F5}"/>
    <cellStyle name="Normal 5 4 2 2 7 2 3" xfId="16221" xr:uid="{54FFA8BE-058C-4461-8125-B18B5D4A6F63}"/>
    <cellStyle name="Normal 5 4 2 2 7 2 4" xfId="33115" xr:uid="{29F89EC0-8026-4226-A774-7BC3603D2F16}"/>
    <cellStyle name="Normal 5 4 2 2 7 3" xfId="20451" xr:uid="{AD407563-4DA9-4CC8-9D0F-40B1F42DAA11}"/>
    <cellStyle name="Normal 5 4 2 2 7 3 2" xfId="37345" xr:uid="{08ED8661-86E0-4B4B-B907-AB0EB2950F23}"/>
    <cellStyle name="Normal 5 4 2 2 7 4" xfId="12004" xr:uid="{91790428-5582-4F07-B475-8AAE934A4189}"/>
    <cellStyle name="Normal 5 4 2 2 7 5" xfId="28898" xr:uid="{946F8DA6-B9BC-408A-8C12-1F86BF478886}"/>
    <cellStyle name="Normal 5 4 2 2 8" xfId="4830" xr:uid="{00000000-0005-0000-0000-0000D61A0000}"/>
    <cellStyle name="Normal 5 4 2 2 8 2" xfId="22603" xr:uid="{D36F553B-D4E1-46DF-A758-0944DDBA1806}"/>
    <cellStyle name="Normal 5 4 2 2 8 2 2" xfId="39497" xr:uid="{938024E7-CA09-4307-9683-F0B2D2BE6AB2}"/>
    <cellStyle name="Normal 5 4 2 2 8 3" xfId="14156" xr:uid="{1C0C6E00-9776-4EB8-BBA7-FFAD6A91D2B5}"/>
    <cellStyle name="Normal 5 4 2 2 8 4" xfId="31050" xr:uid="{6A56F874-EEF6-4DFE-BFCD-2C9CBEDD1B0C}"/>
    <cellStyle name="Normal 5 4 2 2 9" xfId="8936" xr:uid="{31CF7A09-919D-40D2-B5FD-098CEA44D314}"/>
    <cellStyle name="Normal 5 4 2 2 9 2" xfId="18386" xr:uid="{180541C1-0AEE-42F1-B5D8-746D373EE196}"/>
    <cellStyle name="Normal 5 4 2 2 9 3" xfId="35280" xr:uid="{EBC3FCEB-B299-4D99-A952-69CB83A65B06}"/>
    <cellStyle name="Normal 5 4 2 3" xfId="460" xr:uid="{00000000-0005-0000-0000-0000D71A0000}"/>
    <cellStyle name="Normal 5 4 2 3 10" xfId="26835" xr:uid="{F93F4AE8-F968-4E9F-92B8-D47BEC9F1AB7}"/>
    <cellStyle name="Normal 5 4 2 3 2" xfId="934" xr:uid="{00000000-0005-0000-0000-0000D81A0000}"/>
    <cellStyle name="Normal 5 4 2 3 2 2" xfId="3168" xr:uid="{00000000-0005-0000-0000-0000D91A0000}"/>
    <cellStyle name="Normal 5 4 2 3 2 2 2" xfId="7390" xr:uid="{00000000-0005-0000-0000-0000DA1A0000}"/>
    <cellStyle name="Normal 5 4 2 3 2 2 2 2" xfId="25163" xr:uid="{7AFCE599-B045-4DC4-9807-1E074398859C}"/>
    <cellStyle name="Normal 5 4 2 3 2 2 2 2 2" xfId="42057" xr:uid="{D44CD1D7-6E90-48BE-ACD0-751D9CDB6C22}"/>
    <cellStyle name="Normal 5 4 2 3 2 2 2 3" xfId="16716" xr:uid="{EEC7E796-45B5-4B0B-95F6-46D402FE43C2}"/>
    <cellStyle name="Normal 5 4 2 3 2 2 2 4" xfId="33610" xr:uid="{34934C99-48B4-49F4-9A91-5E48C3A6BB5C}"/>
    <cellStyle name="Normal 5 4 2 3 2 2 3" xfId="20946" xr:uid="{AE5D59FC-156B-4062-A985-5AE25BFD3D90}"/>
    <cellStyle name="Normal 5 4 2 3 2 2 3 2" xfId="37840" xr:uid="{DDF08568-2F22-4BBF-A67F-BBBAD7609952}"/>
    <cellStyle name="Normal 5 4 2 3 2 2 4" xfId="12499" xr:uid="{EF97A33E-5AE9-4B24-BECF-98FAFA5F67C7}"/>
    <cellStyle name="Normal 5 4 2 3 2 2 5" xfId="29393" xr:uid="{4EDAC6D3-360C-4B4B-81D9-F9A3C8E2C741}"/>
    <cellStyle name="Normal 5 4 2 3 2 3" xfId="5245" xr:uid="{00000000-0005-0000-0000-0000DB1A0000}"/>
    <cellStyle name="Normal 5 4 2 3 2 3 2" xfId="23018" xr:uid="{89E9D08D-EAFD-4062-AFF7-50B1C7CD7134}"/>
    <cellStyle name="Normal 5 4 2 3 2 3 2 2" xfId="39912" xr:uid="{583979CC-2C5A-4A2F-9C58-46B0EB745412}"/>
    <cellStyle name="Normal 5 4 2 3 2 3 3" xfId="14571" xr:uid="{35DC0E29-631B-4D0C-B2F2-C13BA41481B7}"/>
    <cellStyle name="Normal 5 4 2 3 2 3 4" xfId="31465" xr:uid="{DAB7F0C0-D837-4500-BF66-C87D79A69E7E}"/>
    <cellStyle name="Normal 5 4 2 3 2 4" xfId="9465" xr:uid="{B8459C73-266B-467B-A163-FFDFF015A460}"/>
    <cellStyle name="Normal 5 4 2 3 2 4 2" xfId="18801" xr:uid="{8CF95DBD-7336-41A3-9025-D550D8CF3425}"/>
    <cellStyle name="Normal 5 4 2 3 2 4 3" xfId="35695" xr:uid="{B14C884B-80B7-461D-95C2-59E716DAFD62}"/>
    <cellStyle name="Normal 5 4 2 3 2 5" xfId="10354" xr:uid="{1CC37745-B60E-4EF7-B8A4-30832828410C}"/>
    <cellStyle name="Normal 5 4 2 3 2 6" xfId="27248" xr:uid="{B9E77D33-2D0A-4DCE-92B9-88ED499607DA}"/>
    <cellStyle name="Normal 5 4 2 3 3" xfId="1351" xr:uid="{00000000-0005-0000-0000-0000DC1A0000}"/>
    <cellStyle name="Normal 5 4 2 3 3 2" xfId="3581" xr:uid="{00000000-0005-0000-0000-0000DD1A0000}"/>
    <cellStyle name="Normal 5 4 2 3 3 2 2" xfId="7803" xr:uid="{00000000-0005-0000-0000-0000DE1A0000}"/>
    <cellStyle name="Normal 5 4 2 3 3 2 2 2" xfId="25576" xr:uid="{6A564F6A-5DC9-43F7-9BC7-0386208E5732}"/>
    <cellStyle name="Normal 5 4 2 3 3 2 2 2 2" xfId="42470" xr:uid="{AAF5636F-79D0-43F1-9182-A3FD4618C842}"/>
    <cellStyle name="Normal 5 4 2 3 3 2 2 3" xfId="17129" xr:uid="{0A69B3D9-38D5-4190-BBBD-86436AFAF124}"/>
    <cellStyle name="Normal 5 4 2 3 3 2 2 4" xfId="34023" xr:uid="{5EFC0971-537E-439F-B363-C891155E7757}"/>
    <cellStyle name="Normal 5 4 2 3 3 2 3" xfId="21359" xr:uid="{0CC12CC9-2750-48D0-AF86-FD8106E0DBBE}"/>
    <cellStyle name="Normal 5 4 2 3 3 2 3 2" xfId="38253" xr:uid="{20A4310D-7331-4888-A946-20A13F7EC590}"/>
    <cellStyle name="Normal 5 4 2 3 3 2 4" xfId="12912" xr:uid="{FB27C262-FA36-4168-9142-312823987AFC}"/>
    <cellStyle name="Normal 5 4 2 3 3 2 5" xfId="29806" xr:uid="{AD29AB28-0950-46F3-BFE9-E292C69331B8}"/>
    <cellStyle name="Normal 5 4 2 3 3 3" xfId="5658" xr:uid="{00000000-0005-0000-0000-0000DF1A0000}"/>
    <cellStyle name="Normal 5 4 2 3 3 3 2" xfId="23431" xr:uid="{E18A7AE8-3B10-440E-AAC4-438B82187608}"/>
    <cellStyle name="Normal 5 4 2 3 3 3 2 2" xfId="40325" xr:uid="{7BD7C828-9A53-4E35-A1D7-354458B3B571}"/>
    <cellStyle name="Normal 5 4 2 3 3 3 3" xfId="14984" xr:uid="{F8EF10F6-BD56-4A29-AB31-1314533E078C}"/>
    <cellStyle name="Normal 5 4 2 3 3 3 4" xfId="31878" xr:uid="{6D9B1482-FA80-41F2-8CD9-1FDEE3E61FC0}"/>
    <cellStyle name="Normal 5 4 2 3 3 4" xfId="19214" xr:uid="{6D14956A-EC7C-4E77-AC3C-2A93D2ECA7F8}"/>
    <cellStyle name="Normal 5 4 2 3 3 4 2" xfId="36108" xr:uid="{CB5754A5-D271-4A27-9A4D-AC718475D799}"/>
    <cellStyle name="Normal 5 4 2 3 3 5" xfId="10767" xr:uid="{6CDE3C04-B9D0-4C5D-BD2B-F52F659BB98D}"/>
    <cellStyle name="Normal 5 4 2 3 3 6" xfId="27661" xr:uid="{DCBC0824-E35B-4DD8-9DDB-E46106983658}"/>
    <cellStyle name="Normal 5 4 2 3 4" xfId="1764" xr:uid="{00000000-0005-0000-0000-0000E01A0000}"/>
    <cellStyle name="Normal 5 4 2 3 4 2" xfId="3994" xr:uid="{00000000-0005-0000-0000-0000E11A0000}"/>
    <cellStyle name="Normal 5 4 2 3 4 2 2" xfId="8216" xr:uid="{00000000-0005-0000-0000-0000E21A0000}"/>
    <cellStyle name="Normal 5 4 2 3 4 2 2 2" xfId="25989" xr:uid="{9A45C308-93D5-49CF-A732-307F91876EA6}"/>
    <cellStyle name="Normal 5 4 2 3 4 2 2 2 2" xfId="42883" xr:uid="{FB48F79E-AAF0-4D1F-B600-1B09AE583C45}"/>
    <cellStyle name="Normal 5 4 2 3 4 2 2 3" xfId="17542" xr:uid="{8AE6581C-16F0-44ED-8541-4A240769EB17}"/>
    <cellStyle name="Normal 5 4 2 3 4 2 2 4" xfId="34436" xr:uid="{C78AD5C1-A63F-43A2-8774-8C5CDBA03999}"/>
    <cellStyle name="Normal 5 4 2 3 4 2 3" xfId="21772" xr:uid="{F841DAB4-DEC0-418E-99E0-425C4526B743}"/>
    <cellStyle name="Normal 5 4 2 3 4 2 3 2" xfId="38666" xr:uid="{26D32996-1736-4124-8FE3-493E26290894}"/>
    <cellStyle name="Normal 5 4 2 3 4 2 4" xfId="13325" xr:uid="{53360AF6-0DCD-41C5-87AE-437DC1D6EDBF}"/>
    <cellStyle name="Normal 5 4 2 3 4 2 5" xfId="30219" xr:uid="{2D05158E-9D77-400A-A716-23F716EB16D9}"/>
    <cellStyle name="Normal 5 4 2 3 4 3" xfId="6071" xr:uid="{00000000-0005-0000-0000-0000E31A0000}"/>
    <cellStyle name="Normal 5 4 2 3 4 3 2" xfId="23844" xr:uid="{8B4AF171-0D5D-413F-B177-EE29F47AA480}"/>
    <cellStyle name="Normal 5 4 2 3 4 3 2 2" xfId="40738" xr:uid="{D1E6BEDB-77F8-4427-92E2-4F5B75D21076}"/>
    <cellStyle name="Normal 5 4 2 3 4 3 3" xfId="15397" xr:uid="{85E4F1CF-CC73-43EA-86BD-EA4E8DBE0EAF}"/>
    <cellStyle name="Normal 5 4 2 3 4 3 4" xfId="32291" xr:uid="{41AB1ED4-931F-4210-A49B-161675265D77}"/>
    <cellStyle name="Normal 5 4 2 3 4 4" xfId="19627" xr:uid="{7BBBC240-4693-41F9-B10C-824BF2509D1E}"/>
    <cellStyle name="Normal 5 4 2 3 4 4 2" xfId="36521" xr:uid="{08741B0D-696E-40D6-819E-0DE0E3583596}"/>
    <cellStyle name="Normal 5 4 2 3 4 5" xfId="11180" xr:uid="{589272D9-0554-4EDB-900A-4E40C42635AA}"/>
    <cellStyle name="Normal 5 4 2 3 4 6" xfId="28074" xr:uid="{90B364F4-9BFB-4028-A4A1-4E959B273DB0}"/>
    <cellStyle name="Normal 5 4 2 3 5" xfId="2178" xr:uid="{00000000-0005-0000-0000-0000E41A0000}"/>
    <cellStyle name="Normal 5 4 2 3 5 2" xfId="4407" xr:uid="{00000000-0005-0000-0000-0000E51A0000}"/>
    <cellStyle name="Normal 5 4 2 3 5 2 2" xfId="8629" xr:uid="{00000000-0005-0000-0000-0000E61A0000}"/>
    <cellStyle name="Normal 5 4 2 3 5 2 2 2" xfId="26402" xr:uid="{4E148490-E1B7-43CF-8D74-4A36FFB40A7A}"/>
    <cellStyle name="Normal 5 4 2 3 5 2 2 2 2" xfId="43296" xr:uid="{F9C6D2BC-B232-4A40-A9B1-FBF274C991ED}"/>
    <cellStyle name="Normal 5 4 2 3 5 2 2 3" xfId="17955" xr:uid="{0058788D-2984-4E21-BC6D-E389F5777569}"/>
    <cellStyle name="Normal 5 4 2 3 5 2 2 4" xfId="34849" xr:uid="{D4C6B851-B8D1-42AF-9FC7-EF1C9194C0DE}"/>
    <cellStyle name="Normal 5 4 2 3 5 2 3" xfId="22185" xr:uid="{603FB4C8-5CE2-4EA1-8669-CC5D1DC8D950}"/>
    <cellStyle name="Normal 5 4 2 3 5 2 3 2" xfId="39079" xr:uid="{3208CAFA-7D71-47AD-8DCE-0CA3B252B6B6}"/>
    <cellStyle name="Normal 5 4 2 3 5 2 4" xfId="13738" xr:uid="{63E3A361-7E67-4400-BDAC-9362453A97A3}"/>
    <cellStyle name="Normal 5 4 2 3 5 2 5" xfId="30632" xr:uid="{44D7A6DD-866E-42C8-9EAF-65F805E85959}"/>
    <cellStyle name="Normal 5 4 2 3 5 3" xfId="6484" xr:uid="{00000000-0005-0000-0000-0000E71A0000}"/>
    <cellStyle name="Normal 5 4 2 3 5 3 2" xfId="24257" xr:uid="{B9C72724-0AD5-4811-BBD7-BD462D08F889}"/>
    <cellStyle name="Normal 5 4 2 3 5 3 2 2" xfId="41151" xr:uid="{66C959D3-8C4D-42DB-9253-4175DEAEF6A3}"/>
    <cellStyle name="Normal 5 4 2 3 5 3 3" xfId="15810" xr:uid="{7657BEBB-B395-405D-8741-FB0B2087C157}"/>
    <cellStyle name="Normal 5 4 2 3 5 3 4" xfId="32704" xr:uid="{74306808-06E6-42F6-8D3E-2C435CA8BFCE}"/>
    <cellStyle name="Normal 5 4 2 3 5 4" xfId="20040" xr:uid="{1E365A35-F716-4BA6-BB9C-10E9C737E05B}"/>
    <cellStyle name="Normal 5 4 2 3 5 4 2" xfId="36934" xr:uid="{E53B5D77-88B5-47C2-B4BA-D0D76B6D2B59}"/>
    <cellStyle name="Normal 5 4 2 3 5 5" xfId="11593" xr:uid="{EFCB5F70-E955-4649-8921-E672A2848B9B}"/>
    <cellStyle name="Normal 5 4 2 3 5 6" xfId="28487" xr:uid="{0829E528-2AE4-450C-8E13-41AB1FF3D35F}"/>
    <cellStyle name="Normal 5 4 2 3 6" xfId="2614" xr:uid="{00000000-0005-0000-0000-0000E81A0000}"/>
    <cellStyle name="Normal 5 4 2 3 6 2" xfId="6897" xr:uid="{00000000-0005-0000-0000-0000E91A0000}"/>
    <cellStyle name="Normal 5 4 2 3 6 2 2" xfId="24670" xr:uid="{F43BD034-7471-4658-AD6F-E340BEBADFB3}"/>
    <cellStyle name="Normal 5 4 2 3 6 2 2 2" xfId="41564" xr:uid="{F3D887B9-91FC-4C36-8C8D-3FE0E59FADA7}"/>
    <cellStyle name="Normal 5 4 2 3 6 2 3" xfId="16223" xr:uid="{FC1B0C32-E1E1-4769-9243-F6364293C537}"/>
    <cellStyle name="Normal 5 4 2 3 6 2 4" xfId="33117" xr:uid="{B78E814A-BA90-44A9-BFEF-C5440276CA7C}"/>
    <cellStyle name="Normal 5 4 2 3 6 3" xfId="20453" xr:uid="{F55C6CC3-423A-49E8-B1BC-D71AA4D13B2B}"/>
    <cellStyle name="Normal 5 4 2 3 6 3 2" xfId="37347" xr:uid="{F28A84E6-9E01-44F7-88C7-95C4A22EF6F3}"/>
    <cellStyle name="Normal 5 4 2 3 6 4" xfId="12006" xr:uid="{23168670-7473-4CB4-BED5-F92C0654CF4F}"/>
    <cellStyle name="Normal 5 4 2 3 6 5" xfId="28900" xr:uid="{B518CF06-51F9-4C8A-83A0-BD3B1BD12D66}"/>
    <cellStyle name="Normal 5 4 2 3 7" xfId="4832" xr:uid="{00000000-0005-0000-0000-0000EA1A0000}"/>
    <cellStyle name="Normal 5 4 2 3 7 2" xfId="22605" xr:uid="{7FF7AE12-D112-469D-BA2B-8382C4172283}"/>
    <cellStyle name="Normal 5 4 2 3 7 2 2" xfId="39499" xr:uid="{011DBDCB-C260-4612-B0C2-8435A556F5E7}"/>
    <cellStyle name="Normal 5 4 2 3 7 3" xfId="14158" xr:uid="{614262E9-3219-4EA0-9130-598F990C23B4}"/>
    <cellStyle name="Normal 5 4 2 3 7 4" xfId="31052" xr:uid="{2DDCCF03-4AE9-4DE6-93A6-AAB1C6BA370C}"/>
    <cellStyle name="Normal 5 4 2 3 8" xfId="9040" xr:uid="{D68CAB17-BB41-4D9B-AA76-76FE511392DC}"/>
    <cellStyle name="Normal 5 4 2 3 8 2" xfId="18388" xr:uid="{7E6AB2BB-A4F6-420B-B701-F4224B0827C5}"/>
    <cellStyle name="Normal 5 4 2 3 8 3" xfId="35282" xr:uid="{06E9C400-E278-4083-8747-7E9213AAF73D}"/>
    <cellStyle name="Normal 5 4 2 3 9" xfId="9941" xr:uid="{F2BC2968-82CB-45D6-832E-FCBA45856C99}"/>
    <cellStyle name="Normal 5 4 2 4" xfId="931" xr:uid="{00000000-0005-0000-0000-0000EB1A0000}"/>
    <cellStyle name="Normal 5 4 2 4 2" xfId="3165" xr:uid="{00000000-0005-0000-0000-0000EC1A0000}"/>
    <cellStyle name="Normal 5 4 2 4 2 2" xfId="7387" xr:uid="{00000000-0005-0000-0000-0000ED1A0000}"/>
    <cellStyle name="Normal 5 4 2 4 2 2 2" xfId="25160" xr:uid="{CA086729-C1D6-47A2-887C-E5A7147CB68A}"/>
    <cellStyle name="Normal 5 4 2 4 2 2 2 2" xfId="42054" xr:uid="{BA532181-F118-4239-9908-A4CFD890B2A2}"/>
    <cellStyle name="Normal 5 4 2 4 2 2 3" xfId="16713" xr:uid="{D8E1A530-A362-4F3D-BCCF-844C70C29D39}"/>
    <cellStyle name="Normal 5 4 2 4 2 2 4" xfId="33607" xr:uid="{4EC44913-A7F4-4F75-A01A-20F9E16FF999}"/>
    <cellStyle name="Normal 5 4 2 4 2 3" xfId="20943" xr:uid="{AD8B6394-D45D-49E2-A87D-798C65A26AFE}"/>
    <cellStyle name="Normal 5 4 2 4 2 3 2" xfId="37837" xr:uid="{81AA3242-6D98-4AF4-87C0-99296D9A11D2}"/>
    <cellStyle name="Normal 5 4 2 4 2 4" xfId="12496" xr:uid="{F0F712B0-D6BD-4BDA-A829-9FA393C8897F}"/>
    <cellStyle name="Normal 5 4 2 4 2 5" xfId="29390" xr:uid="{4CA2130D-8F5A-406C-AADB-0A327C1547E9}"/>
    <cellStyle name="Normal 5 4 2 4 3" xfId="5242" xr:uid="{00000000-0005-0000-0000-0000EE1A0000}"/>
    <cellStyle name="Normal 5 4 2 4 3 2" xfId="23015" xr:uid="{2067EF7B-4558-4BE2-8DF0-ED6D2D9D7662}"/>
    <cellStyle name="Normal 5 4 2 4 3 2 2" xfId="39909" xr:uid="{C30EEE68-BFE3-47C7-B6DE-4D433ADDD15E}"/>
    <cellStyle name="Normal 5 4 2 4 3 3" xfId="14568" xr:uid="{96603E7B-A93E-4F45-A5BE-B7D20D7439D2}"/>
    <cellStyle name="Normal 5 4 2 4 3 4" xfId="31462" xr:uid="{F7847B6E-DF34-4AD4-B4C6-92F18EC190E4}"/>
    <cellStyle name="Normal 5 4 2 4 4" xfId="9258" xr:uid="{971C48A9-8200-405B-A9BE-B3AFD2CDDA76}"/>
    <cellStyle name="Normal 5 4 2 4 4 2" xfId="18798" xr:uid="{50F98AF5-47BC-4681-82FD-404A73DC4A0B}"/>
    <cellStyle name="Normal 5 4 2 4 4 3" xfId="35692" xr:uid="{7169A5D7-DA7C-4A9C-86CA-383EC41902E7}"/>
    <cellStyle name="Normal 5 4 2 4 5" xfId="10351" xr:uid="{7F7159F4-F16C-4B78-BD78-12CCC61FA600}"/>
    <cellStyle name="Normal 5 4 2 4 6" xfId="27245" xr:uid="{1E1259CE-2B53-4C9C-985C-1C3BB03305DD}"/>
    <cellStyle name="Normal 5 4 2 5" xfId="1348" xr:uid="{00000000-0005-0000-0000-0000EF1A0000}"/>
    <cellStyle name="Normal 5 4 2 5 2" xfId="3578" xr:uid="{00000000-0005-0000-0000-0000F01A0000}"/>
    <cellStyle name="Normal 5 4 2 5 2 2" xfId="7800" xr:uid="{00000000-0005-0000-0000-0000F11A0000}"/>
    <cellStyle name="Normal 5 4 2 5 2 2 2" xfId="25573" xr:uid="{F3342ADA-BEA6-42B9-A61C-D2D92FBE43FF}"/>
    <cellStyle name="Normal 5 4 2 5 2 2 2 2" xfId="42467" xr:uid="{8BAE16D1-3E76-44FE-B497-D7707B8DCC3D}"/>
    <cellStyle name="Normal 5 4 2 5 2 2 3" xfId="17126" xr:uid="{BBDE42C6-04D1-47A1-9CBB-013F00725063}"/>
    <cellStyle name="Normal 5 4 2 5 2 2 4" xfId="34020" xr:uid="{20785787-37C8-4BBA-B299-11AECD5DC33E}"/>
    <cellStyle name="Normal 5 4 2 5 2 3" xfId="21356" xr:uid="{C6532574-7F6A-48E7-99A8-B3FA733D8D63}"/>
    <cellStyle name="Normal 5 4 2 5 2 3 2" xfId="38250" xr:uid="{C9E9408A-235A-40D5-BE23-06EEE4ABB6F4}"/>
    <cellStyle name="Normal 5 4 2 5 2 4" xfId="12909" xr:uid="{E9840C28-A158-454F-8598-C8D1662F9C11}"/>
    <cellStyle name="Normal 5 4 2 5 2 5" xfId="29803" xr:uid="{FB92D613-A014-4E74-A259-F793D93B0AF9}"/>
    <cellStyle name="Normal 5 4 2 5 3" xfId="5655" xr:uid="{00000000-0005-0000-0000-0000F21A0000}"/>
    <cellStyle name="Normal 5 4 2 5 3 2" xfId="23428" xr:uid="{E3A7E883-E4F2-4746-9E8E-DD2ECA4BA9EC}"/>
    <cellStyle name="Normal 5 4 2 5 3 2 2" xfId="40322" xr:uid="{65FB04D8-24E5-4E35-83E3-9FA031CEF38B}"/>
    <cellStyle name="Normal 5 4 2 5 3 3" xfId="14981" xr:uid="{140F88F6-E437-4329-867D-93154BD69DE9}"/>
    <cellStyle name="Normal 5 4 2 5 3 4" xfId="31875" xr:uid="{ED6CA0E9-CD68-4758-9265-B3402CB4AF9A}"/>
    <cellStyle name="Normal 5 4 2 5 4" xfId="19211" xr:uid="{37BE1E69-DE20-4E3A-96F3-D581077D7BD8}"/>
    <cellStyle name="Normal 5 4 2 5 4 2" xfId="36105" xr:uid="{2F53190A-64BB-4B75-A0C2-408407CC8641}"/>
    <cellStyle name="Normal 5 4 2 5 5" xfId="10764" xr:uid="{688CDF02-B73F-4F7F-A7F9-DEB5EAD9A2BA}"/>
    <cellStyle name="Normal 5 4 2 5 6" xfId="27658" xr:uid="{AC25B7F4-3297-400E-AC8B-09F951143042}"/>
    <cellStyle name="Normal 5 4 2 6" xfId="1761" xr:uid="{00000000-0005-0000-0000-0000F31A0000}"/>
    <cellStyle name="Normal 5 4 2 6 2" xfId="3991" xr:uid="{00000000-0005-0000-0000-0000F41A0000}"/>
    <cellStyle name="Normal 5 4 2 6 2 2" xfId="8213" xr:uid="{00000000-0005-0000-0000-0000F51A0000}"/>
    <cellStyle name="Normal 5 4 2 6 2 2 2" xfId="25986" xr:uid="{F7FC5C53-9FB6-477D-84DD-122C87A7767C}"/>
    <cellStyle name="Normal 5 4 2 6 2 2 2 2" xfId="42880" xr:uid="{33F3C571-E8A4-4430-BA39-52786B555605}"/>
    <cellStyle name="Normal 5 4 2 6 2 2 3" xfId="17539" xr:uid="{8B8F105E-E050-4692-8EA3-AFD2DC92DFFC}"/>
    <cellStyle name="Normal 5 4 2 6 2 2 4" xfId="34433" xr:uid="{42C695B6-2AD1-44D2-AD33-F7F3BADF572D}"/>
    <cellStyle name="Normal 5 4 2 6 2 3" xfId="21769" xr:uid="{AAD40014-6B5B-4DBD-B118-1C1BAAD00716}"/>
    <cellStyle name="Normal 5 4 2 6 2 3 2" xfId="38663" xr:uid="{BC8AC894-86EC-4285-BD52-A0C49184872C}"/>
    <cellStyle name="Normal 5 4 2 6 2 4" xfId="13322" xr:uid="{AFE404F9-2DCE-434A-B096-631015870C4D}"/>
    <cellStyle name="Normal 5 4 2 6 2 5" xfId="30216" xr:uid="{42EBA3A0-2CE1-40CC-8BA6-638C0372E7F1}"/>
    <cellStyle name="Normal 5 4 2 6 3" xfId="6068" xr:uid="{00000000-0005-0000-0000-0000F61A0000}"/>
    <cellStyle name="Normal 5 4 2 6 3 2" xfId="23841" xr:uid="{E1432E28-9735-43DC-9F44-44AAA8D4DB81}"/>
    <cellStyle name="Normal 5 4 2 6 3 2 2" xfId="40735" xr:uid="{E9AF0854-42F5-486B-9FEA-960727445663}"/>
    <cellStyle name="Normal 5 4 2 6 3 3" xfId="15394" xr:uid="{FF4C5582-D486-4671-805F-D06E94CBF891}"/>
    <cellStyle name="Normal 5 4 2 6 3 4" xfId="32288" xr:uid="{E8B55C91-EDEC-409F-9B41-8DBEC64014ED}"/>
    <cellStyle name="Normal 5 4 2 6 4" xfId="19624" xr:uid="{6A7E4F63-8F50-4D55-852B-3EE2D6969325}"/>
    <cellStyle name="Normal 5 4 2 6 4 2" xfId="36518" xr:uid="{33B384E5-BDA5-4D15-9838-EA8C7AE495EA}"/>
    <cellStyle name="Normal 5 4 2 6 5" xfId="11177" xr:uid="{55099B65-EF33-4CDD-96C7-EC00B08DB374}"/>
    <cellStyle name="Normal 5 4 2 6 6" xfId="28071" xr:uid="{B6A7E74F-2A16-4B99-AE78-30602F62C6FC}"/>
    <cellStyle name="Normal 5 4 2 7" xfId="2175" xr:uid="{00000000-0005-0000-0000-0000F71A0000}"/>
    <cellStyle name="Normal 5 4 2 7 2" xfId="4404" xr:uid="{00000000-0005-0000-0000-0000F81A0000}"/>
    <cellStyle name="Normal 5 4 2 7 2 2" xfId="8626" xr:uid="{00000000-0005-0000-0000-0000F91A0000}"/>
    <cellStyle name="Normal 5 4 2 7 2 2 2" xfId="26399" xr:uid="{CFDEAD4C-6304-4A1B-AFA2-6CC0DF879192}"/>
    <cellStyle name="Normal 5 4 2 7 2 2 2 2" xfId="43293" xr:uid="{E7611976-0644-40F6-A957-A5BEA6413A4E}"/>
    <cellStyle name="Normal 5 4 2 7 2 2 3" xfId="17952" xr:uid="{B3F9DD85-2E4A-4420-8A67-F2AEF4906539}"/>
    <cellStyle name="Normal 5 4 2 7 2 2 4" xfId="34846" xr:uid="{72E48E28-17EB-4D85-9081-25BEF135A103}"/>
    <cellStyle name="Normal 5 4 2 7 2 3" xfId="22182" xr:uid="{5D6C9832-C3BC-4871-BE85-108B8F0A21DB}"/>
    <cellStyle name="Normal 5 4 2 7 2 3 2" xfId="39076" xr:uid="{714B50D0-FF5D-40E1-BF0D-CC3CFE9ADCA4}"/>
    <cellStyle name="Normal 5 4 2 7 2 4" xfId="13735" xr:uid="{FFD470D9-174F-4420-909F-3C549D90FC0A}"/>
    <cellStyle name="Normal 5 4 2 7 2 5" xfId="30629" xr:uid="{38BFA62F-A6CA-49DE-B2AF-238EF4E6C9A9}"/>
    <cellStyle name="Normal 5 4 2 7 3" xfId="6481" xr:uid="{00000000-0005-0000-0000-0000FA1A0000}"/>
    <cellStyle name="Normal 5 4 2 7 3 2" xfId="24254" xr:uid="{706103AA-D151-4FF8-8D56-9DA7CC3FBFDD}"/>
    <cellStyle name="Normal 5 4 2 7 3 2 2" xfId="41148" xr:uid="{B9B88779-08A4-4334-B71A-40C85D2CF603}"/>
    <cellStyle name="Normal 5 4 2 7 3 3" xfId="15807" xr:uid="{13651A9C-E084-40D5-B48B-07370D370E5B}"/>
    <cellStyle name="Normal 5 4 2 7 3 4" xfId="32701" xr:uid="{EFF2331F-3E22-46BF-AC61-1C79750D7E3B}"/>
    <cellStyle name="Normal 5 4 2 7 4" xfId="20037" xr:uid="{070E19F2-AEA7-4C4B-BBB2-88C4D73B78F7}"/>
    <cellStyle name="Normal 5 4 2 7 4 2" xfId="36931" xr:uid="{00ECFD8C-20D4-432B-A0D3-C3C7D24FDDC4}"/>
    <cellStyle name="Normal 5 4 2 7 5" xfId="11590" xr:uid="{A665AAB7-87B0-44FC-A424-72408F98EA9E}"/>
    <cellStyle name="Normal 5 4 2 7 6" xfId="28484" xr:uid="{0CDF6A37-E8E4-4E63-87B3-E959F96D2782}"/>
    <cellStyle name="Normal 5 4 2 8" xfId="2611" xr:uid="{00000000-0005-0000-0000-0000FB1A0000}"/>
    <cellStyle name="Normal 5 4 2 8 2" xfId="6894" xr:uid="{00000000-0005-0000-0000-0000FC1A0000}"/>
    <cellStyle name="Normal 5 4 2 8 2 2" xfId="24667" xr:uid="{DB628918-9DA0-4336-ABB3-564DCA3D6128}"/>
    <cellStyle name="Normal 5 4 2 8 2 2 2" xfId="41561" xr:uid="{790E74C3-3454-4DD6-8654-A6494074221C}"/>
    <cellStyle name="Normal 5 4 2 8 2 3" xfId="16220" xr:uid="{835F24B1-A8EF-4465-9D01-24731F338EF2}"/>
    <cellStyle name="Normal 5 4 2 8 2 4" xfId="33114" xr:uid="{277E6EC0-400D-4E0B-95F3-E5C7B102B8BC}"/>
    <cellStyle name="Normal 5 4 2 8 3" xfId="20450" xr:uid="{BDBBBE2D-8F16-4434-9659-5E1EA7E6765A}"/>
    <cellStyle name="Normal 5 4 2 8 3 2" xfId="37344" xr:uid="{4BDD3AEC-3E54-4BCC-9840-C56B6E179A82}"/>
    <cellStyle name="Normal 5 4 2 8 4" xfId="12003" xr:uid="{9D89085B-AA71-4D09-866E-2752EED04D17}"/>
    <cellStyle name="Normal 5 4 2 8 5" xfId="28897" xr:uid="{5D4A9B98-96F5-4430-A073-FD17EE341D9F}"/>
    <cellStyle name="Normal 5 4 2 9" xfId="4829" xr:uid="{00000000-0005-0000-0000-0000FD1A0000}"/>
    <cellStyle name="Normal 5 4 2 9 2" xfId="22602" xr:uid="{633A4455-37E8-421C-A23F-B8876C9F8D93}"/>
    <cellStyle name="Normal 5 4 2 9 2 2" xfId="39496" xr:uid="{173AB158-0D91-48FE-89AF-EA7973AE7431}"/>
    <cellStyle name="Normal 5 4 2 9 3" xfId="14155" xr:uid="{3D73CA64-26EA-44F8-8394-0F33615AC2B8}"/>
    <cellStyle name="Normal 5 4 2 9 4" xfId="31049" xr:uid="{373626EA-9782-4EEE-8858-699CB3C51627}"/>
    <cellStyle name="Normal 5 4 3" xfId="461" xr:uid="{00000000-0005-0000-0000-0000FE1A0000}"/>
    <cellStyle name="Normal 5 4 3 10" xfId="9942" xr:uid="{C5B9FAD6-CD40-4EE4-A92D-55C0C83BCCDA}"/>
    <cellStyle name="Normal 5 4 3 11" xfId="26836" xr:uid="{D406F846-B125-480B-BEE4-46CCB318B0F9}"/>
    <cellStyle name="Normal 5 4 3 2" xfId="462" xr:uid="{00000000-0005-0000-0000-0000FF1A0000}"/>
    <cellStyle name="Normal 5 4 3 2 10" xfId="26837" xr:uid="{1041D127-67AB-48F1-B77B-DDB8220EEE96}"/>
    <cellStyle name="Normal 5 4 3 2 2" xfId="936" xr:uid="{00000000-0005-0000-0000-0000001B0000}"/>
    <cellStyle name="Normal 5 4 3 2 2 2" xfId="3170" xr:uid="{00000000-0005-0000-0000-0000011B0000}"/>
    <cellStyle name="Normal 5 4 3 2 2 2 2" xfId="7392" xr:uid="{00000000-0005-0000-0000-0000021B0000}"/>
    <cellStyle name="Normal 5 4 3 2 2 2 2 2" xfId="25165" xr:uid="{A23511BB-A25F-4905-82B8-3378910F4372}"/>
    <cellStyle name="Normal 5 4 3 2 2 2 2 2 2" xfId="42059" xr:uid="{9EE3F836-C564-44B4-AF01-B0E1FEBD34AE}"/>
    <cellStyle name="Normal 5 4 3 2 2 2 2 3" xfId="16718" xr:uid="{8FE2F387-026D-4B5C-A9A2-1D6324F12321}"/>
    <cellStyle name="Normal 5 4 3 2 2 2 2 4" xfId="33612" xr:uid="{3FA3E953-A0A3-4B9D-BB73-A9169913E2C1}"/>
    <cellStyle name="Normal 5 4 3 2 2 2 3" xfId="20948" xr:uid="{E3F7A9B2-1BD4-40DC-8DDF-6401EC149CBA}"/>
    <cellStyle name="Normal 5 4 3 2 2 2 3 2" xfId="37842" xr:uid="{5619995D-314F-4C6F-9620-25062DA23D11}"/>
    <cellStyle name="Normal 5 4 3 2 2 2 4" xfId="12501" xr:uid="{ED0C067A-AA57-41DA-91DC-CF29B0A37476}"/>
    <cellStyle name="Normal 5 4 3 2 2 2 5" xfId="29395" xr:uid="{C7972925-86AD-4DE0-AD8A-28FA81DA7E7F}"/>
    <cellStyle name="Normal 5 4 3 2 2 3" xfId="5247" xr:uid="{00000000-0005-0000-0000-0000031B0000}"/>
    <cellStyle name="Normal 5 4 3 2 2 3 2" xfId="23020" xr:uid="{43CAB634-5EB6-4384-83E9-E576330489C5}"/>
    <cellStyle name="Normal 5 4 3 2 2 3 2 2" xfId="39914" xr:uid="{7F1484EF-EFE9-45AB-B610-CB670EA9E32B}"/>
    <cellStyle name="Normal 5 4 3 2 2 3 3" xfId="14573" xr:uid="{3DF7D4E3-A765-4F19-B46A-92AB83802303}"/>
    <cellStyle name="Normal 5 4 3 2 2 3 4" xfId="31467" xr:uid="{84D4C300-CD75-4F26-9E2F-688DAACEBCDE}"/>
    <cellStyle name="Normal 5 4 3 2 2 4" xfId="9508" xr:uid="{1F9B5A8F-2A45-43C5-9422-E8BC84424A55}"/>
    <cellStyle name="Normal 5 4 3 2 2 4 2" xfId="18803" xr:uid="{C39CAED7-2F8E-4D4D-ABAD-6CFBE12C453B}"/>
    <cellStyle name="Normal 5 4 3 2 2 4 3" xfId="35697" xr:uid="{843D8F55-8A7A-44C8-A728-757896CE7229}"/>
    <cellStyle name="Normal 5 4 3 2 2 5" xfId="10356" xr:uid="{3A214BDC-A68E-4ABE-94CA-1B20B840AB85}"/>
    <cellStyle name="Normal 5 4 3 2 2 6" xfId="27250" xr:uid="{2CC95E70-AFFB-46FB-8EE9-EEE446F8D1B3}"/>
    <cellStyle name="Normal 5 4 3 2 3" xfId="1353" xr:uid="{00000000-0005-0000-0000-0000041B0000}"/>
    <cellStyle name="Normal 5 4 3 2 3 2" xfId="3583" xr:uid="{00000000-0005-0000-0000-0000051B0000}"/>
    <cellStyle name="Normal 5 4 3 2 3 2 2" xfId="7805" xr:uid="{00000000-0005-0000-0000-0000061B0000}"/>
    <cellStyle name="Normal 5 4 3 2 3 2 2 2" xfId="25578" xr:uid="{C3534794-A00D-4B0E-B1FF-64FD040796F4}"/>
    <cellStyle name="Normal 5 4 3 2 3 2 2 2 2" xfId="42472" xr:uid="{0431FA16-ECD1-4675-8C1E-8BF872925EE4}"/>
    <cellStyle name="Normal 5 4 3 2 3 2 2 3" xfId="17131" xr:uid="{6C1090E9-3EE0-4213-B554-4F3AA9D69083}"/>
    <cellStyle name="Normal 5 4 3 2 3 2 2 4" xfId="34025" xr:uid="{EE5A12E2-2937-466C-B979-99F74F5DC997}"/>
    <cellStyle name="Normal 5 4 3 2 3 2 3" xfId="21361" xr:uid="{3C5C141F-9F41-400A-BBE1-6D3A9878E58E}"/>
    <cellStyle name="Normal 5 4 3 2 3 2 3 2" xfId="38255" xr:uid="{3EE8AC9E-5AE7-4C44-A15A-192DB007B9E4}"/>
    <cellStyle name="Normal 5 4 3 2 3 2 4" xfId="12914" xr:uid="{545B1A73-1B88-43B3-A4B9-ADC4627D0D30}"/>
    <cellStyle name="Normal 5 4 3 2 3 2 5" xfId="29808" xr:uid="{12DDE1B6-DFF4-472A-AA9B-612F072E84AD}"/>
    <cellStyle name="Normal 5 4 3 2 3 3" xfId="5660" xr:uid="{00000000-0005-0000-0000-0000071B0000}"/>
    <cellStyle name="Normal 5 4 3 2 3 3 2" xfId="23433" xr:uid="{A4E5863C-7A33-4A69-AF5A-CEDC59BC8AD4}"/>
    <cellStyle name="Normal 5 4 3 2 3 3 2 2" xfId="40327" xr:uid="{D0954DC4-A6AE-4D7F-A55B-B64BE21B523C}"/>
    <cellStyle name="Normal 5 4 3 2 3 3 3" xfId="14986" xr:uid="{41878012-4F3F-4742-8F25-9BB3A5330D22}"/>
    <cellStyle name="Normal 5 4 3 2 3 3 4" xfId="31880" xr:uid="{51D05C96-B457-4CEF-BC4D-5BE1BA793C98}"/>
    <cellStyle name="Normal 5 4 3 2 3 4" xfId="19216" xr:uid="{971424B7-4AF6-463F-A28E-83065A20DD20}"/>
    <cellStyle name="Normal 5 4 3 2 3 4 2" xfId="36110" xr:uid="{F498A968-C5F2-44AE-A2C2-4727FEF443A8}"/>
    <cellStyle name="Normal 5 4 3 2 3 5" xfId="10769" xr:uid="{EE865B54-9F78-46D0-9698-E093B795810C}"/>
    <cellStyle name="Normal 5 4 3 2 3 6" xfId="27663" xr:uid="{677574C3-4499-4C04-847E-75B119D10825}"/>
    <cellStyle name="Normal 5 4 3 2 4" xfId="1766" xr:uid="{00000000-0005-0000-0000-0000081B0000}"/>
    <cellStyle name="Normal 5 4 3 2 4 2" xfId="3996" xr:uid="{00000000-0005-0000-0000-0000091B0000}"/>
    <cellStyle name="Normal 5 4 3 2 4 2 2" xfId="8218" xr:uid="{00000000-0005-0000-0000-00000A1B0000}"/>
    <cellStyle name="Normal 5 4 3 2 4 2 2 2" xfId="25991" xr:uid="{20731113-8A2A-4C63-8805-378F7E7D56D4}"/>
    <cellStyle name="Normal 5 4 3 2 4 2 2 2 2" xfId="42885" xr:uid="{BCBA3368-FABD-4AD5-9BCA-7B644D2D7511}"/>
    <cellStyle name="Normal 5 4 3 2 4 2 2 3" xfId="17544" xr:uid="{4FA96BE7-C563-49AC-95BD-A6705C9FC113}"/>
    <cellStyle name="Normal 5 4 3 2 4 2 2 4" xfId="34438" xr:uid="{905B3B29-C29A-4D0A-A374-8C86121CCEB1}"/>
    <cellStyle name="Normal 5 4 3 2 4 2 3" xfId="21774" xr:uid="{FFF13C04-5B69-4A20-AD00-1279C22198A4}"/>
    <cellStyle name="Normal 5 4 3 2 4 2 3 2" xfId="38668" xr:uid="{477A07E0-2827-4D36-8FB7-AF261C2D531A}"/>
    <cellStyle name="Normal 5 4 3 2 4 2 4" xfId="13327" xr:uid="{9A2F0602-6892-4419-96EF-9ECA0027E009}"/>
    <cellStyle name="Normal 5 4 3 2 4 2 5" xfId="30221" xr:uid="{930C35EB-2A85-4398-A67C-1381764540D6}"/>
    <cellStyle name="Normal 5 4 3 2 4 3" xfId="6073" xr:uid="{00000000-0005-0000-0000-00000B1B0000}"/>
    <cellStyle name="Normal 5 4 3 2 4 3 2" xfId="23846" xr:uid="{89350D27-948A-494F-A8AF-54E2A3E0A518}"/>
    <cellStyle name="Normal 5 4 3 2 4 3 2 2" xfId="40740" xr:uid="{4E0F540C-30E0-4F88-ACDD-57767E6E5C79}"/>
    <cellStyle name="Normal 5 4 3 2 4 3 3" xfId="15399" xr:uid="{6C3FBEB7-1A3F-4E9D-9D15-568F3AF478EA}"/>
    <cellStyle name="Normal 5 4 3 2 4 3 4" xfId="32293" xr:uid="{BC61246C-E241-449C-BC38-0C3822E1EB51}"/>
    <cellStyle name="Normal 5 4 3 2 4 4" xfId="19629" xr:uid="{71385C1E-C38F-408B-8C8C-3D27668F0136}"/>
    <cellStyle name="Normal 5 4 3 2 4 4 2" xfId="36523" xr:uid="{8EF3FE41-0690-4A26-ABBA-3E958D64A500}"/>
    <cellStyle name="Normal 5 4 3 2 4 5" xfId="11182" xr:uid="{288C32D1-3AEE-41E7-B893-18DD480C1C87}"/>
    <cellStyle name="Normal 5 4 3 2 4 6" xfId="28076" xr:uid="{79683E0A-B3E3-4DC0-901E-B45370D716FE}"/>
    <cellStyle name="Normal 5 4 3 2 5" xfId="2180" xr:uid="{00000000-0005-0000-0000-00000C1B0000}"/>
    <cellStyle name="Normal 5 4 3 2 5 2" xfId="4409" xr:uid="{00000000-0005-0000-0000-00000D1B0000}"/>
    <cellStyle name="Normal 5 4 3 2 5 2 2" xfId="8631" xr:uid="{00000000-0005-0000-0000-00000E1B0000}"/>
    <cellStyle name="Normal 5 4 3 2 5 2 2 2" xfId="26404" xr:uid="{72FB5142-774D-4CDB-BC61-076381A7213D}"/>
    <cellStyle name="Normal 5 4 3 2 5 2 2 2 2" xfId="43298" xr:uid="{FC0EB94A-8E29-47E0-9ADC-12280C012D74}"/>
    <cellStyle name="Normal 5 4 3 2 5 2 2 3" xfId="17957" xr:uid="{E47415E3-9BEA-448F-AA75-978D48B8B961}"/>
    <cellStyle name="Normal 5 4 3 2 5 2 2 4" xfId="34851" xr:uid="{F1C14D51-430D-425F-839F-17E166A45B36}"/>
    <cellStyle name="Normal 5 4 3 2 5 2 3" xfId="22187" xr:uid="{D53EA41F-DA73-4146-B466-DAACDF0BA370}"/>
    <cellStyle name="Normal 5 4 3 2 5 2 3 2" xfId="39081" xr:uid="{5F1F6892-3E17-4C93-BBDA-08FC1EF63060}"/>
    <cellStyle name="Normal 5 4 3 2 5 2 4" xfId="13740" xr:uid="{4F742B25-691A-4703-8E1A-612F91ADBA47}"/>
    <cellStyle name="Normal 5 4 3 2 5 2 5" xfId="30634" xr:uid="{AE5D7B72-0EA9-487B-9AB9-75CB45CC4E70}"/>
    <cellStyle name="Normal 5 4 3 2 5 3" xfId="6486" xr:uid="{00000000-0005-0000-0000-00000F1B0000}"/>
    <cellStyle name="Normal 5 4 3 2 5 3 2" xfId="24259" xr:uid="{7FE153E0-22F5-4971-8256-3E4213D3EBB4}"/>
    <cellStyle name="Normal 5 4 3 2 5 3 2 2" xfId="41153" xr:uid="{DE272B20-5A63-47B6-8E6D-2531030627C3}"/>
    <cellStyle name="Normal 5 4 3 2 5 3 3" xfId="15812" xr:uid="{A5DDB1C4-2AAE-4D20-ABA9-894113CF6888}"/>
    <cellStyle name="Normal 5 4 3 2 5 3 4" xfId="32706" xr:uid="{1F55D9FF-3328-413B-AFCA-5AC6E10EBD31}"/>
    <cellStyle name="Normal 5 4 3 2 5 4" xfId="20042" xr:uid="{D01DDDDF-0110-4FC9-8B43-283C5C0AA91F}"/>
    <cellStyle name="Normal 5 4 3 2 5 4 2" xfId="36936" xr:uid="{F2DE1110-7528-4A35-AD3C-3200D38EAAF6}"/>
    <cellStyle name="Normal 5 4 3 2 5 5" xfId="11595" xr:uid="{F9341199-4326-4183-8450-ABBF8FBC4CB2}"/>
    <cellStyle name="Normal 5 4 3 2 5 6" xfId="28489" xr:uid="{0283DCCE-F381-4BA6-A405-7825F42C3054}"/>
    <cellStyle name="Normal 5 4 3 2 6" xfId="2616" xr:uid="{00000000-0005-0000-0000-0000101B0000}"/>
    <cellStyle name="Normal 5 4 3 2 6 2" xfId="6899" xr:uid="{00000000-0005-0000-0000-0000111B0000}"/>
    <cellStyle name="Normal 5 4 3 2 6 2 2" xfId="24672" xr:uid="{7ABE5A11-0A4F-43BD-B749-75633519C091}"/>
    <cellStyle name="Normal 5 4 3 2 6 2 2 2" xfId="41566" xr:uid="{7A125E33-A818-4554-A2DC-0F787533749B}"/>
    <cellStyle name="Normal 5 4 3 2 6 2 3" xfId="16225" xr:uid="{B92C79A4-9BF0-4DBD-9A7D-69CA643C9E4E}"/>
    <cellStyle name="Normal 5 4 3 2 6 2 4" xfId="33119" xr:uid="{C5B5F571-6C2D-47CA-AE97-F7B1400F7A1F}"/>
    <cellStyle name="Normal 5 4 3 2 6 3" xfId="20455" xr:uid="{7939DA9B-7AAA-41FF-B463-EFF0917279C6}"/>
    <cellStyle name="Normal 5 4 3 2 6 3 2" xfId="37349" xr:uid="{464AAA5C-1F46-47CB-BE92-9A8176180027}"/>
    <cellStyle name="Normal 5 4 3 2 6 4" xfId="12008" xr:uid="{44692DBC-896C-475C-954E-D3AD66807688}"/>
    <cellStyle name="Normal 5 4 3 2 6 5" xfId="28902" xr:uid="{C25FFE4E-2594-4761-BDC4-6B8DB7C5A233}"/>
    <cellStyle name="Normal 5 4 3 2 7" xfId="4834" xr:uid="{00000000-0005-0000-0000-0000121B0000}"/>
    <cellStyle name="Normal 5 4 3 2 7 2" xfId="22607" xr:uid="{E8C0C650-BDF0-4541-B3BE-86EB280C859C}"/>
    <cellStyle name="Normal 5 4 3 2 7 2 2" xfId="39501" xr:uid="{F5DD2967-F1BD-4BFE-83A0-DA266B737BE5}"/>
    <cellStyle name="Normal 5 4 3 2 7 3" xfId="14160" xr:uid="{B4D7B4DB-F3A0-4F15-A98D-D2AF5B4E5ED6}"/>
    <cellStyle name="Normal 5 4 3 2 7 4" xfId="31054" xr:uid="{4CAC2663-24E3-4A7C-9ADB-47A5E6C4A6A9}"/>
    <cellStyle name="Normal 5 4 3 2 8" xfId="9083" xr:uid="{206384C8-6AD8-4D28-8F99-3033A80D68FC}"/>
    <cellStyle name="Normal 5 4 3 2 8 2" xfId="18390" xr:uid="{D047AD4D-D397-4D23-919F-5A85E439C9B5}"/>
    <cellStyle name="Normal 5 4 3 2 8 3" xfId="35284" xr:uid="{A0E07F96-7421-453A-A9B0-78F731F680DF}"/>
    <cellStyle name="Normal 5 4 3 2 9" xfId="9943" xr:uid="{700ABB05-3809-4B6D-BDB5-2755A0DAF414}"/>
    <cellStyle name="Normal 5 4 3 3" xfId="935" xr:uid="{00000000-0005-0000-0000-0000131B0000}"/>
    <cellStyle name="Normal 5 4 3 3 2" xfId="3169" xr:uid="{00000000-0005-0000-0000-0000141B0000}"/>
    <cellStyle name="Normal 5 4 3 3 2 2" xfId="7391" xr:uid="{00000000-0005-0000-0000-0000151B0000}"/>
    <cellStyle name="Normal 5 4 3 3 2 2 2" xfId="25164" xr:uid="{B74434F0-D461-4848-BB4A-C83E284366BC}"/>
    <cellStyle name="Normal 5 4 3 3 2 2 2 2" xfId="42058" xr:uid="{1A97C811-C0B8-475E-A2F5-9605452E1012}"/>
    <cellStyle name="Normal 5 4 3 3 2 2 3" xfId="16717" xr:uid="{7BC93186-8CC5-4E7C-B4FC-D7A816F905E3}"/>
    <cellStyle name="Normal 5 4 3 3 2 2 4" xfId="33611" xr:uid="{3C76EAF9-7E84-4E08-89E4-A1F21F52812D}"/>
    <cellStyle name="Normal 5 4 3 3 2 3" xfId="20947" xr:uid="{022C94A6-1005-430D-A785-7A8ED2FF7849}"/>
    <cellStyle name="Normal 5 4 3 3 2 3 2" xfId="37841" xr:uid="{439A093B-327E-473D-AFF2-1F16A11A79A1}"/>
    <cellStyle name="Normal 5 4 3 3 2 4" xfId="12500" xr:uid="{496CFEDA-E447-49FB-9FBD-D372C28CCEEE}"/>
    <cellStyle name="Normal 5 4 3 3 2 5" xfId="29394" xr:uid="{A8B0040A-BEB7-451D-98F3-E0CFC0838AD3}"/>
    <cellStyle name="Normal 5 4 3 3 3" xfId="5246" xr:uid="{00000000-0005-0000-0000-0000161B0000}"/>
    <cellStyle name="Normal 5 4 3 3 3 2" xfId="23019" xr:uid="{2C4485F2-2CE7-4C26-ADE6-57302D0BFFE1}"/>
    <cellStyle name="Normal 5 4 3 3 3 2 2" xfId="39913" xr:uid="{28CC52C7-E73E-4981-9BDB-CC1B8261EDB8}"/>
    <cellStyle name="Normal 5 4 3 3 3 3" xfId="14572" xr:uid="{9FB2BBAA-7BBE-4102-9514-80E82D89229E}"/>
    <cellStyle name="Normal 5 4 3 3 3 4" xfId="31466" xr:uid="{4BBD96DC-07E1-4D3A-98A1-68DA75EE9BB1}"/>
    <cellStyle name="Normal 5 4 3 3 4" xfId="9301" xr:uid="{CB02BBE7-2E3D-4C67-A62E-BA84DE882039}"/>
    <cellStyle name="Normal 5 4 3 3 4 2" xfId="18802" xr:uid="{92326330-3E42-400D-AF19-888641AB1DEE}"/>
    <cellStyle name="Normal 5 4 3 3 4 3" xfId="35696" xr:uid="{941335A9-2458-4D11-B99B-93FF9726721F}"/>
    <cellStyle name="Normal 5 4 3 3 5" xfId="10355" xr:uid="{4487DA57-C3B3-4FAC-B61C-FA9AAD5AE7D9}"/>
    <cellStyle name="Normal 5 4 3 3 6" xfId="27249" xr:uid="{8D6124EA-67F1-4DC6-8DDA-8E98A438745C}"/>
    <cellStyle name="Normal 5 4 3 4" xfId="1352" xr:uid="{00000000-0005-0000-0000-0000171B0000}"/>
    <cellStyle name="Normal 5 4 3 4 2" xfId="3582" xr:uid="{00000000-0005-0000-0000-0000181B0000}"/>
    <cellStyle name="Normal 5 4 3 4 2 2" xfId="7804" xr:uid="{00000000-0005-0000-0000-0000191B0000}"/>
    <cellStyle name="Normal 5 4 3 4 2 2 2" xfId="25577" xr:uid="{D821F466-7D56-4336-B3D3-A3B97EC0329C}"/>
    <cellStyle name="Normal 5 4 3 4 2 2 2 2" xfId="42471" xr:uid="{C15713A6-7186-41F0-BAEB-735C30D103DF}"/>
    <cellStyle name="Normal 5 4 3 4 2 2 3" xfId="17130" xr:uid="{1F367EE9-BAD5-4FA2-BC26-BF21C8C6C9BA}"/>
    <cellStyle name="Normal 5 4 3 4 2 2 4" xfId="34024" xr:uid="{4F34F122-B9C9-4D61-BBF0-F01F9B305FA5}"/>
    <cellStyle name="Normal 5 4 3 4 2 3" xfId="21360" xr:uid="{D84245E5-63D3-4710-868F-BB4A0402B55A}"/>
    <cellStyle name="Normal 5 4 3 4 2 3 2" xfId="38254" xr:uid="{D46FF649-2F4A-4955-9100-39D8CB3E7F25}"/>
    <cellStyle name="Normal 5 4 3 4 2 4" xfId="12913" xr:uid="{9B250F60-C32C-4949-A8AC-34D8F06334A8}"/>
    <cellStyle name="Normal 5 4 3 4 2 5" xfId="29807" xr:uid="{E8F5A891-6828-4BC6-8D9B-4FAEEE417DFA}"/>
    <cellStyle name="Normal 5 4 3 4 3" xfId="5659" xr:uid="{00000000-0005-0000-0000-00001A1B0000}"/>
    <cellStyle name="Normal 5 4 3 4 3 2" xfId="23432" xr:uid="{ADB51E15-C76A-4F41-8375-96923CA799DC}"/>
    <cellStyle name="Normal 5 4 3 4 3 2 2" xfId="40326" xr:uid="{994C3D91-ACA1-4FDE-8DF1-D98232301536}"/>
    <cellStyle name="Normal 5 4 3 4 3 3" xfId="14985" xr:uid="{50B65202-5E69-498B-883A-8D6A22D6B81E}"/>
    <cellStyle name="Normal 5 4 3 4 3 4" xfId="31879" xr:uid="{3AC4606F-B71A-4EBB-BF9A-2B58D7C7510D}"/>
    <cellStyle name="Normal 5 4 3 4 4" xfId="19215" xr:uid="{41037484-8246-413B-91CD-720B8C77DB46}"/>
    <cellStyle name="Normal 5 4 3 4 4 2" xfId="36109" xr:uid="{E056B2AB-2A01-41B5-B017-6732323F56E3}"/>
    <cellStyle name="Normal 5 4 3 4 5" xfId="10768" xr:uid="{140684DF-033E-41D3-B075-B7508A6E7D40}"/>
    <cellStyle name="Normal 5 4 3 4 6" xfId="27662" xr:uid="{255FEBA7-7F67-4892-BEEB-56A2E04D90C6}"/>
    <cellStyle name="Normal 5 4 3 5" xfId="1765" xr:uid="{00000000-0005-0000-0000-00001B1B0000}"/>
    <cellStyle name="Normal 5 4 3 5 2" xfId="3995" xr:uid="{00000000-0005-0000-0000-00001C1B0000}"/>
    <cellStyle name="Normal 5 4 3 5 2 2" xfId="8217" xr:uid="{00000000-0005-0000-0000-00001D1B0000}"/>
    <cellStyle name="Normal 5 4 3 5 2 2 2" xfId="25990" xr:uid="{5844B628-6F78-404C-98A6-C99183A1CDDE}"/>
    <cellStyle name="Normal 5 4 3 5 2 2 2 2" xfId="42884" xr:uid="{99AD7FA6-C696-42CB-A080-5AA43740BB9D}"/>
    <cellStyle name="Normal 5 4 3 5 2 2 3" xfId="17543" xr:uid="{8D052D37-CD8C-40F3-B7B2-FE64B40383BC}"/>
    <cellStyle name="Normal 5 4 3 5 2 2 4" xfId="34437" xr:uid="{36968B58-84B5-408F-980E-D58BFB8CB2A5}"/>
    <cellStyle name="Normal 5 4 3 5 2 3" xfId="21773" xr:uid="{E233C472-522B-4B6C-95C3-0CAD606E017C}"/>
    <cellStyle name="Normal 5 4 3 5 2 3 2" xfId="38667" xr:uid="{16F90F4E-436E-4BB4-8871-58835F2F2E01}"/>
    <cellStyle name="Normal 5 4 3 5 2 4" xfId="13326" xr:uid="{096952FA-7BE6-4C7C-8E20-504C37DD6122}"/>
    <cellStyle name="Normal 5 4 3 5 2 5" xfId="30220" xr:uid="{D053AF96-F8FB-44CB-A625-447A39651E94}"/>
    <cellStyle name="Normal 5 4 3 5 3" xfId="6072" xr:uid="{00000000-0005-0000-0000-00001E1B0000}"/>
    <cellStyle name="Normal 5 4 3 5 3 2" xfId="23845" xr:uid="{A70E9B2F-8149-4E23-96EF-E5E2A46A7223}"/>
    <cellStyle name="Normal 5 4 3 5 3 2 2" xfId="40739" xr:uid="{4AE67616-557F-43D5-8746-800D85B4E643}"/>
    <cellStyle name="Normal 5 4 3 5 3 3" xfId="15398" xr:uid="{5E8BD90B-3936-4541-B85C-BC59ECFACDAD}"/>
    <cellStyle name="Normal 5 4 3 5 3 4" xfId="32292" xr:uid="{59B89B92-3404-4F08-B552-927944951A50}"/>
    <cellStyle name="Normal 5 4 3 5 4" xfId="19628" xr:uid="{A30F6A81-2195-4C17-85B2-530A20E1E23B}"/>
    <cellStyle name="Normal 5 4 3 5 4 2" xfId="36522" xr:uid="{7242B9C2-CCD5-453F-9C61-925F01FC0557}"/>
    <cellStyle name="Normal 5 4 3 5 5" xfId="11181" xr:uid="{4AB0E1A1-1A84-43CE-B776-4E6DEEDDD461}"/>
    <cellStyle name="Normal 5 4 3 5 6" xfId="28075" xr:uid="{8F10934C-56A0-466B-ACCC-D6BBFAA85141}"/>
    <cellStyle name="Normal 5 4 3 6" xfId="2179" xr:uid="{00000000-0005-0000-0000-00001F1B0000}"/>
    <cellStyle name="Normal 5 4 3 6 2" xfId="4408" xr:uid="{00000000-0005-0000-0000-0000201B0000}"/>
    <cellStyle name="Normal 5 4 3 6 2 2" xfId="8630" xr:uid="{00000000-0005-0000-0000-0000211B0000}"/>
    <cellStyle name="Normal 5 4 3 6 2 2 2" xfId="26403" xr:uid="{41AD1BC8-A768-4BE0-9D52-8CF1AF12AD81}"/>
    <cellStyle name="Normal 5 4 3 6 2 2 2 2" xfId="43297" xr:uid="{780ACB8E-E959-4D43-B1B2-F796007C5C21}"/>
    <cellStyle name="Normal 5 4 3 6 2 2 3" xfId="17956" xr:uid="{EC2ADE36-655F-4EB8-883C-0254AA68E6F7}"/>
    <cellStyle name="Normal 5 4 3 6 2 2 4" xfId="34850" xr:uid="{5D2C3BCC-F20C-42F7-9B93-A73192DF3F95}"/>
    <cellStyle name="Normal 5 4 3 6 2 3" xfId="22186" xr:uid="{E54A10EB-911F-43E7-A6F8-E6EE82EA2B90}"/>
    <cellStyle name="Normal 5 4 3 6 2 3 2" xfId="39080" xr:uid="{541CB058-0DC1-488F-8546-631B5FE44A74}"/>
    <cellStyle name="Normal 5 4 3 6 2 4" xfId="13739" xr:uid="{1AE61236-8EBC-4E4F-A7BE-94B384F17A0B}"/>
    <cellStyle name="Normal 5 4 3 6 2 5" xfId="30633" xr:uid="{136CBC41-CF2D-4DD2-AA2F-6571DA25FA62}"/>
    <cellStyle name="Normal 5 4 3 6 3" xfId="6485" xr:uid="{00000000-0005-0000-0000-0000221B0000}"/>
    <cellStyle name="Normal 5 4 3 6 3 2" xfId="24258" xr:uid="{03009FE4-7B8C-4371-AFDC-38E6C5BA1E5C}"/>
    <cellStyle name="Normal 5 4 3 6 3 2 2" xfId="41152" xr:uid="{1B52EF9B-3E9D-48F6-9B08-98815C9BA8BA}"/>
    <cellStyle name="Normal 5 4 3 6 3 3" xfId="15811" xr:uid="{724602C1-1D0B-4FBD-A620-5B822F5CCE2A}"/>
    <cellStyle name="Normal 5 4 3 6 3 4" xfId="32705" xr:uid="{D875B947-F378-484F-8C9D-6291DD0B5811}"/>
    <cellStyle name="Normal 5 4 3 6 4" xfId="20041" xr:uid="{D80C1608-37A3-4BA4-9688-BDA35B652703}"/>
    <cellStyle name="Normal 5 4 3 6 4 2" xfId="36935" xr:uid="{81B4F754-6F87-4D0B-B4BD-40DF67EFF1DF}"/>
    <cellStyle name="Normal 5 4 3 6 5" xfId="11594" xr:uid="{779FA230-429A-4DAA-BE75-468386EB9EF6}"/>
    <cellStyle name="Normal 5 4 3 6 6" xfId="28488" xr:uid="{4A827049-F865-4337-BCD6-C470F1EF30CB}"/>
    <cellStyle name="Normal 5 4 3 7" xfId="2615" xr:uid="{00000000-0005-0000-0000-0000231B0000}"/>
    <cellStyle name="Normal 5 4 3 7 2" xfId="6898" xr:uid="{00000000-0005-0000-0000-0000241B0000}"/>
    <cellStyle name="Normal 5 4 3 7 2 2" xfId="24671" xr:uid="{88F72F53-FD0A-45FB-A119-BB36F3CBA3AA}"/>
    <cellStyle name="Normal 5 4 3 7 2 2 2" xfId="41565" xr:uid="{2A36990E-3A5D-436C-8824-519841F52EC8}"/>
    <cellStyle name="Normal 5 4 3 7 2 3" xfId="16224" xr:uid="{F0D8FE96-BBC5-4F90-97F1-2A02243044D5}"/>
    <cellStyle name="Normal 5 4 3 7 2 4" xfId="33118" xr:uid="{9068ED3F-D379-4E7E-B182-4A86D957EABF}"/>
    <cellStyle name="Normal 5 4 3 7 3" xfId="20454" xr:uid="{E336E9FC-6BB1-475B-92D7-4D2FE9D3E5BF}"/>
    <cellStyle name="Normal 5 4 3 7 3 2" xfId="37348" xr:uid="{6E256D21-3ADC-4AD1-8F07-DB789156E775}"/>
    <cellStyle name="Normal 5 4 3 7 4" xfId="12007" xr:uid="{7BDF6257-EF6C-4EAC-95E7-4B1CD44819A3}"/>
    <cellStyle name="Normal 5 4 3 7 5" xfId="28901" xr:uid="{0A566F7B-E6CD-4DE8-A22E-1F2D2A25470B}"/>
    <cellStyle name="Normal 5 4 3 8" xfId="4833" xr:uid="{00000000-0005-0000-0000-0000251B0000}"/>
    <cellStyle name="Normal 5 4 3 8 2" xfId="22606" xr:uid="{F01A8B47-887E-431D-B77A-A6FB508B70DF}"/>
    <cellStyle name="Normal 5 4 3 8 2 2" xfId="39500" xr:uid="{444FB39D-5AC2-4C17-A9DB-BF1188631552}"/>
    <cellStyle name="Normal 5 4 3 8 3" xfId="14159" xr:uid="{D337A247-C11F-44F3-9A44-B6D21C7D31CF}"/>
    <cellStyle name="Normal 5 4 3 8 4" xfId="31053" xr:uid="{880AF826-15F9-4184-93A2-434DFF4F54F9}"/>
    <cellStyle name="Normal 5 4 3 9" xfId="8876" xr:uid="{D636A598-175F-46A4-8005-1A20EC6CCEC9}"/>
    <cellStyle name="Normal 5 4 3 9 2" xfId="18389" xr:uid="{99D0CDA8-330E-434F-BA77-DCA286C0120F}"/>
    <cellStyle name="Normal 5 4 3 9 3" xfId="35283" xr:uid="{D144D6AE-5DB8-453E-B7AC-E93F5D26EDFB}"/>
    <cellStyle name="Normal 5 4 4" xfId="463" xr:uid="{00000000-0005-0000-0000-0000261B0000}"/>
    <cellStyle name="Normal 5 4 4 10" xfId="26838" xr:uid="{FF40EB8D-782D-4B10-959D-35E860D2012E}"/>
    <cellStyle name="Normal 5 4 4 2" xfId="937" xr:uid="{00000000-0005-0000-0000-0000271B0000}"/>
    <cellStyle name="Normal 5 4 4 2 2" xfId="3171" xr:uid="{00000000-0005-0000-0000-0000281B0000}"/>
    <cellStyle name="Normal 5 4 4 2 2 2" xfId="7393" xr:uid="{00000000-0005-0000-0000-0000291B0000}"/>
    <cellStyle name="Normal 5 4 4 2 2 2 2" xfId="25166" xr:uid="{F5B591E9-7A3B-433B-A096-3D3677A06B57}"/>
    <cellStyle name="Normal 5 4 4 2 2 2 2 2" xfId="42060" xr:uid="{5B938475-B929-40BA-B658-395D68A41F71}"/>
    <cellStyle name="Normal 5 4 4 2 2 2 3" xfId="16719" xr:uid="{BFBF5D3D-D4D6-4E98-83AE-7DDC7AEFD4F1}"/>
    <cellStyle name="Normal 5 4 4 2 2 2 4" xfId="33613" xr:uid="{11FBBEC1-72F1-4109-8E06-C38C6BA2D486}"/>
    <cellStyle name="Normal 5 4 4 2 2 3" xfId="20949" xr:uid="{1D5C14C0-5315-4102-8AD4-C7E3BA6C0BE6}"/>
    <cellStyle name="Normal 5 4 4 2 2 3 2" xfId="37843" xr:uid="{54B53BAF-07EF-492B-8970-801DB8D64DAE}"/>
    <cellStyle name="Normal 5 4 4 2 2 4" xfId="12502" xr:uid="{10CB54D4-1BD8-43C3-9774-DC20CE602161}"/>
    <cellStyle name="Normal 5 4 4 2 2 5" xfId="29396" xr:uid="{6F412A0F-F392-40EE-A6B7-E66525D26CBA}"/>
    <cellStyle name="Normal 5 4 4 2 3" xfId="5248" xr:uid="{00000000-0005-0000-0000-00002A1B0000}"/>
    <cellStyle name="Normal 5 4 4 2 3 2" xfId="23021" xr:uid="{1D2E944A-7313-4793-A523-EE7DBC21AEFD}"/>
    <cellStyle name="Normal 5 4 4 2 3 2 2" xfId="39915" xr:uid="{09A1306D-4462-4E04-91DE-57AF91C3826A}"/>
    <cellStyle name="Normal 5 4 4 2 3 3" xfId="14574" xr:uid="{B5CE7AC3-1901-4936-98BA-B32F76345396}"/>
    <cellStyle name="Normal 5 4 4 2 3 4" xfId="31468" xr:uid="{0912B46F-E3A2-4AC2-A2D9-7D386F77C74C}"/>
    <cellStyle name="Normal 5 4 4 2 4" xfId="9405" xr:uid="{F05DE0DC-A0AA-4CEB-9ABC-0D70F781B819}"/>
    <cellStyle name="Normal 5 4 4 2 4 2" xfId="18804" xr:uid="{A0B9E44E-8D34-43B3-B277-1435673F6157}"/>
    <cellStyle name="Normal 5 4 4 2 4 3" xfId="35698" xr:uid="{A6ADE3EB-27C6-4E66-91A3-4B077765248E}"/>
    <cellStyle name="Normal 5 4 4 2 5" xfId="10357" xr:uid="{BDD46F62-0922-44A7-907A-46C37EA3A160}"/>
    <cellStyle name="Normal 5 4 4 2 6" xfId="27251" xr:uid="{737124B0-E9A2-40CD-99AE-04CCD481BF77}"/>
    <cellStyle name="Normal 5 4 4 3" xfId="1354" xr:uid="{00000000-0005-0000-0000-00002B1B0000}"/>
    <cellStyle name="Normal 5 4 4 3 2" xfId="3584" xr:uid="{00000000-0005-0000-0000-00002C1B0000}"/>
    <cellStyle name="Normal 5 4 4 3 2 2" xfId="7806" xr:uid="{00000000-0005-0000-0000-00002D1B0000}"/>
    <cellStyle name="Normal 5 4 4 3 2 2 2" xfId="25579" xr:uid="{54A5C095-DD24-4F4C-85D7-6409029F2D66}"/>
    <cellStyle name="Normal 5 4 4 3 2 2 2 2" xfId="42473" xr:uid="{916C79F2-5AF8-485B-9F55-D42C8B94249F}"/>
    <cellStyle name="Normal 5 4 4 3 2 2 3" xfId="17132" xr:uid="{DCB356F8-2AC3-43F6-8599-090E92C0F561}"/>
    <cellStyle name="Normal 5 4 4 3 2 2 4" xfId="34026" xr:uid="{D980BCFC-05C6-4362-AD45-14325D5E3C9E}"/>
    <cellStyle name="Normal 5 4 4 3 2 3" xfId="21362" xr:uid="{14B22D5A-92D2-41EB-A85E-21FC909E7579}"/>
    <cellStyle name="Normal 5 4 4 3 2 3 2" xfId="38256" xr:uid="{53B84D95-4F48-43C7-81D6-0364C6FC9C31}"/>
    <cellStyle name="Normal 5 4 4 3 2 4" xfId="12915" xr:uid="{2E658A9A-EFD0-4ED0-979B-FB4ABC16E728}"/>
    <cellStyle name="Normal 5 4 4 3 2 5" xfId="29809" xr:uid="{1C5F7C66-92A5-4542-B6D4-E89FFBFCF681}"/>
    <cellStyle name="Normal 5 4 4 3 3" xfId="5661" xr:uid="{00000000-0005-0000-0000-00002E1B0000}"/>
    <cellStyle name="Normal 5 4 4 3 3 2" xfId="23434" xr:uid="{97D31777-0085-4BD5-B3B3-D9630AC27E32}"/>
    <cellStyle name="Normal 5 4 4 3 3 2 2" xfId="40328" xr:uid="{A6CFA082-5A9E-416E-9206-3064B84AB597}"/>
    <cellStyle name="Normal 5 4 4 3 3 3" xfId="14987" xr:uid="{CC3F33D8-2686-494D-A0CB-F3993696E5B4}"/>
    <cellStyle name="Normal 5 4 4 3 3 4" xfId="31881" xr:uid="{F24BD7B6-0863-463D-B290-BC4A5467C574}"/>
    <cellStyle name="Normal 5 4 4 3 4" xfId="19217" xr:uid="{63C28B69-78BF-4D7B-BFC9-EDCE9EC51013}"/>
    <cellStyle name="Normal 5 4 4 3 4 2" xfId="36111" xr:uid="{8FF0ECE4-BD63-47FA-8191-FEA41CCF286A}"/>
    <cellStyle name="Normal 5 4 4 3 5" xfId="10770" xr:uid="{D876F21B-8F14-45FD-AC74-28B80F20B92B}"/>
    <cellStyle name="Normal 5 4 4 3 6" xfId="27664" xr:uid="{7C7AD86A-09C6-43E9-AE7E-521ECC0734EB}"/>
    <cellStyle name="Normal 5 4 4 4" xfId="1767" xr:uid="{00000000-0005-0000-0000-00002F1B0000}"/>
    <cellStyle name="Normal 5 4 4 4 2" xfId="3997" xr:uid="{00000000-0005-0000-0000-0000301B0000}"/>
    <cellStyle name="Normal 5 4 4 4 2 2" xfId="8219" xr:uid="{00000000-0005-0000-0000-0000311B0000}"/>
    <cellStyle name="Normal 5 4 4 4 2 2 2" xfId="25992" xr:uid="{813B3F12-4061-41A9-B003-B86820F88011}"/>
    <cellStyle name="Normal 5 4 4 4 2 2 2 2" xfId="42886" xr:uid="{794C60F3-B144-4EAD-8882-40C566FC7F4F}"/>
    <cellStyle name="Normal 5 4 4 4 2 2 3" xfId="17545" xr:uid="{1E9FDAC7-6A9F-4CE4-A674-C3AE80211CF1}"/>
    <cellStyle name="Normal 5 4 4 4 2 2 4" xfId="34439" xr:uid="{76F7D6DB-F25A-48BF-81C6-522A8359D8D3}"/>
    <cellStyle name="Normal 5 4 4 4 2 3" xfId="21775" xr:uid="{AB595FBE-AC35-41CF-AEE1-99FD3A73B585}"/>
    <cellStyle name="Normal 5 4 4 4 2 3 2" xfId="38669" xr:uid="{E7C0E5AF-7F9D-4B2D-9989-1DA4A2E130B3}"/>
    <cellStyle name="Normal 5 4 4 4 2 4" xfId="13328" xr:uid="{23EA980A-8DD5-43C1-9915-111CB81CCFE4}"/>
    <cellStyle name="Normal 5 4 4 4 2 5" xfId="30222" xr:uid="{7F11E350-46F2-4E16-A3C9-C9964D0E4382}"/>
    <cellStyle name="Normal 5 4 4 4 3" xfId="6074" xr:uid="{00000000-0005-0000-0000-0000321B0000}"/>
    <cellStyle name="Normal 5 4 4 4 3 2" xfId="23847" xr:uid="{558C0642-5E17-4E5E-8B3B-64EB91D93FAB}"/>
    <cellStyle name="Normal 5 4 4 4 3 2 2" xfId="40741" xr:uid="{1F5CAAD8-B408-4637-9C01-FEAD1B2B0A9A}"/>
    <cellStyle name="Normal 5 4 4 4 3 3" xfId="15400" xr:uid="{A1148D04-982C-44BD-8AE8-9C84E83EC537}"/>
    <cellStyle name="Normal 5 4 4 4 3 4" xfId="32294" xr:uid="{337DAC88-936C-4F92-884A-88036B799640}"/>
    <cellStyle name="Normal 5 4 4 4 4" xfId="19630" xr:uid="{BF8ADDF9-5E5F-463E-A481-CC0B8A57EE1D}"/>
    <cellStyle name="Normal 5 4 4 4 4 2" xfId="36524" xr:uid="{DC444648-20FF-4C04-A80F-1ED67E104867}"/>
    <cellStyle name="Normal 5 4 4 4 5" xfId="11183" xr:uid="{5C7B3DA1-97F0-44D3-8CB3-AC1A5B5514E8}"/>
    <cellStyle name="Normal 5 4 4 4 6" xfId="28077" xr:uid="{976EFFAB-7543-4E10-8B5C-678D8BB6E962}"/>
    <cellStyle name="Normal 5 4 4 5" xfId="2181" xr:uid="{00000000-0005-0000-0000-0000331B0000}"/>
    <cellStyle name="Normal 5 4 4 5 2" xfId="4410" xr:uid="{00000000-0005-0000-0000-0000341B0000}"/>
    <cellStyle name="Normal 5 4 4 5 2 2" xfId="8632" xr:uid="{00000000-0005-0000-0000-0000351B0000}"/>
    <cellStyle name="Normal 5 4 4 5 2 2 2" xfId="26405" xr:uid="{4734496C-4912-4C97-BDFE-0874EBAC4CA1}"/>
    <cellStyle name="Normal 5 4 4 5 2 2 2 2" xfId="43299" xr:uid="{26C8D827-1852-4DA9-A00A-85D33B2CCD6B}"/>
    <cellStyle name="Normal 5 4 4 5 2 2 3" xfId="17958" xr:uid="{A6B28531-C70D-4FBF-8BC9-D586BFD85943}"/>
    <cellStyle name="Normal 5 4 4 5 2 2 4" xfId="34852" xr:uid="{EF088F36-21A7-4641-9094-BBC85BBDB5F4}"/>
    <cellStyle name="Normal 5 4 4 5 2 3" xfId="22188" xr:uid="{607D4C4C-DA16-4A74-9220-8A110F2BD5BD}"/>
    <cellStyle name="Normal 5 4 4 5 2 3 2" xfId="39082" xr:uid="{3DC4D6B9-98E3-4330-81E3-619E1D11837E}"/>
    <cellStyle name="Normal 5 4 4 5 2 4" xfId="13741" xr:uid="{2C04778A-8289-43D9-A228-2FED06EB1C7C}"/>
    <cellStyle name="Normal 5 4 4 5 2 5" xfId="30635" xr:uid="{051D06B0-E904-4300-830E-9893098AA0E1}"/>
    <cellStyle name="Normal 5 4 4 5 3" xfId="6487" xr:uid="{00000000-0005-0000-0000-0000361B0000}"/>
    <cellStyle name="Normal 5 4 4 5 3 2" xfId="24260" xr:uid="{7EA624CC-3A46-4012-AB89-DB1DFA9793D5}"/>
    <cellStyle name="Normal 5 4 4 5 3 2 2" xfId="41154" xr:uid="{5B6FBFE9-4C47-4523-969D-2F453A4C6858}"/>
    <cellStyle name="Normal 5 4 4 5 3 3" xfId="15813" xr:uid="{4BBC4F03-4EB8-46F2-BB7C-30A850E3F26E}"/>
    <cellStyle name="Normal 5 4 4 5 3 4" xfId="32707" xr:uid="{C22A1286-AFB3-4B45-BC8B-070CB473D6E6}"/>
    <cellStyle name="Normal 5 4 4 5 4" xfId="20043" xr:uid="{4934135B-DDFD-4BFD-A762-40EE7D098985}"/>
    <cellStyle name="Normal 5 4 4 5 4 2" xfId="36937" xr:uid="{A337D7FB-DE5B-46BA-B3E6-D989FF10BDE2}"/>
    <cellStyle name="Normal 5 4 4 5 5" xfId="11596" xr:uid="{D04582FE-03AE-4093-851E-5AC9CDD9BEE3}"/>
    <cellStyle name="Normal 5 4 4 5 6" xfId="28490" xr:uid="{DE7D9DED-962D-412B-A6AA-5A1E0303AD62}"/>
    <cellStyle name="Normal 5 4 4 6" xfId="2617" xr:uid="{00000000-0005-0000-0000-0000371B0000}"/>
    <cellStyle name="Normal 5 4 4 6 2" xfId="6900" xr:uid="{00000000-0005-0000-0000-0000381B0000}"/>
    <cellStyle name="Normal 5 4 4 6 2 2" xfId="24673" xr:uid="{675398AD-F3A6-4FEA-9CB7-CA118978495E}"/>
    <cellStyle name="Normal 5 4 4 6 2 2 2" xfId="41567" xr:uid="{4EA3AB48-DC2D-452C-A2E4-4F3FEED00215}"/>
    <cellStyle name="Normal 5 4 4 6 2 3" xfId="16226" xr:uid="{7D3B26BD-F7E4-46C8-B53C-8218B31CAD8D}"/>
    <cellStyle name="Normal 5 4 4 6 2 4" xfId="33120" xr:uid="{6A9E1A0D-21AE-4152-89E7-0A1945CD7DB8}"/>
    <cellStyle name="Normal 5 4 4 6 3" xfId="20456" xr:uid="{4FB0692A-B0C8-45B5-A282-B54026A2C7BC}"/>
    <cellStyle name="Normal 5 4 4 6 3 2" xfId="37350" xr:uid="{52FCF667-08C3-4099-93A4-2D00B3EC099D}"/>
    <cellStyle name="Normal 5 4 4 6 4" xfId="12009" xr:uid="{EA81C65E-4441-4FB9-80FF-AB326B2D3BA8}"/>
    <cellStyle name="Normal 5 4 4 6 5" xfId="28903" xr:uid="{FAED6BEB-6BFD-4719-9E75-2CB5CA8E6514}"/>
    <cellStyle name="Normal 5 4 4 7" xfId="4835" xr:uid="{00000000-0005-0000-0000-0000391B0000}"/>
    <cellStyle name="Normal 5 4 4 7 2" xfId="22608" xr:uid="{FFC2ACE3-70EC-49DE-BA70-95757D8FC0D4}"/>
    <cellStyle name="Normal 5 4 4 7 2 2" xfId="39502" xr:uid="{31D6AD78-8591-4902-85C5-B972577F2687}"/>
    <cellStyle name="Normal 5 4 4 7 3" xfId="14161" xr:uid="{6A815124-F939-4250-A5D7-A7CD5EA2B946}"/>
    <cellStyle name="Normal 5 4 4 7 4" xfId="31055" xr:uid="{13E49098-AFEC-46F6-A6A9-6EA6CB6A9943}"/>
    <cellStyle name="Normal 5 4 4 8" xfId="8980" xr:uid="{B1DB48A4-94CB-4CC2-8D4B-8FD478363D48}"/>
    <cellStyle name="Normal 5 4 4 8 2" xfId="18391" xr:uid="{01775416-A9FC-4FCC-8FE4-754A9F0D75A4}"/>
    <cellStyle name="Normal 5 4 4 8 3" xfId="35285" xr:uid="{CE4B1B33-1491-4B2D-9912-0FF8AA7E6629}"/>
    <cellStyle name="Normal 5 4 4 9" xfId="9944" xr:uid="{35BE1DC0-C4FD-4D30-91F4-D941D7A6B3BB}"/>
    <cellStyle name="Normal 5 4 5" xfId="930" xr:uid="{00000000-0005-0000-0000-00003A1B0000}"/>
    <cellStyle name="Normal 5 4 5 2" xfId="3164" xr:uid="{00000000-0005-0000-0000-00003B1B0000}"/>
    <cellStyle name="Normal 5 4 5 2 2" xfId="7386" xr:uid="{00000000-0005-0000-0000-00003C1B0000}"/>
    <cellStyle name="Normal 5 4 5 2 2 2" xfId="25159" xr:uid="{03B8EDE3-2696-471D-971C-9B5613C511D6}"/>
    <cellStyle name="Normal 5 4 5 2 2 2 2" xfId="42053" xr:uid="{59BF313F-174E-42D6-92E8-94D430E40641}"/>
    <cellStyle name="Normal 5 4 5 2 2 3" xfId="16712" xr:uid="{9101E04D-65E2-43BD-9498-AB10BFDA5985}"/>
    <cellStyle name="Normal 5 4 5 2 2 4" xfId="33606" xr:uid="{DF240CCF-C408-4C23-89A8-51E12748D0A9}"/>
    <cellStyle name="Normal 5 4 5 2 3" xfId="20942" xr:uid="{A9260DC5-0711-44A5-8D46-D32A0A6E017C}"/>
    <cellStyle name="Normal 5 4 5 2 3 2" xfId="37836" xr:uid="{386F6027-B6B6-40AB-9310-20B5074C5DD9}"/>
    <cellStyle name="Normal 5 4 5 2 4" xfId="12495" xr:uid="{B9204FD2-5918-4EC6-9033-5D9EF222843C}"/>
    <cellStyle name="Normal 5 4 5 2 5" xfId="29389" xr:uid="{E21366EC-AD98-4754-9E2F-DFB45B6A57A9}"/>
    <cellStyle name="Normal 5 4 5 3" xfId="5241" xr:uid="{00000000-0005-0000-0000-00003D1B0000}"/>
    <cellStyle name="Normal 5 4 5 3 2" xfId="23014" xr:uid="{48C9EEDA-373D-4D3B-86A1-6A8936FD4AA0}"/>
    <cellStyle name="Normal 5 4 5 3 2 2" xfId="39908" xr:uid="{C5507EA6-25B9-4B2B-BC29-211E2F888112}"/>
    <cellStyle name="Normal 5 4 5 3 3" xfId="14567" xr:uid="{FDCB79F3-C172-4430-A1A2-D1F212CBA316}"/>
    <cellStyle name="Normal 5 4 5 3 4" xfId="31461" xr:uid="{16C1E2A5-53AC-43BD-8461-1C80670D4C7D}"/>
    <cellStyle name="Normal 5 4 5 4" xfId="9197" xr:uid="{44FF0EFB-444B-4C40-B695-8C256ADB5563}"/>
    <cellStyle name="Normal 5 4 5 4 2" xfId="18797" xr:uid="{3B2917A4-4809-407F-9980-5C60B151ADEC}"/>
    <cellStyle name="Normal 5 4 5 4 3" xfId="35691" xr:uid="{721C57B2-45D1-4199-B319-E1CE4B46D8FD}"/>
    <cellStyle name="Normal 5 4 5 5" xfId="10350" xr:uid="{85298942-5F84-4FC3-96C6-94D85E44CED9}"/>
    <cellStyle name="Normal 5 4 5 6" xfId="27244" xr:uid="{4DD6563A-051E-4D7B-AAC1-EC3E459A96DA}"/>
    <cellStyle name="Normal 5 4 6" xfId="1347" xr:uid="{00000000-0005-0000-0000-00003E1B0000}"/>
    <cellStyle name="Normal 5 4 6 2" xfId="3577" xr:uid="{00000000-0005-0000-0000-00003F1B0000}"/>
    <cellStyle name="Normal 5 4 6 2 2" xfId="7799" xr:uid="{00000000-0005-0000-0000-0000401B0000}"/>
    <cellStyle name="Normal 5 4 6 2 2 2" xfId="25572" xr:uid="{B654D4CB-2C34-41C9-8F1F-BD63E699EDE9}"/>
    <cellStyle name="Normal 5 4 6 2 2 2 2" xfId="42466" xr:uid="{BA02F71B-7ACD-44BD-8BA0-E09345939BD6}"/>
    <cellStyle name="Normal 5 4 6 2 2 3" xfId="17125" xr:uid="{8397A446-33D8-46F5-9E82-E357E938B742}"/>
    <cellStyle name="Normal 5 4 6 2 2 4" xfId="34019" xr:uid="{DD05D89D-A73E-45FA-A1E2-1C5EB0B2F909}"/>
    <cellStyle name="Normal 5 4 6 2 3" xfId="21355" xr:uid="{08C99C5C-7774-4740-90CF-3145C411284B}"/>
    <cellStyle name="Normal 5 4 6 2 3 2" xfId="38249" xr:uid="{B96D55F5-D2DF-47E5-B0B6-C7B1285663E7}"/>
    <cellStyle name="Normal 5 4 6 2 4" xfId="12908" xr:uid="{16154D68-39EE-4D8A-905F-9741EEC0D047}"/>
    <cellStyle name="Normal 5 4 6 2 5" xfId="29802" xr:uid="{BBC07156-AB84-43FB-B2FE-C2F196025815}"/>
    <cellStyle name="Normal 5 4 6 3" xfId="5654" xr:uid="{00000000-0005-0000-0000-0000411B0000}"/>
    <cellStyle name="Normal 5 4 6 3 2" xfId="23427" xr:uid="{AB728DA3-F038-4F13-A179-1ECAB29600FA}"/>
    <cellStyle name="Normal 5 4 6 3 2 2" xfId="40321" xr:uid="{4D4C5989-C1E2-4A0C-A9A9-38FB8CD098B5}"/>
    <cellStyle name="Normal 5 4 6 3 3" xfId="14980" xr:uid="{93957149-9F70-466B-86C0-3858A23617A4}"/>
    <cellStyle name="Normal 5 4 6 3 4" xfId="31874" xr:uid="{ABFB1043-649A-4F1C-8709-EC50D43A68AE}"/>
    <cellStyle name="Normal 5 4 6 4" xfId="19210" xr:uid="{E96D59F6-2405-448E-A9FD-D6A28BB6B50D}"/>
    <cellStyle name="Normal 5 4 6 4 2" xfId="36104" xr:uid="{290D1850-73B3-4623-B365-57C56F57FE5F}"/>
    <cellStyle name="Normal 5 4 6 5" xfId="10763" xr:uid="{AC3A35F7-E7AF-4158-8449-D8934CE5A5D9}"/>
    <cellStyle name="Normal 5 4 6 6" xfId="27657" xr:uid="{9A875A7B-F678-4360-AA86-503567D1D4F8}"/>
    <cellStyle name="Normal 5 4 7" xfId="1760" xr:uid="{00000000-0005-0000-0000-0000421B0000}"/>
    <cellStyle name="Normal 5 4 7 2" xfId="3990" xr:uid="{00000000-0005-0000-0000-0000431B0000}"/>
    <cellStyle name="Normal 5 4 7 2 2" xfId="8212" xr:uid="{00000000-0005-0000-0000-0000441B0000}"/>
    <cellStyle name="Normal 5 4 7 2 2 2" xfId="25985" xr:uid="{B6070073-92A1-4F59-A7D0-CF028B0D732E}"/>
    <cellStyle name="Normal 5 4 7 2 2 2 2" xfId="42879" xr:uid="{9B5702A7-B887-4AA0-92E8-85DA84F37FEC}"/>
    <cellStyle name="Normal 5 4 7 2 2 3" xfId="17538" xr:uid="{C23FF53E-77D6-43A5-AE6B-21B634033AF7}"/>
    <cellStyle name="Normal 5 4 7 2 2 4" xfId="34432" xr:uid="{984C5A33-0A49-4219-998F-17B6A8C41153}"/>
    <cellStyle name="Normal 5 4 7 2 3" xfId="21768" xr:uid="{DD55955D-8B58-4807-8E8B-38392B752DEA}"/>
    <cellStyle name="Normal 5 4 7 2 3 2" xfId="38662" xr:uid="{F982FDA0-D223-4F61-9B49-44FB4526552B}"/>
    <cellStyle name="Normal 5 4 7 2 4" xfId="13321" xr:uid="{238CB131-B5CC-4BAE-9CE6-4E4E6E25B5F4}"/>
    <cellStyle name="Normal 5 4 7 2 5" xfId="30215" xr:uid="{E27AD9DF-E84B-455A-B308-C1B7C3AF4083}"/>
    <cellStyle name="Normal 5 4 7 3" xfId="6067" xr:uid="{00000000-0005-0000-0000-0000451B0000}"/>
    <cellStyle name="Normal 5 4 7 3 2" xfId="23840" xr:uid="{32165A04-263E-4CE5-BCB3-A2B052490F85}"/>
    <cellStyle name="Normal 5 4 7 3 2 2" xfId="40734" xr:uid="{A7E0CB66-6346-4DF0-A32C-FC6AC75216D5}"/>
    <cellStyle name="Normal 5 4 7 3 3" xfId="15393" xr:uid="{95DAA79F-8CD1-4AD5-BD5D-C21868F8E6D3}"/>
    <cellStyle name="Normal 5 4 7 3 4" xfId="32287" xr:uid="{139E711C-1324-4CDE-8C48-D3D44CEF3FBF}"/>
    <cellStyle name="Normal 5 4 7 4" xfId="19623" xr:uid="{2222A953-6845-4C5C-906E-19673BBB72A3}"/>
    <cellStyle name="Normal 5 4 7 4 2" xfId="36517" xr:uid="{4EEA0B55-5322-4C04-88E3-A975366B8BF5}"/>
    <cellStyle name="Normal 5 4 7 5" xfId="11176" xr:uid="{C09B1C9A-5958-4363-9668-568FB2715031}"/>
    <cellStyle name="Normal 5 4 7 6" xfId="28070" xr:uid="{5D96C58F-83CC-4FDE-BDFE-F982117A5473}"/>
    <cellStyle name="Normal 5 4 8" xfId="2174" xr:uid="{00000000-0005-0000-0000-0000461B0000}"/>
    <cellStyle name="Normal 5 4 8 2" xfId="4403" xr:uid="{00000000-0005-0000-0000-0000471B0000}"/>
    <cellStyle name="Normal 5 4 8 2 2" xfId="8625" xr:uid="{00000000-0005-0000-0000-0000481B0000}"/>
    <cellStyle name="Normal 5 4 8 2 2 2" xfId="26398" xr:uid="{65F8D303-CF08-4684-ACBA-7C3D2FE7124E}"/>
    <cellStyle name="Normal 5 4 8 2 2 2 2" xfId="43292" xr:uid="{57EAFBF4-BE84-43CD-85A0-AA3285A257B9}"/>
    <cellStyle name="Normal 5 4 8 2 2 3" xfId="17951" xr:uid="{7DD38E05-D03F-461A-A8D1-72C02E308373}"/>
    <cellStyle name="Normal 5 4 8 2 2 4" xfId="34845" xr:uid="{87EA5164-D91A-4BED-BEED-6A5F621ED7D6}"/>
    <cellStyle name="Normal 5 4 8 2 3" xfId="22181" xr:uid="{9DEB15F0-88F3-4608-A087-30FD148254AB}"/>
    <cellStyle name="Normal 5 4 8 2 3 2" xfId="39075" xr:uid="{BED36C56-F2DF-4D9F-8618-1B1F52354C19}"/>
    <cellStyle name="Normal 5 4 8 2 4" xfId="13734" xr:uid="{3FC554D5-8D2A-405F-83B4-F7497B044AED}"/>
    <cellStyle name="Normal 5 4 8 2 5" xfId="30628" xr:uid="{403456FA-FE89-41C9-8659-6C9B273CC755}"/>
    <cellStyle name="Normal 5 4 8 3" xfId="6480" xr:uid="{00000000-0005-0000-0000-0000491B0000}"/>
    <cellStyle name="Normal 5 4 8 3 2" xfId="24253" xr:uid="{32AE8854-A592-435D-89AD-96C1D04D7C0C}"/>
    <cellStyle name="Normal 5 4 8 3 2 2" xfId="41147" xr:uid="{8B102741-6619-4F3E-94D6-3E23FB427C63}"/>
    <cellStyle name="Normal 5 4 8 3 3" xfId="15806" xr:uid="{550EA299-2897-4F37-9F5F-65D9AD00F96B}"/>
    <cellStyle name="Normal 5 4 8 3 4" xfId="32700" xr:uid="{61AC39C6-7D51-4331-A642-C0F5FA6E6DB8}"/>
    <cellStyle name="Normal 5 4 8 4" xfId="20036" xr:uid="{5D0738B4-0B7D-42C8-A9D6-CD633CB8C152}"/>
    <cellStyle name="Normal 5 4 8 4 2" xfId="36930" xr:uid="{42DD30DD-3EDF-4DB2-9C59-E39362737D54}"/>
    <cellStyle name="Normal 5 4 8 5" xfId="11589" xr:uid="{39AD60D0-6959-4640-AF6A-48A8B8375900}"/>
    <cellStyle name="Normal 5 4 8 6" xfId="28483" xr:uid="{645E8EFE-EB4A-4958-BC54-4ACDF25ED5EE}"/>
    <cellStyle name="Normal 5 4 9" xfId="2610" xr:uid="{00000000-0005-0000-0000-00004A1B0000}"/>
    <cellStyle name="Normal 5 4 9 2" xfId="6893" xr:uid="{00000000-0005-0000-0000-00004B1B0000}"/>
    <cellStyle name="Normal 5 4 9 2 2" xfId="24666" xr:uid="{5B27B14B-213C-4948-A022-0F46D5608016}"/>
    <cellStyle name="Normal 5 4 9 2 2 2" xfId="41560" xr:uid="{29DA0C56-7679-477A-8054-EADC89EBE7CF}"/>
    <cellStyle name="Normal 5 4 9 2 3" xfId="16219" xr:uid="{98907719-753C-45D6-8BE3-432720CFD85F}"/>
    <cellStyle name="Normal 5 4 9 2 4" xfId="33113" xr:uid="{7AC4F38D-84E6-4955-9150-15AFE35498E2}"/>
    <cellStyle name="Normal 5 4 9 3" xfId="20449" xr:uid="{6656B62C-7116-4F01-B9B9-9528859A06FB}"/>
    <cellStyle name="Normal 5 4 9 3 2" xfId="37343" xr:uid="{4170EF1A-6F23-42FC-B9EF-0AE4A3C1F0F7}"/>
    <cellStyle name="Normal 5 4 9 4" xfId="12002" xr:uid="{3C9A0CD3-F48A-4469-B45A-C061E7A404EF}"/>
    <cellStyle name="Normal 5 4 9 5" xfId="28896" xr:uid="{DB5474FC-FF55-406C-B016-C836335D9EC7}"/>
    <cellStyle name="Normal 5 5" xfId="464" xr:uid="{00000000-0005-0000-0000-00004C1B0000}"/>
    <cellStyle name="Normal 5 5 10" xfId="8826" xr:uid="{5746674A-546A-44BF-97FB-6D298BF3AD61}"/>
    <cellStyle name="Normal 5 5 10 2" xfId="18392" xr:uid="{CA3F6125-7331-421F-91FD-3687F876FB6B}"/>
    <cellStyle name="Normal 5 5 10 3" xfId="35286" xr:uid="{BBFD6F84-5096-4879-AA25-99E2794AA3DC}"/>
    <cellStyle name="Normal 5 5 11" xfId="9945" xr:uid="{83FBAB1C-1F11-4659-A691-F8C268EB788C}"/>
    <cellStyle name="Normal 5 5 12" xfId="26839" xr:uid="{DF31304E-6BEC-44E8-B441-2A27961EE1C4}"/>
    <cellStyle name="Normal 5 5 2" xfId="465" xr:uid="{00000000-0005-0000-0000-00004D1B0000}"/>
    <cellStyle name="Normal 5 5 2 10" xfId="9946" xr:uid="{D308CA68-704E-4485-B9B2-48C418DBA474}"/>
    <cellStyle name="Normal 5 5 2 11" xfId="26840" xr:uid="{2906BB59-8D74-4F78-8BF1-6338422B274E}"/>
    <cellStyle name="Normal 5 5 2 2" xfId="466" xr:uid="{00000000-0005-0000-0000-00004E1B0000}"/>
    <cellStyle name="Normal 5 5 2 2 10" xfId="26841" xr:uid="{6B2DFD64-CA76-409C-B51C-D2C9DD01AC1E}"/>
    <cellStyle name="Normal 5 5 2 2 2" xfId="940" xr:uid="{00000000-0005-0000-0000-00004F1B0000}"/>
    <cellStyle name="Normal 5 5 2 2 2 2" xfId="3174" xr:uid="{00000000-0005-0000-0000-0000501B0000}"/>
    <cellStyle name="Normal 5 5 2 2 2 2 2" xfId="7396" xr:uid="{00000000-0005-0000-0000-0000511B0000}"/>
    <cellStyle name="Normal 5 5 2 2 2 2 2 2" xfId="25169" xr:uid="{67F3849E-5D47-4665-95F6-FDF3400204CB}"/>
    <cellStyle name="Normal 5 5 2 2 2 2 2 2 2" xfId="42063" xr:uid="{1A47CFA3-7F9F-436D-B5E4-D8DF0800BD93}"/>
    <cellStyle name="Normal 5 5 2 2 2 2 2 3" xfId="16722" xr:uid="{F8EA34CA-98B8-4040-9F0D-E7969DE34EA7}"/>
    <cellStyle name="Normal 5 5 2 2 2 2 2 4" xfId="33616" xr:uid="{8871D2C4-9C3D-421B-88BC-C623FD26068A}"/>
    <cellStyle name="Normal 5 5 2 2 2 2 3" xfId="20952" xr:uid="{553EFD25-021F-486E-8F99-0A433E8DB5CF}"/>
    <cellStyle name="Normal 5 5 2 2 2 2 3 2" xfId="37846" xr:uid="{151108AF-A7AD-4E5A-A56F-4E4CDF1E5F85}"/>
    <cellStyle name="Normal 5 5 2 2 2 2 4" xfId="12505" xr:uid="{C5097DD2-4938-4EEA-9A41-9B8A3C889C57}"/>
    <cellStyle name="Normal 5 5 2 2 2 2 5" xfId="29399" xr:uid="{71B256B9-EE3C-4FC1-90CA-1D235F8DCAC0}"/>
    <cellStyle name="Normal 5 5 2 2 2 3" xfId="5251" xr:uid="{00000000-0005-0000-0000-0000521B0000}"/>
    <cellStyle name="Normal 5 5 2 2 2 3 2" xfId="23024" xr:uid="{58C6F2FF-C8A8-4256-9578-E2E9B087BFDC}"/>
    <cellStyle name="Normal 5 5 2 2 2 3 2 2" xfId="39918" xr:uid="{78DB7255-EA04-49FF-8EC2-4F167A50AD51}"/>
    <cellStyle name="Normal 5 5 2 2 2 3 3" xfId="14577" xr:uid="{FB9CFD9E-9C0E-4A01-A1E4-C7A68B3B8417}"/>
    <cellStyle name="Normal 5 5 2 2 2 3 4" xfId="31471" xr:uid="{A8475C51-BB2E-47F5-B7B1-024714AB6EEE}"/>
    <cellStyle name="Normal 5 5 2 2 2 4" xfId="9561" xr:uid="{FF1EB4DD-E23E-4228-816B-D59B021F724D}"/>
    <cellStyle name="Normal 5 5 2 2 2 4 2" xfId="18807" xr:uid="{E4D750C6-393D-4205-88BF-D8F98B7E8371}"/>
    <cellStyle name="Normal 5 5 2 2 2 4 3" xfId="35701" xr:uid="{16AFCFCD-CDB9-4B99-BD5F-BCA30484DB6E}"/>
    <cellStyle name="Normal 5 5 2 2 2 5" xfId="10360" xr:uid="{069752EB-7AC1-474F-89A8-62EEF78013F2}"/>
    <cellStyle name="Normal 5 5 2 2 2 6" xfId="27254" xr:uid="{F180AA1F-C4CE-4A9A-9CF1-12E1BEC0E923}"/>
    <cellStyle name="Normal 5 5 2 2 3" xfId="1357" xr:uid="{00000000-0005-0000-0000-0000531B0000}"/>
    <cellStyle name="Normal 5 5 2 2 3 2" xfId="3587" xr:uid="{00000000-0005-0000-0000-0000541B0000}"/>
    <cellStyle name="Normal 5 5 2 2 3 2 2" xfId="7809" xr:uid="{00000000-0005-0000-0000-0000551B0000}"/>
    <cellStyle name="Normal 5 5 2 2 3 2 2 2" xfId="25582" xr:uid="{E16B81CF-E3BF-453A-97FD-521D1BE3B78F}"/>
    <cellStyle name="Normal 5 5 2 2 3 2 2 2 2" xfId="42476" xr:uid="{B59CB1CD-70FD-4B0F-9323-EF6DE6C4BC4D}"/>
    <cellStyle name="Normal 5 5 2 2 3 2 2 3" xfId="17135" xr:uid="{836470A5-2BDF-4032-A2BE-B0E715E55F09}"/>
    <cellStyle name="Normal 5 5 2 2 3 2 2 4" xfId="34029" xr:uid="{F549639B-1A47-4CD9-A772-304EE4291830}"/>
    <cellStyle name="Normal 5 5 2 2 3 2 3" xfId="21365" xr:uid="{1442AD6F-1405-464A-AA97-C4D453FE9445}"/>
    <cellStyle name="Normal 5 5 2 2 3 2 3 2" xfId="38259" xr:uid="{84B54B79-1CCA-499E-BEF5-BD5CD6A5FF45}"/>
    <cellStyle name="Normal 5 5 2 2 3 2 4" xfId="12918" xr:uid="{A896716C-13D4-4767-A966-8BE39C03E187}"/>
    <cellStyle name="Normal 5 5 2 2 3 2 5" xfId="29812" xr:uid="{9E90F6C8-6EE8-4C3B-9F4E-EEE23E2E1C2D}"/>
    <cellStyle name="Normal 5 5 2 2 3 3" xfId="5664" xr:uid="{00000000-0005-0000-0000-0000561B0000}"/>
    <cellStyle name="Normal 5 5 2 2 3 3 2" xfId="23437" xr:uid="{DFCC8A17-4D0D-4D25-8E24-7F2E95318784}"/>
    <cellStyle name="Normal 5 5 2 2 3 3 2 2" xfId="40331" xr:uid="{3DFAD524-042F-49EF-B372-F9310E2F1EBC}"/>
    <cellStyle name="Normal 5 5 2 2 3 3 3" xfId="14990" xr:uid="{1EC43876-C3FE-45D2-9924-CA03FD74CD32}"/>
    <cellStyle name="Normal 5 5 2 2 3 3 4" xfId="31884" xr:uid="{53AF481B-D76D-4401-B9CA-2A4EA2808055}"/>
    <cellStyle name="Normal 5 5 2 2 3 4" xfId="19220" xr:uid="{4C957C01-3545-48CA-850A-46767EE27DD1}"/>
    <cellStyle name="Normal 5 5 2 2 3 4 2" xfId="36114" xr:uid="{66BB5300-908C-4D30-839F-8540A28BC97E}"/>
    <cellStyle name="Normal 5 5 2 2 3 5" xfId="10773" xr:uid="{4BB4ECEE-83BF-4D93-8798-2FC623DD6DB0}"/>
    <cellStyle name="Normal 5 5 2 2 3 6" xfId="27667" xr:uid="{360FABD1-D290-41A7-831D-DF71D220D0FD}"/>
    <cellStyle name="Normal 5 5 2 2 4" xfId="1770" xr:uid="{00000000-0005-0000-0000-0000571B0000}"/>
    <cellStyle name="Normal 5 5 2 2 4 2" xfId="4000" xr:uid="{00000000-0005-0000-0000-0000581B0000}"/>
    <cellStyle name="Normal 5 5 2 2 4 2 2" xfId="8222" xr:uid="{00000000-0005-0000-0000-0000591B0000}"/>
    <cellStyle name="Normal 5 5 2 2 4 2 2 2" xfId="25995" xr:uid="{204DEBEC-1560-4991-A990-2EF8B371ED2F}"/>
    <cellStyle name="Normal 5 5 2 2 4 2 2 2 2" xfId="42889" xr:uid="{45A26ED5-FC18-4DA1-BA9A-A35ADAB54172}"/>
    <cellStyle name="Normal 5 5 2 2 4 2 2 3" xfId="17548" xr:uid="{5E6C0E36-4A8A-4F0E-86DE-47C9C6463896}"/>
    <cellStyle name="Normal 5 5 2 2 4 2 2 4" xfId="34442" xr:uid="{C21DDAE3-3F21-416A-9CB2-02AA6C018AA1}"/>
    <cellStyle name="Normal 5 5 2 2 4 2 3" xfId="21778" xr:uid="{E5CE0FA5-DE13-4971-86C5-9C78F5502FFD}"/>
    <cellStyle name="Normal 5 5 2 2 4 2 3 2" xfId="38672" xr:uid="{DF30E439-59D7-4E21-A235-28E39839A3B5}"/>
    <cellStyle name="Normal 5 5 2 2 4 2 4" xfId="13331" xr:uid="{9B9F5DE6-1B51-4F73-B4C9-D3C93FF8437C}"/>
    <cellStyle name="Normal 5 5 2 2 4 2 5" xfId="30225" xr:uid="{DDF44ABE-4D94-4910-BE47-65D088C069BF}"/>
    <cellStyle name="Normal 5 5 2 2 4 3" xfId="6077" xr:uid="{00000000-0005-0000-0000-00005A1B0000}"/>
    <cellStyle name="Normal 5 5 2 2 4 3 2" xfId="23850" xr:uid="{3068481F-1DBE-462F-9456-A2DD3DFF3137}"/>
    <cellStyle name="Normal 5 5 2 2 4 3 2 2" xfId="40744" xr:uid="{2C9B1FB0-B4B9-4D8C-960F-3B8DB8FEB33B}"/>
    <cellStyle name="Normal 5 5 2 2 4 3 3" xfId="15403" xr:uid="{FFFEA276-F1D7-4844-85EF-208D204D4D8E}"/>
    <cellStyle name="Normal 5 5 2 2 4 3 4" xfId="32297" xr:uid="{5443FE9C-F8FF-4FF4-9748-72A9C04E1E83}"/>
    <cellStyle name="Normal 5 5 2 2 4 4" xfId="19633" xr:uid="{EEED5FE4-6459-4476-982C-DB3DB4A758FF}"/>
    <cellStyle name="Normal 5 5 2 2 4 4 2" xfId="36527" xr:uid="{BC74331C-C29E-4F92-ACBE-A6BB358B6594}"/>
    <cellStyle name="Normal 5 5 2 2 4 5" xfId="11186" xr:uid="{FF81DBDC-5450-44BD-A3F2-39ED50BB01FC}"/>
    <cellStyle name="Normal 5 5 2 2 4 6" xfId="28080" xr:uid="{FA215379-8CBF-468E-973B-67D535638868}"/>
    <cellStyle name="Normal 5 5 2 2 5" xfId="2184" xr:uid="{00000000-0005-0000-0000-00005B1B0000}"/>
    <cellStyle name="Normal 5 5 2 2 5 2" xfId="4413" xr:uid="{00000000-0005-0000-0000-00005C1B0000}"/>
    <cellStyle name="Normal 5 5 2 2 5 2 2" xfId="8635" xr:uid="{00000000-0005-0000-0000-00005D1B0000}"/>
    <cellStyle name="Normal 5 5 2 2 5 2 2 2" xfId="26408" xr:uid="{ED336675-4144-43E1-94EC-A549F7B1CA5F}"/>
    <cellStyle name="Normal 5 5 2 2 5 2 2 2 2" xfId="43302" xr:uid="{C4F0A18B-80FE-4B24-A507-711AA1225AD4}"/>
    <cellStyle name="Normal 5 5 2 2 5 2 2 3" xfId="17961" xr:uid="{06724222-5A30-40B3-9C2D-36C55677D14F}"/>
    <cellStyle name="Normal 5 5 2 2 5 2 2 4" xfId="34855" xr:uid="{BF95AFC9-BBF7-4B3E-A582-09FA843DDE3B}"/>
    <cellStyle name="Normal 5 5 2 2 5 2 3" xfId="22191" xr:uid="{49883A9A-7F98-4E16-A15B-D7BAE6EF797C}"/>
    <cellStyle name="Normal 5 5 2 2 5 2 3 2" xfId="39085" xr:uid="{FEB7700E-1C59-4879-B9C0-CE6D049CC58C}"/>
    <cellStyle name="Normal 5 5 2 2 5 2 4" xfId="13744" xr:uid="{CF0591AC-2484-4235-A97E-3C14D39777B7}"/>
    <cellStyle name="Normal 5 5 2 2 5 2 5" xfId="30638" xr:uid="{88C29235-33FE-435A-A3B5-B6F802E954BE}"/>
    <cellStyle name="Normal 5 5 2 2 5 3" xfId="6490" xr:uid="{00000000-0005-0000-0000-00005E1B0000}"/>
    <cellStyle name="Normal 5 5 2 2 5 3 2" xfId="24263" xr:uid="{1A13D76E-7214-41F1-B3B9-F51AED69E4B1}"/>
    <cellStyle name="Normal 5 5 2 2 5 3 2 2" xfId="41157" xr:uid="{3E9DEB05-E387-4364-AA56-C8993414D293}"/>
    <cellStyle name="Normal 5 5 2 2 5 3 3" xfId="15816" xr:uid="{3F551A51-CBAB-44F0-BEBD-E4CF317C2D27}"/>
    <cellStyle name="Normal 5 5 2 2 5 3 4" xfId="32710" xr:uid="{06A558D6-8686-4BC3-A49D-D9D1FD4F74AC}"/>
    <cellStyle name="Normal 5 5 2 2 5 4" xfId="20046" xr:uid="{6D2413AC-4E82-4AB2-A1BC-2D166EF3672A}"/>
    <cellStyle name="Normal 5 5 2 2 5 4 2" xfId="36940" xr:uid="{248F0800-FCFE-4B90-A473-2116A755297F}"/>
    <cellStyle name="Normal 5 5 2 2 5 5" xfId="11599" xr:uid="{9222D258-83E2-433C-AB1C-385BEEA2C47E}"/>
    <cellStyle name="Normal 5 5 2 2 5 6" xfId="28493" xr:uid="{1D891071-8DC5-4AFC-A83D-9D5C530A2D20}"/>
    <cellStyle name="Normal 5 5 2 2 6" xfId="2620" xr:uid="{00000000-0005-0000-0000-00005F1B0000}"/>
    <cellStyle name="Normal 5 5 2 2 6 2" xfId="6903" xr:uid="{00000000-0005-0000-0000-0000601B0000}"/>
    <cellStyle name="Normal 5 5 2 2 6 2 2" xfId="24676" xr:uid="{79658C91-5DEB-47FC-BEDB-16B9C24C7ACD}"/>
    <cellStyle name="Normal 5 5 2 2 6 2 2 2" xfId="41570" xr:uid="{9E46F1FB-1A27-4B69-9B25-40D6FFE485D5}"/>
    <cellStyle name="Normal 5 5 2 2 6 2 3" xfId="16229" xr:uid="{F946B7A3-4AEF-4F99-AEA7-C6CD04D65482}"/>
    <cellStyle name="Normal 5 5 2 2 6 2 4" xfId="33123" xr:uid="{7FDC8438-3BBB-4849-9F5B-AABA58E43DD2}"/>
    <cellStyle name="Normal 5 5 2 2 6 3" xfId="20459" xr:uid="{5B8C989E-94C7-40F4-8D3B-62A8159CC4EE}"/>
    <cellStyle name="Normal 5 5 2 2 6 3 2" xfId="37353" xr:uid="{CA1B331D-229F-41B5-9503-5EC1FD437C78}"/>
    <cellStyle name="Normal 5 5 2 2 6 4" xfId="12012" xr:uid="{555A2098-0848-4DC4-96E3-E019CD8EB5B2}"/>
    <cellStyle name="Normal 5 5 2 2 6 5" xfId="28906" xr:uid="{585D4F7B-A2CB-4AEF-992A-F3C376D2395F}"/>
    <cellStyle name="Normal 5 5 2 2 7" xfId="4838" xr:uid="{00000000-0005-0000-0000-0000611B0000}"/>
    <cellStyle name="Normal 5 5 2 2 7 2" xfId="22611" xr:uid="{D1EF0BC5-C164-4D1D-81C8-71483C44D58A}"/>
    <cellStyle name="Normal 5 5 2 2 7 2 2" xfId="39505" xr:uid="{8B6219DF-5315-42F1-832E-222DD1E53A03}"/>
    <cellStyle name="Normal 5 5 2 2 7 3" xfId="14164" xr:uid="{E6F63228-2E6F-4FA6-9C29-DE93E92EA16C}"/>
    <cellStyle name="Normal 5 5 2 2 7 4" xfId="31058" xr:uid="{17689EDA-A8FB-4EF9-A23A-6E00D99E4EE1}"/>
    <cellStyle name="Normal 5 5 2 2 8" xfId="9136" xr:uid="{D41453B5-3BE6-4F01-B336-45A274529844}"/>
    <cellStyle name="Normal 5 5 2 2 8 2" xfId="18394" xr:uid="{38E57256-0B77-47E5-9A3F-CF363BC4DA9F}"/>
    <cellStyle name="Normal 5 5 2 2 8 3" xfId="35288" xr:uid="{C7440D97-5A60-4661-AF35-4761D710E3BD}"/>
    <cellStyle name="Normal 5 5 2 2 9" xfId="9947" xr:uid="{0229D842-D72D-42EB-8901-37BA653E4001}"/>
    <cellStyle name="Normal 5 5 2 3" xfId="939" xr:uid="{00000000-0005-0000-0000-0000621B0000}"/>
    <cellStyle name="Normal 5 5 2 3 2" xfId="3173" xr:uid="{00000000-0005-0000-0000-0000631B0000}"/>
    <cellStyle name="Normal 5 5 2 3 2 2" xfId="7395" xr:uid="{00000000-0005-0000-0000-0000641B0000}"/>
    <cellStyle name="Normal 5 5 2 3 2 2 2" xfId="25168" xr:uid="{EC71A5E2-480B-4008-AAB1-FD5402D69B88}"/>
    <cellStyle name="Normal 5 5 2 3 2 2 2 2" xfId="42062" xr:uid="{BD4FD2CF-7385-4327-8C59-3D2FF2F96094}"/>
    <cellStyle name="Normal 5 5 2 3 2 2 3" xfId="16721" xr:uid="{A8C11D10-E574-482F-BB8E-429C8B0C0C0E}"/>
    <cellStyle name="Normal 5 5 2 3 2 2 4" xfId="33615" xr:uid="{41CB6B6F-67A5-4249-BED1-5DD5D72525E2}"/>
    <cellStyle name="Normal 5 5 2 3 2 3" xfId="20951" xr:uid="{8AABB9EA-7C57-4596-8694-1B974ECCCF87}"/>
    <cellStyle name="Normal 5 5 2 3 2 3 2" xfId="37845" xr:uid="{D61AC6D4-8954-4915-BDB6-352C433725CB}"/>
    <cellStyle name="Normal 5 5 2 3 2 4" xfId="12504" xr:uid="{A18B7A3F-1ED9-486C-A96F-FC36C89A756D}"/>
    <cellStyle name="Normal 5 5 2 3 2 5" xfId="29398" xr:uid="{A8561803-7E9A-4D8B-A89B-CE34B360D914}"/>
    <cellStyle name="Normal 5 5 2 3 3" xfId="5250" xr:uid="{00000000-0005-0000-0000-0000651B0000}"/>
    <cellStyle name="Normal 5 5 2 3 3 2" xfId="23023" xr:uid="{2F03D937-4FE7-4D73-820B-F09847323C00}"/>
    <cellStyle name="Normal 5 5 2 3 3 2 2" xfId="39917" xr:uid="{8C127383-83C9-4554-A66B-9CBFF6EDD98A}"/>
    <cellStyle name="Normal 5 5 2 3 3 3" xfId="14576" xr:uid="{6E150A45-AEB7-4D16-BFA2-D2E7C38D8D63}"/>
    <cellStyle name="Normal 5 5 2 3 3 4" xfId="31470" xr:uid="{5B31C129-C2B7-44D7-81E9-477861AAB84E}"/>
    <cellStyle name="Normal 5 5 2 3 4" xfId="9354" xr:uid="{3251F49D-E700-469D-9840-28045D408641}"/>
    <cellStyle name="Normal 5 5 2 3 4 2" xfId="18806" xr:uid="{FC229327-0F4B-418D-A984-4E976BA98DC6}"/>
    <cellStyle name="Normal 5 5 2 3 4 3" xfId="35700" xr:uid="{0E75EE00-5CF5-40DD-A815-9D53972E56A6}"/>
    <cellStyle name="Normal 5 5 2 3 5" xfId="10359" xr:uid="{D1A6D785-47D7-49FE-A2F5-24E73F408D29}"/>
    <cellStyle name="Normal 5 5 2 3 6" xfId="27253" xr:uid="{0D7D5E65-D7F3-481C-A350-0EC9C7F663AC}"/>
    <cellStyle name="Normal 5 5 2 4" xfId="1356" xr:uid="{00000000-0005-0000-0000-0000661B0000}"/>
    <cellStyle name="Normal 5 5 2 4 2" xfId="3586" xr:uid="{00000000-0005-0000-0000-0000671B0000}"/>
    <cellStyle name="Normal 5 5 2 4 2 2" xfId="7808" xr:uid="{00000000-0005-0000-0000-0000681B0000}"/>
    <cellStyle name="Normal 5 5 2 4 2 2 2" xfId="25581" xr:uid="{0CDB268D-3B46-4C5E-8579-732994690AFE}"/>
    <cellStyle name="Normal 5 5 2 4 2 2 2 2" xfId="42475" xr:uid="{17E7E52F-10EA-43E7-8DBE-9CC23C24B892}"/>
    <cellStyle name="Normal 5 5 2 4 2 2 3" xfId="17134" xr:uid="{DFED8177-83B3-4F1A-9521-A9C34CC0FB11}"/>
    <cellStyle name="Normal 5 5 2 4 2 2 4" xfId="34028" xr:uid="{2EC7C0E7-1C89-41A6-9D08-3F18595477C0}"/>
    <cellStyle name="Normal 5 5 2 4 2 3" xfId="21364" xr:uid="{36AF52B1-1091-47D4-9638-408CB03C94C4}"/>
    <cellStyle name="Normal 5 5 2 4 2 3 2" xfId="38258" xr:uid="{F9DE27C3-F3EC-4DDE-8731-8171ADFD80DE}"/>
    <cellStyle name="Normal 5 5 2 4 2 4" xfId="12917" xr:uid="{1D2D4862-7F21-4F06-909B-D13377FF5F03}"/>
    <cellStyle name="Normal 5 5 2 4 2 5" xfId="29811" xr:uid="{17B0FBD7-37D6-4013-AA77-A061FD960975}"/>
    <cellStyle name="Normal 5 5 2 4 3" xfId="5663" xr:uid="{00000000-0005-0000-0000-0000691B0000}"/>
    <cellStyle name="Normal 5 5 2 4 3 2" xfId="23436" xr:uid="{F1990642-598D-42C9-99DF-8A69793FE1C2}"/>
    <cellStyle name="Normal 5 5 2 4 3 2 2" xfId="40330" xr:uid="{B4B3E2A3-61B8-47B1-A6CB-C51270F1F40B}"/>
    <cellStyle name="Normal 5 5 2 4 3 3" xfId="14989" xr:uid="{F186400B-1F58-461A-8BF5-5F02FFE3D42C}"/>
    <cellStyle name="Normal 5 5 2 4 3 4" xfId="31883" xr:uid="{63A6C6FF-33DC-40C5-9006-500E1643E2D9}"/>
    <cellStyle name="Normal 5 5 2 4 4" xfId="19219" xr:uid="{C33A9ED0-87C5-47A0-B6ED-59E602BC1ADE}"/>
    <cellStyle name="Normal 5 5 2 4 4 2" xfId="36113" xr:uid="{4A1FD021-EA8F-4250-98AD-D8299BA35010}"/>
    <cellStyle name="Normal 5 5 2 4 5" xfId="10772" xr:uid="{D8AE0C92-2B86-43A8-8FA9-07DA627B296C}"/>
    <cellStyle name="Normal 5 5 2 4 6" xfId="27666" xr:uid="{BB84AEF5-B050-4160-A09A-DFA522210C4C}"/>
    <cellStyle name="Normal 5 5 2 5" xfId="1769" xr:uid="{00000000-0005-0000-0000-00006A1B0000}"/>
    <cellStyle name="Normal 5 5 2 5 2" xfId="3999" xr:uid="{00000000-0005-0000-0000-00006B1B0000}"/>
    <cellStyle name="Normal 5 5 2 5 2 2" xfId="8221" xr:uid="{00000000-0005-0000-0000-00006C1B0000}"/>
    <cellStyle name="Normal 5 5 2 5 2 2 2" xfId="25994" xr:uid="{B2569198-55D3-4CCC-B995-8E0BBD71AB21}"/>
    <cellStyle name="Normal 5 5 2 5 2 2 2 2" xfId="42888" xr:uid="{025F50BC-E01C-410A-9F4F-4E647E893082}"/>
    <cellStyle name="Normal 5 5 2 5 2 2 3" xfId="17547" xr:uid="{0CBC9A0A-E6B2-44F6-B4DF-6678C5464BCA}"/>
    <cellStyle name="Normal 5 5 2 5 2 2 4" xfId="34441" xr:uid="{F1155DF1-1025-44F6-B088-3C286A81EDFD}"/>
    <cellStyle name="Normal 5 5 2 5 2 3" xfId="21777" xr:uid="{E57CACB9-6BDA-461D-A70B-2156875D16FA}"/>
    <cellStyle name="Normal 5 5 2 5 2 3 2" xfId="38671" xr:uid="{315FC7CC-6953-4753-9426-B8D1377864DF}"/>
    <cellStyle name="Normal 5 5 2 5 2 4" xfId="13330" xr:uid="{63682F57-08AB-43F7-B21A-13371603B284}"/>
    <cellStyle name="Normal 5 5 2 5 2 5" xfId="30224" xr:uid="{2CD5BD5A-5A40-4EA1-B83A-DA8D641F6DC8}"/>
    <cellStyle name="Normal 5 5 2 5 3" xfId="6076" xr:uid="{00000000-0005-0000-0000-00006D1B0000}"/>
    <cellStyle name="Normal 5 5 2 5 3 2" xfId="23849" xr:uid="{7B24816A-4C30-402F-92DB-FD574DD5DDE7}"/>
    <cellStyle name="Normal 5 5 2 5 3 2 2" xfId="40743" xr:uid="{11D88379-A91F-4869-AE23-8925EDD02326}"/>
    <cellStyle name="Normal 5 5 2 5 3 3" xfId="15402" xr:uid="{FEE5D246-0BC0-43E7-A217-4B2181D74039}"/>
    <cellStyle name="Normal 5 5 2 5 3 4" xfId="32296" xr:uid="{53A13760-F142-484C-A116-26F2F79D48CB}"/>
    <cellStyle name="Normal 5 5 2 5 4" xfId="19632" xr:uid="{869F11C0-7700-433C-AB5E-5C8D2F675E33}"/>
    <cellStyle name="Normal 5 5 2 5 4 2" xfId="36526" xr:uid="{7F2D71D3-5F2D-4E04-B0E5-FB0E3BF34D58}"/>
    <cellStyle name="Normal 5 5 2 5 5" xfId="11185" xr:uid="{9CEF4B2F-B22B-43A2-AE2E-EA9C793409C9}"/>
    <cellStyle name="Normal 5 5 2 5 6" xfId="28079" xr:uid="{BD52067A-13A6-4FFC-A0DC-5DCB91784838}"/>
    <cellStyle name="Normal 5 5 2 6" xfId="2183" xr:uid="{00000000-0005-0000-0000-00006E1B0000}"/>
    <cellStyle name="Normal 5 5 2 6 2" xfId="4412" xr:uid="{00000000-0005-0000-0000-00006F1B0000}"/>
    <cellStyle name="Normal 5 5 2 6 2 2" xfId="8634" xr:uid="{00000000-0005-0000-0000-0000701B0000}"/>
    <cellStyle name="Normal 5 5 2 6 2 2 2" xfId="26407" xr:uid="{ED42A9F0-1072-462D-AB7B-F5D32213747C}"/>
    <cellStyle name="Normal 5 5 2 6 2 2 2 2" xfId="43301" xr:uid="{E5EF5EFC-C75D-4C2F-8D5A-3DFD8E84AC15}"/>
    <cellStyle name="Normal 5 5 2 6 2 2 3" xfId="17960" xr:uid="{1A534DCB-26E3-4E31-B3C3-F87EC3FDE119}"/>
    <cellStyle name="Normal 5 5 2 6 2 2 4" xfId="34854" xr:uid="{C96C362C-0A28-470E-968E-56B2EFE6610B}"/>
    <cellStyle name="Normal 5 5 2 6 2 3" xfId="22190" xr:uid="{62DF9DB3-90BD-4E7B-9141-2224E883AAFF}"/>
    <cellStyle name="Normal 5 5 2 6 2 3 2" xfId="39084" xr:uid="{38A68E56-5D62-4AE7-82A1-BE9C2C3464D9}"/>
    <cellStyle name="Normal 5 5 2 6 2 4" xfId="13743" xr:uid="{749F3F8E-3C39-4F7F-A49A-93F9AAE229D3}"/>
    <cellStyle name="Normal 5 5 2 6 2 5" xfId="30637" xr:uid="{98802C4C-A72C-4C56-9F64-8A0CE49F4A19}"/>
    <cellStyle name="Normal 5 5 2 6 3" xfId="6489" xr:uid="{00000000-0005-0000-0000-0000711B0000}"/>
    <cellStyle name="Normal 5 5 2 6 3 2" xfId="24262" xr:uid="{DBAAD2B7-C37E-486D-863D-60B59EBFBD2E}"/>
    <cellStyle name="Normal 5 5 2 6 3 2 2" xfId="41156" xr:uid="{2B8B388F-064A-44B6-8A39-2B98A72487D8}"/>
    <cellStyle name="Normal 5 5 2 6 3 3" xfId="15815" xr:uid="{67AA5EE7-2351-439B-A822-E4336C5ADBB4}"/>
    <cellStyle name="Normal 5 5 2 6 3 4" xfId="32709" xr:uid="{1D76F215-9BCD-4E99-A031-3B3619979112}"/>
    <cellStyle name="Normal 5 5 2 6 4" xfId="20045" xr:uid="{DD5B6F76-186C-4245-AB6D-92795753D13B}"/>
    <cellStyle name="Normal 5 5 2 6 4 2" xfId="36939" xr:uid="{3DCED6D7-367F-4FC2-807D-F71BD7080710}"/>
    <cellStyle name="Normal 5 5 2 6 5" xfId="11598" xr:uid="{BB13B794-80F8-496B-B970-3126A63F85C9}"/>
    <cellStyle name="Normal 5 5 2 6 6" xfId="28492" xr:uid="{6672ED18-597E-4C50-8EFB-1A4BD3CFB4D7}"/>
    <cellStyle name="Normal 5 5 2 7" xfId="2619" xr:uid="{00000000-0005-0000-0000-0000721B0000}"/>
    <cellStyle name="Normal 5 5 2 7 2" xfId="6902" xr:uid="{00000000-0005-0000-0000-0000731B0000}"/>
    <cellStyle name="Normal 5 5 2 7 2 2" xfId="24675" xr:uid="{F0D94021-8604-4418-B027-5FE600F1CF02}"/>
    <cellStyle name="Normal 5 5 2 7 2 2 2" xfId="41569" xr:uid="{9361D98A-4638-4788-9FDC-5156733CB7E3}"/>
    <cellStyle name="Normal 5 5 2 7 2 3" xfId="16228" xr:uid="{617BFA41-23B0-4BC8-98F6-772387DD1075}"/>
    <cellStyle name="Normal 5 5 2 7 2 4" xfId="33122" xr:uid="{85E312A4-FDB5-4CB0-83E5-16026B76572F}"/>
    <cellStyle name="Normal 5 5 2 7 3" xfId="20458" xr:uid="{060144BF-E23B-433C-8B96-7486F25D63F3}"/>
    <cellStyle name="Normal 5 5 2 7 3 2" xfId="37352" xr:uid="{A69FD0FE-535D-40E5-81D0-758A7422C82F}"/>
    <cellStyle name="Normal 5 5 2 7 4" xfId="12011" xr:uid="{126F889A-C42C-4FE3-9921-78673603BDA5}"/>
    <cellStyle name="Normal 5 5 2 7 5" xfId="28905" xr:uid="{78FFC4E7-577F-4A54-B793-F590748D27A8}"/>
    <cellStyle name="Normal 5 5 2 8" xfId="4837" xr:uid="{00000000-0005-0000-0000-0000741B0000}"/>
    <cellStyle name="Normal 5 5 2 8 2" xfId="22610" xr:uid="{67230767-BC88-4870-8488-AA063293CE4F}"/>
    <cellStyle name="Normal 5 5 2 8 2 2" xfId="39504" xr:uid="{F8471215-8D97-4CE6-8110-0AD472E2A940}"/>
    <cellStyle name="Normal 5 5 2 8 3" xfId="14163" xr:uid="{54B3D09D-FBA6-4A5C-ACE0-31B86556FF6A}"/>
    <cellStyle name="Normal 5 5 2 8 4" xfId="31057" xr:uid="{32BB1FC8-C254-422A-B456-B01C7B407374}"/>
    <cellStyle name="Normal 5 5 2 9" xfId="8929" xr:uid="{918246BA-1946-46D4-8BAF-6DC0C4DC8AC3}"/>
    <cellStyle name="Normal 5 5 2 9 2" xfId="18393" xr:uid="{77EAEB53-5E7B-465D-A6BE-93E3A60C9837}"/>
    <cellStyle name="Normal 5 5 2 9 3" xfId="35287" xr:uid="{D1BBF8A2-46B7-4FE7-8AAA-83FC1DB0699F}"/>
    <cellStyle name="Normal 5 5 3" xfId="467" xr:uid="{00000000-0005-0000-0000-0000751B0000}"/>
    <cellStyle name="Normal 5 5 3 10" xfId="26842" xr:uid="{AFFA6203-8783-4EFB-8C88-4E83DFDDE00E}"/>
    <cellStyle name="Normal 5 5 3 2" xfId="941" xr:uid="{00000000-0005-0000-0000-0000761B0000}"/>
    <cellStyle name="Normal 5 5 3 2 2" xfId="3175" xr:uid="{00000000-0005-0000-0000-0000771B0000}"/>
    <cellStyle name="Normal 5 5 3 2 2 2" xfId="7397" xr:uid="{00000000-0005-0000-0000-0000781B0000}"/>
    <cellStyle name="Normal 5 5 3 2 2 2 2" xfId="25170" xr:uid="{3DCE517B-851B-4927-80C8-9CE5CD411D69}"/>
    <cellStyle name="Normal 5 5 3 2 2 2 2 2" xfId="42064" xr:uid="{B9F43917-478F-4F99-A113-189C466B28E7}"/>
    <cellStyle name="Normal 5 5 3 2 2 2 3" xfId="16723" xr:uid="{6E32DB4B-4D2F-4310-93EF-AC4B7CB1F709}"/>
    <cellStyle name="Normal 5 5 3 2 2 2 4" xfId="33617" xr:uid="{D9152871-7A3D-45A7-A22C-E6AAC4BC64B4}"/>
    <cellStyle name="Normal 5 5 3 2 2 3" xfId="20953" xr:uid="{50CEC51E-1BBB-4E91-B205-1EA52FB605FB}"/>
    <cellStyle name="Normal 5 5 3 2 2 3 2" xfId="37847" xr:uid="{32DBB533-D2F3-4FDB-BB71-EF9CCDD5A232}"/>
    <cellStyle name="Normal 5 5 3 2 2 4" xfId="12506" xr:uid="{A8445CE0-D19D-4935-B1CE-BBB4DE26E4DF}"/>
    <cellStyle name="Normal 5 5 3 2 2 5" xfId="29400" xr:uid="{3C38AFCE-2668-4E40-83EE-7AF2018670F8}"/>
    <cellStyle name="Normal 5 5 3 2 3" xfId="5252" xr:uid="{00000000-0005-0000-0000-0000791B0000}"/>
    <cellStyle name="Normal 5 5 3 2 3 2" xfId="23025" xr:uid="{27698847-B287-4BC4-9755-0E5CB7FB35AA}"/>
    <cellStyle name="Normal 5 5 3 2 3 2 2" xfId="39919" xr:uid="{BECD5C78-9678-45D4-8772-19C71013FA12}"/>
    <cellStyle name="Normal 5 5 3 2 3 3" xfId="14578" xr:uid="{53E9DC75-8FBD-470D-8379-78F7798CEBCD}"/>
    <cellStyle name="Normal 5 5 3 2 3 4" xfId="31472" xr:uid="{98519C91-BEED-4953-A73A-593153DDC93C}"/>
    <cellStyle name="Normal 5 5 3 2 4" xfId="9458" xr:uid="{8AD16727-CFBF-4DB5-B58F-04D48E2B564D}"/>
    <cellStyle name="Normal 5 5 3 2 4 2" xfId="18808" xr:uid="{568F7EC4-E164-4EE3-AD54-B34F97310853}"/>
    <cellStyle name="Normal 5 5 3 2 4 3" xfId="35702" xr:uid="{A47674B9-4C8F-4766-9FED-85B147872AE2}"/>
    <cellStyle name="Normal 5 5 3 2 5" xfId="10361" xr:uid="{DB6DC6CC-0D17-4919-9848-376DFD430D28}"/>
    <cellStyle name="Normal 5 5 3 2 6" xfId="27255" xr:uid="{1EA372AD-2A7A-4879-8628-91420AEC7F1E}"/>
    <cellStyle name="Normal 5 5 3 3" xfId="1358" xr:uid="{00000000-0005-0000-0000-00007A1B0000}"/>
    <cellStyle name="Normal 5 5 3 3 2" xfId="3588" xr:uid="{00000000-0005-0000-0000-00007B1B0000}"/>
    <cellStyle name="Normal 5 5 3 3 2 2" xfId="7810" xr:uid="{00000000-0005-0000-0000-00007C1B0000}"/>
    <cellStyle name="Normal 5 5 3 3 2 2 2" xfId="25583" xr:uid="{BB439E24-27AE-4443-BDFE-2888460A6803}"/>
    <cellStyle name="Normal 5 5 3 3 2 2 2 2" xfId="42477" xr:uid="{C94BCC5E-8A79-4633-A828-CC87219AA88D}"/>
    <cellStyle name="Normal 5 5 3 3 2 2 3" xfId="17136" xr:uid="{D56F4A6F-F784-4B1D-A841-5B091AAFEF68}"/>
    <cellStyle name="Normal 5 5 3 3 2 2 4" xfId="34030" xr:uid="{ED902B97-9BFE-4418-BB2A-D2A08A528BC8}"/>
    <cellStyle name="Normal 5 5 3 3 2 3" xfId="21366" xr:uid="{165D4A7D-806A-41BE-9A02-A19859366617}"/>
    <cellStyle name="Normal 5 5 3 3 2 3 2" xfId="38260" xr:uid="{0F09620C-4E3E-46F6-A569-5F5F4E272AB4}"/>
    <cellStyle name="Normal 5 5 3 3 2 4" xfId="12919" xr:uid="{EA6AC0E6-EA51-4C80-9E57-CC0895DC21E7}"/>
    <cellStyle name="Normal 5 5 3 3 2 5" xfId="29813" xr:uid="{21BB6BB1-E426-4A3C-A121-5E07D9E4D5B7}"/>
    <cellStyle name="Normal 5 5 3 3 3" xfId="5665" xr:uid="{00000000-0005-0000-0000-00007D1B0000}"/>
    <cellStyle name="Normal 5 5 3 3 3 2" xfId="23438" xr:uid="{FD47D734-69E2-4A12-AC8C-A9E3E3920A39}"/>
    <cellStyle name="Normal 5 5 3 3 3 2 2" xfId="40332" xr:uid="{72692C70-1515-49FA-A8B9-852A31F803AF}"/>
    <cellStyle name="Normal 5 5 3 3 3 3" xfId="14991" xr:uid="{059C92A6-257C-45F0-834E-16B61F706B19}"/>
    <cellStyle name="Normal 5 5 3 3 3 4" xfId="31885" xr:uid="{E29CD444-F783-4DAA-97BD-AB1229E10802}"/>
    <cellStyle name="Normal 5 5 3 3 4" xfId="19221" xr:uid="{1C46CD2A-844D-45D9-98F2-0E69B039341B}"/>
    <cellStyle name="Normal 5 5 3 3 4 2" xfId="36115" xr:uid="{D7EB9D1A-76F1-416E-B084-5D4808CA9509}"/>
    <cellStyle name="Normal 5 5 3 3 5" xfId="10774" xr:uid="{0D0A41E2-F0D1-498F-B096-DC59B6D21EA7}"/>
    <cellStyle name="Normal 5 5 3 3 6" xfId="27668" xr:uid="{7D18F696-8CC5-4BBF-AA3D-905F50AF36A7}"/>
    <cellStyle name="Normal 5 5 3 4" xfId="1771" xr:uid="{00000000-0005-0000-0000-00007E1B0000}"/>
    <cellStyle name="Normal 5 5 3 4 2" xfId="4001" xr:uid="{00000000-0005-0000-0000-00007F1B0000}"/>
    <cellStyle name="Normal 5 5 3 4 2 2" xfId="8223" xr:uid="{00000000-0005-0000-0000-0000801B0000}"/>
    <cellStyle name="Normal 5 5 3 4 2 2 2" xfId="25996" xr:uid="{7FA344D1-209B-405C-A342-B2976A7B55B0}"/>
    <cellStyle name="Normal 5 5 3 4 2 2 2 2" xfId="42890" xr:uid="{7C0CBDAE-EF65-4D5A-9B51-31140996918D}"/>
    <cellStyle name="Normal 5 5 3 4 2 2 3" xfId="17549" xr:uid="{7F604808-8FEC-4125-8D9C-5AF6F01952E0}"/>
    <cellStyle name="Normal 5 5 3 4 2 2 4" xfId="34443" xr:uid="{2163D039-6177-403D-BBB8-17D2756C941F}"/>
    <cellStyle name="Normal 5 5 3 4 2 3" xfId="21779" xr:uid="{8C5387F2-6BE1-4E47-AF70-CA447A340219}"/>
    <cellStyle name="Normal 5 5 3 4 2 3 2" xfId="38673" xr:uid="{8AB1152D-7F77-4AA0-A294-1B2F25A07EE6}"/>
    <cellStyle name="Normal 5 5 3 4 2 4" xfId="13332" xr:uid="{10277992-AAFF-45D5-B77A-8F1FE8F4C1A2}"/>
    <cellStyle name="Normal 5 5 3 4 2 5" xfId="30226" xr:uid="{986FC110-89DB-4971-8FB0-9833315876AC}"/>
    <cellStyle name="Normal 5 5 3 4 3" xfId="6078" xr:uid="{00000000-0005-0000-0000-0000811B0000}"/>
    <cellStyle name="Normal 5 5 3 4 3 2" xfId="23851" xr:uid="{840EDC74-27DE-43BA-8F7A-841A74FBDF38}"/>
    <cellStyle name="Normal 5 5 3 4 3 2 2" xfId="40745" xr:uid="{9917E5BB-CD59-4781-B9EA-B1A1B46DB09D}"/>
    <cellStyle name="Normal 5 5 3 4 3 3" xfId="15404" xr:uid="{5B5D6ADC-4870-44FA-B802-03357B3EC969}"/>
    <cellStyle name="Normal 5 5 3 4 3 4" xfId="32298" xr:uid="{6917D421-23C9-4072-89E9-3A4F75ECD19E}"/>
    <cellStyle name="Normal 5 5 3 4 4" xfId="19634" xr:uid="{896EFF94-893F-4BFE-B516-1B361CA4B8F3}"/>
    <cellStyle name="Normal 5 5 3 4 4 2" xfId="36528" xr:uid="{EC0F73D3-B7EE-4A63-BE1A-2A374BE8A272}"/>
    <cellStyle name="Normal 5 5 3 4 5" xfId="11187" xr:uid="{912BB443-6DB9-43B4-8850-0BC53B4ECD5E}"/>
    <cellStyle name="Normal 5 5 3 4 6" xfId="28081" xr:uid="{41CE556D-DCEE-426E-91CB-3B41C44B860A}"/>
    <cellStyle name="Normal 5 5 3 5" xfId="2185" xr:uid="{00000000-0005-0000-0000-0000821B0000}"/>
    <cellStyle name="Normal 5 5 3 5 2" xfId="4414" xr:uid="{00000000-0005-0000-0000-0000831B0000}"/>
    <cellStyle name="Normal 5 5 3 5 2 2" xfId="8636" xr:uid="{00000000-0005-0000-0000-0000841B0000}"/>
    <cellStyle name="Normal 5 5 3 5 2 2 2" xfId="26409" xr:uid="{E611129B-3258-415B-A69F-5724E89AFCF8}"/>
    <cellStyle name="Normal 5 5 3 5 2 2 2 2" xfId="43303" xr:uid="{F8BC618E-7769-4C5A-922F-FCF657954B97}"/>
    <cellStyle name="Normal 5 5 3 5 2 2 3" xfId="17962" xr:uid="{CA516A18-2BE2-4273-B393-D511EBE64FB7}"/>
    <cellStyle name="Normal 5 5 3 5 2 2 4" xfId="34856" xr:uid="{2FE75A76-4805-4EE3-89D9-06306D606F5C}"/>
    <cellStyle name="Normal 5 5 3 5 2 3" xfId="22192" xr:uid="{B261D108-3EE7-44AF-95CA-142ADDA8AE87}"/>
    <cellStyle name="Normal 5 5 3 5 2 3 2" xfId="39086" xr:uid="{F45A48DF-4000-4147-A2A4-8C968A1739B0}"/>
    <cellStyle name="Normal 5 5 3 5 2 4" xfId="13745" xr:uid="{5DB9E2AD-BB86-421E-B8D2-A56C7E7F6D33}"/>
    <cellStyle name="Normal 5 5 3 5 2 5" xfId="30639" xr:uid="{95AD86BA-78FE-4E7F-8BD3-86213945B990}"/>
    <cellStyle name="Normal 5 5 3 5 3" xfId="6491" xr:uid="{00000000-0005-0000-0000-0000851B0000}"/>
    <cellStyle name="Normal 5 5 3 5 3 2" xfId="24264" xr:uid="{D4BDEA91-7988-436B-8462-DD97B1C2A410}"/>
    <cellStyle name="Normal 5 5 3 5 3 2 2" xfId="41158" xr:uid="{BF453C22-20C8-41A7-B60E-F11E4419093A}"/>
    <cellStyle name="Normal 5 5 3 5 3 3" xfId="15817" xr:uid="{736AD2D2-9419-4C82-8B62-68181B2AF86A}"/>
    <cellStyle name="Normal 5 5 3 5 3 4" xfId="32711" xr:uid="{01590EA4-1000-48DF-97D3-CF00D49DE9A9}"/>
    <cellStyle name="Normal 5 5 3 5 4" xfId="20047" xr:uid="{BF1F66A3-F22C-4BA2-A804-47068202008D}"/>
    <cellStyle name="Normal 5 5 3 5 4 2" xfId="36941" xr:uid="{D16663EE-EADB-4734-B488-985956186452}"/>
    <cellStyle name="Normal 5 5 3 5 5" xfId="11600" xr:uid="{BBC889C4-5972-4C77-9FD5-AC4F2BDF008D}"/>
    <cellStyle name="Normal 5 5 3 5 6" xfId="28494" xr:uid="{669C601D-5931-4BC9-87FE-019A2E2560D2}"/>
    <cellStyle name="Normal 5 5 3 6" xfId="2621" xr:uid="{00000000-0005-0000-0000-0000861B0000}"/>
    <cellStyle name="Normal 5 5 3 6 2" xfId="6904" xr:uid="{00000000-0005-0000-0000-0000871B0000}"/>
    <cellStyle name="Normal 5 5 3 6 2 2" xfId="24677" xr:uid="{D77CF217-8B3C-4A1C-966F-BE3253052CBB}"/>
    <cellStyle name="Normal 5 5 3 6 2 2 2" xfId="41571" xr:uid="{570F1E99-E6C9-41B2-B8B7-BABAAC833216}"/>
    <cellStyle name="Normal 5 5 3 6 2 3" xfId="16230" xr:uid="{D0AE359A-7437-41C7-A454-002A031BA2A2}"/>
    <cellStyle name="Normal 5 5 3 6 2 4" xfId="33124" xr:uid="{B2278693-1FEF-44B4-8711-5F654533B417}"/>
    <cellStyle name="Normal 5 5 3 6 3" xfId="20460" xr:uid="{E5B27EA2-69A8-4026-8018-BFBCE170A9BC}"/>
    <cellStyle name="Normal 5 5 3 6 3 2" xfId="37354" xr:uid="{9DF5C93D-6598-4DD6-AFB9-A6A9C7E2A9B0}"/>
    <cellStyle name="Normal 5 5 3 6 4" xfId="12013" xr:uid="{D2C51C08-80A4-47B8-BDA7-1A3B34305604}"/>
    <cellStyle name="Normal 5 5 3 6 5" xfId="28907" xr:uid="{4023DACD-46DC-4E51-97CF-D4D39ADBA43A}"/>
    <cellStyle name="Normal 5 5 3 7" xfId="4839" xr:uid="{00000000-0005-0000-0000-0000881B0000}"/>
    <cellStyle name="Normal 5 5 3 7 2" xfId="22612" xr:uid="{19D66882-7E4B-40A5-A09D-4865C4EC92D3}"/>
    <cellStyle name="Normal 5 5 3 7 2 2" xfId="39506" xr:uid="{5DD1A838-1EC3-42A3-8789-A0BF57641C1D}"/>
    <cellStyle name="Normal 5 5 3 7 3" xfId="14165" xr:uid="{33AEA134-C921-4FC3-8DB9-7C3FAED7B464}"/>
    <cellStyle name="Normal 5 5 3 7 4" xfId="31059" xr:uid="{BBD5408F-C6F2-46A9-BDDA-EFBD3A3736AF}"/>
    <cellStyle name="Normal 5 5 3 8" xfId="9033" xr:uid="{08F77EF7-8D03-42D9-B538-FE3582C4B971}"/>
    <cellStyle name="Normal 5 5 3 8 2" xfId="18395" xr:uid="{870A84F6-415D-40F3-9ABE-EB76AD4DED75}"/>
    <cellStyle name="Normal 5 5 3 8 3" xfId="35289" xr:uid="{9B8BB52A-BA8E-4C2A-8747-6F7AECD7C6B6}"/>
    <cellStyle name="Normal 5 5 3 9" xfId="9948" xr:uid="{69E1E66C-83F5-4AB6-A493-75E50A71F07F}"/>
    <cellStyle name="Normal 5 5 4" xfId="938" xr:uid="{00000000-0005-0000-0000-0000891B0000}"/>
    <cellStyle name="Normal 5 5 4 2" xfId="3172" xr:uid="{00000000-0005-0000-0000-00008A1B0000}"/>
    <cellStyle name="Normal 5 5 4 2 2" xfId="7394" xr:uid="{00000000-0005-0000-0000-00008B1B0000}"/>
    <cellStyle name="Normal 5 5 4 2 2 2" xfId="25167" xr:uid="{2A030D75-AC25-42FE-88C0-E0DF4C0DFA98}"/>
    <cellStyle name="Normal 5 5 4 2 2 2 2" xfId="42061" xr:uid="{3F30F89B-763B-465E-A65B-BB2CD9777298}"/>
    <cellStyle name="Normal 5 5 4 2 2 3" xfId="16720" xr:uid="{40DF8D09-33A2-4234-BCC8-CABFEFF52640}"/>
    <cellStyle name="Normal 5 5 4 2 2 4" xfId="33614" xr:uid="{8739AC08-BB0D-4FBE-A058-5FFDEF0029E2}"/>
    <cellStyle name="Normal 5 5 4 2 3" xfId="20950" xr:uid="{E9A60267-5CA5-4B9A-8CFE-F887AF08B815}"/>
    <cellStyle name="Normal 5 5 4 2 3 2" xfId="37844" xr:uid="{169BC5C3-6C8C-4623-9A57-978E95F75677}"/>
    <cellStyle name="Normal 5 5 4 2 4" xfId="12503" xr:uid="{66C882B6-975E-44F5-8F52-AF91FB984761}"/>
    <cellStyle name="Normal 5 5 4 2 5" xfId="29397" xr:uid="{04662642-9148-4F27-B46C-46239987B34C}"/>
    <cellStyle name="Normal 5 5 4 3" xfId="5249" xr:uid="{00000000-0005-0000-0000-00008C1B0000}"/>
    <cellStyle name="Normal 5 5 4 3 2" xfId="23022" xr:uid="{341DF576-489C-419B-A71E-C28F1CCCA431}"/>
    <cellStyle name="Normal 5 5 4 3 2 2" xfId="39916" xr:uid="{79EF063F-38FC-4980-86F0-9E48F9855357}"/>
    <cellStyle name="Normal 5 5 4 3 3" xfId="14575" xr:uid="{D6F15BD5-08EB-4160-AA1E-1E1846647DD7}"/>
    <cellStyle name="Normal 5 5 4 3 4" xfId="31469" xr:uid="{9B05962D-EEA3-4F11-878D-476AD545B1F4}"/>
    <cellStyle name="Normal 5 5 4 4" xfId="9251" xr:uid="{4EAD9E35-D3C9-46BE-AE4D-29A1C6D5A6F7}"/>
    <cellStyle name="Normal 5 5 4 4 2" xfId="18805" xr:uid="{E98309EE-DAA6-4CDF-9A9A-6ED564A09435}"/>
    <cellStyle name="Normal 5 5 4 4 3" xfId="35699" xr:uid="{44B7D498-0E51-4AE5-9BDE-ACFBACEDDFB0}"/>
    <cellStyle name="Normal 5 5 4 5" xfId="10358" xr:uid="{D50D9826-6147-4BAC-9AEA-13E8E5651C9E}"/>
    <cellStyle name="Normal 5 5 4 6" xfId="27252" xr:uid="{AC652356-FE24-4BFE-A5EE-9FBF82C4839D}"/>
    <cellStyle name="Normal 5 5 5" xfId="1355" xr:uid="{00000000-0005-0000-0000-00008D1B0000}"/>
    <cellStyle name="Normal 5 5 5 2" xfId="3585" xr:uid="{00000000-0005-0000-0000-00008E1B0000}"/>
    <cellStyle name="Normal 5 5 5 2 2" xfId="7807" xr:uid="{00000000-0005-0000-0000-00008F1B0000}"/>
    <cellStyle name="Normal 5 5 5 2 2 2" xfId="25580" xr:uid="{13543DBC-BC2D-446A-A110-7C4778DD54C6}"/>
    <cellStyle name="Normal 5 5 5 2 2 2 2" xfId="42474" xr:uid="{092D6E1F-C2B0-4EC2-9209-874FB0BFD83C}"/>
    <cellStyle name="Normal 5 5 5 2 2 3" xfId="17133" xr:uid="{854C1B26-0509-45B5-929C-A1F979816D82}"/>
    <cellStyle name="Normal 5 5 5 2 2 4" xfId="34027" xr:uid="{C598BBD1-B871-4A8C-BF62-3BB046D4CE5A}"/>
    <cellStyle name="Normal 5 5 5 2 3" xfId="21363" xr:uid="{D7994415-8810-421C-89D5-2D076153998F}"/>
    <cellStyle name="Normal 5 5 5 2 3 2" xfId="38257" xr:uid="{81289ED5-086A-40EC-8769-C3F0F82E8FB7}"/>
    <cellStyle name="Normal 5 5 5 2 4" xfId="12916" xr:uid="{6079FF4E-79A1-4DC5-BAE3-73E81D791BB4}"/>
    <cellStyle name="Normal 5 5 5 2 5" xfId="29810" xr:uid="{3634F3F0-7E0B-4E8C-8301-FC7835C0F144}"/>
    <cellStyle name="Normal 5 5 5 3" xfId="5662" xr:uid="{00000000-0005-0000-0000-0000901B0000}"/>
    <cellStyle name="Normal 5 5 5 3 2" xfId="23435" xr:uid="{B57B87AD-92CD-4240-915A-6E4B700F030D}"/>
    <cellStyle name="Normal 5 5 5 3 2 2" xfId="40329" xr:uid="{41BBC92F-0A7B-4F91-A664-D31B45FDC9BD}"/>
    <cellStyle name="Normal 5 5 5 3 3" xfId="14988" xr:uid="{95EC0A57-9988-4A2E-8004-512B5C4BA55B}"/>
    <cellStyle name="Normal 5 5 5 3 4" xfId="31882" xr:uid="{04BD4A79-263E-4286-BF74-D5F061CC12C0}"/>
    <cellStyle name="Normal 5 5 5 4" xfId="19218" xr:uid="{62B8BA04-0784-4970-9619-76885DC6FEDC}"/>
    <cellStyle name="Normal 5 5 5 4 2" xfId="36112" xr:uid="{F60938FD-38DE-4CD9-87D0-926F74FF68A8}"/>
    <cellStyle name="Normal 5 5 5 5" xfId="10771" xr:uid="{5489306A-8ACB-4A75-9683-9B08A65674A8}"/>
    <cellStyle name="Normal 5 5 5 6" xfId="27665" xr:uid="{360925CF-5E06-4A44-A42C-2267B5F31952}"/>
    <cellStyle name="Normal 5 5 6" xfId="1768" xr:uid="{00000000-0005-0000-0000-0000911B0000}"/>
    <cellStyle name="Normal 5 5 6 2" xfId="3998" xr:uid="{00000000-0005-0000-0000-0000921B0000}"/>
    <cellStyle name="Normal 5 5 6 2 2" xfId="8220" xr:uid="{00000000-0005-0000-0000-0000931B0000}"/>
    <cellStyle name="Normal 5 5 6 2 2 2" xfId="25993" xr:uid="{35E29824-2AB9-4CA6-BE6E-51A2CA378BDA}"/>
    <cellStyle name="Normal 5 5 6 2 2 2 2" xfId="42887" xr:uid="{E4AD7E0E-57DF-4EB2-9B95-7C6CF9C796D1}"/>
    <cellStyle name="Normal 5 5 6 2 2 3" xfId="17546" xr:uid="{6C3D91AB-292A-413D-B64C-5F3BE1026CE3}"/>
    <cellStyle name="Normal 5 5 6 2 2 4" xfId="34440" xr:uid="{52406C2E-5910-4B37-B79A-1E87461D2CCE}"/>
    <cellStyle name="Normal 5 5 6 2 3" xfId="21776" xr:uid="{EACC472E-2834-40B4-BC83-7D3C493D784C}"/>
    <cellStyle name="Normal 5 5 6 2 3 2" xfId="38670" xr:uid="{815631BA-4A1E-4CB4-B1F1-3235D16908C1}"/>
    <cellStyle name="Normal 5 5 6 2 4" xfId="13329" xr:uid="{275B5403-B5C3-4A78-84FA-D9B1D4B7BE1E}"/>
    <cellStyle name="Normal 5 5 6 2 5" xfId="30223" xr:uid="{F91AF2E2-30EE-4B50-847D-917938712D1B}"/>
    <cellStyle name="Normal 5 5 6 3" xfId="6075" xr:uid="{00000000-0005-0000-0000-0000941B0000}"/>
    <cellStyle name="Normal 5 5 6 3 2" xfId="23848" xr:uid="{A9E0D794-B779-4E36-9680-C2A7627607E1}"/>
    <cellStyle name="Normal 5 5 6 3 2 2" xfId="40742" xr:uid="{BA2A0C4C-49EF-4F04-9806-77E986CF2E66}"/>
    <cellStyle name="Normal 5 5 6 3 3" xfId="15401" xr:uid="{184C34F3-93E8-43A7-9507-379599F8DE54}"/>
    <cellStyle name="Normal 5 5 6 3 4" xfId="32295" xr:uid="{0AFE3331-6A6D-4DCA-B1A6-2A2FEBF0EACA}"/>
    <cellStyle name="Normal 5 5 6 4" xfId="19631" xr:uid="{EB5BF590-E0A2-49D0-8AED-9512E3361DA0}"/>
    <cellStyle name="Normal 5 5 6 4 2" xfId="36525" xr:uid="{1FAE18EB-39C3-4BD2-9E4F-C22943210605}"/>
    <cellStyle name="Normal 5 5 6 5" xfId="11184" xr:uid="{8ADF0DCF-07C4-461F-BE99-DC48941F2A2F}"/>
    <cellStyle name="Normal 5 5 6 6" xfId="28078" xr:uid="{38D12362-2A1B-4C19-8C5E-AA0AFD5867EF}"/>
    <cellStyle name="Normal 5 5 7" xfId="2182" xr:uid="{00000000-0005-0000-0000-0000951B0000}"/>
    <cellStyle name="Normal 5 5 7 2" xfId="4411" xr:uid="{00000000-0005-0000-0000-0000961B0000}"/>
    <cellStyle name="Normal 5 5 7 2 2" xfId="8633" xr:uid="{00000000-0005-0000-0000-0000971B0000}"/>
    <cellStyle name="Normal 5 5 7 2 2 2" xfId="26406" xr:uid="{6C963ABD-F5C1-43DC-AE6B-2C02258B12B9}"/>
    <cellStyle name="Normal 5 5 7 2 2 2 2" xfId="43300" xr:uid="{2C5BF45D-447C-4D8D-9229-4ADDD3FEC694}"/>
    <cellStyle name="Normal 5 5 7 2 2 3" xfId="17959" xr:uid="{87ADEA3D-D78C-4600-994B-5406CB99D737}"/>
    <cellStyle name="Normal 5 5 7 2 2 4" xfId="34853" xr:uid="{0D6E1445-DC2B-495F-BE37-211FC9CA4D67}"/>
    <cellStyle name="Normal 5 5 7 2 3" xfId="22189" xr:uid="{D41EFFA9-EB06-4DDC-B4C0-C637CA8BD87E}"/>
    <cellStyle name="Normal 5 5 7 2 3 2" xfId="39083" xr:uid="{B3680FF7-A1D5-48C7-8983-FB2B441E922E}"/>
    <cellStyle name="Normal 5 5 7 2 4" xfId="13742" xr:uid="{7528CB67-23A2-440F-9006-1CEDA54846A0}"/>
    <cellStyle name="Normal 5 5 7 2 5" xfId="30636" xr:uid="{2A17D9B4-6B5E-4961-BA46-2E7844D122FA}"/>
    <cellStyle name="Normal 5 5 7 3" xfId="6488" xr:uid="{00000000-0005-0000-0000-0000981B0000}"/>
    <cellStyle name="Normal 5 5 7 3 2" xfId="24261" xr:uid="{D47AE9A9-BB67-4AE7-99C2-9C68BCC600E5}"/>
    <cellStyle name="Normal 5 5 7 3 2 2" xfId="41155" xr:uid="{B0C9C720-578F-4D12-816F-FAA7727821B6}"/>
    <cellStyle name="Normal 5 5 7 3 3" xfId="15814" xr:uid="{63443D8C-0308-4BBC-96BE-6A8DB18F2D95}"/>
    <cellStyle name="Normal 5 5 7 3 4" xfId="32708" xr:uid="{2E03CFD1-92D2-47F6-A6A3-E417809894BA}"/>
    <cellStyle name="Normal 5 5 7 4" xfId="20044" xr:uid="{0C57B5AB-3F8B-4A5B-99FA-8AD407CD5863}"/>
    <cellStyle name="Normal 5 5 7 4 2" xfId="36938" xr:uid="{F6F61B69-38E1-498E-BE0A-FEFD82930230}"/>
    <cellStyle name="Normal 5 5 7 5" xfId="11597" xr:uid="{409BCA13-ADD9-4A79-9721-4FCF4AC4E2C1}"/>
    <cellStyle name="Normal 5 5 7 6" xfId="28491" xr:uid="{FCF8C335-A850-4F42-8D6A-E062ED3D834F}"/>
    <cellStyle name="Normal 5 5 8" xfId="2618" xr:uid="{00000000-0005-0000-0000-0000991B0000}"/>
    <cellStyle name="Normal 5 5 8 2" xfId="6901" xr:uid="{00000000-0005-0000-0000-00009A1B0000}"/>
    <cellStyle name="Normal 5 5 8 2 2" xfId="24674" xr:uid="{C580A8BD-E5B7-4366-9CB6-8651469E97C9}"/>
    <cellStyle name="Normal 5 5 8 2 2 2" xfId="41568" xr:uid="{B1AAC295-D778-4DF8-A2F5-B0E03294361D}"/>
    <cellStyle name="Normal 5 5 8 2 3" xfId="16227" xr:uid="{1DB3F6D9-2AA3-4506-BA06-138A5109A1EC}"/>
    <cellStyle name="Normal 5 5 8 2 4" xfId="33121" xr:uid="{BDD0B34D-7E46-443F-A376-89DFE16A8E35}"/>
    <cellStyle name="Normal 5 5 8 3" xfId="20457" xr:uid="{A177CA65-22BB-4D12-A10F-4ED5CA7ABD25}"/>
    <cellStyle name="Normal 5 5 8 3 2" xfId="37351" xr:uid="{7D0A6F23-4DCE-45E5-8CB6-9AA15C036933}"/>
    <cellStyle name="Normal 5 5 8 4" xfId="12010" xr:uid="{F018E401-F9A9-4037-8828-86F52B4CFF19}"/>
    <cellStyle name="Normal 5 5 8 5" xfId="28904" xr:uid="{6726D5EF-2D7E-4E5E-A3C2-5C3ABF557D74}"/>
    <cellStyle name="Normal 5 5 9" xfId="4836" xr:uid="{00000000-0005-0000-0000-00009B1B0000}"/>
    <cellStyle name="Normal 5 5 9 2" xfId="22609" xr:uid="{63597BDF-872B-4B51-9294-EDCBF33125C2}"/>
    <cellStyle name="Normal 5 5 9 2 2" xfId="39503" xr:uid="{D5D22C36-253B-47D2-8F2D-A012EA0E1E0A}"/>
    <cellStyle name="Normal 5 5 9 3" xfId="14162" xr:uid="{C094941A-2696-4040-A66C-0DAA6BE23E37}"/>
    <cellStyle name="Normal 5 5 9 4" xfId="31056" xr:uid="{80EBEBB7-16FD-4CF4-BCDD-154171ED2C0B}"/>
    <cellStyle name="Normal 5 6" xfId="468" xr:uid="{00000000-0005-0000-0000-00009C1B0000}"/>
    <cellStyle name="Normal 5 6 10" xfId="9949" xr:uid="{502827F3-C344-4D08-AD78-1FE19735321F}"/>
    <cellStyle name="Normal 5 6 11" xfId="26843" xr:uid="{01D80FA2-3913-490B-9604-07C13C8B9F40}"/>
    <cellStyle name="Normal 5 6 2" xfId="469" xr:uid="{00000000-0005-0000-0000-00009D1B0000}"/>
    <cellStyle name="Normal 5 6 2 10" xfId="26844" xr:uid="{50B5FD85-38DB-4AAE-B9DF-5FBD2776A837}"/>
    <cellStyle name="Normal 5 6 2 2" xfId="943" xr:uid="{00000000-0005-0000-0000-00009E1B0000}"/>
    <cellStyle name="Normal 5 6 2 2 2" xfId="3177" xr:uid="{00000000-0005-0000-0000-00009F1B0000}"/>
    <cellStyle name="Normal 5 6 2 2 2 2" xfId="7399" xr:uid="{00000000-0005-0000-0000-0000A01B0000}"/>
    <cellStyle name="Normal 5 6 2 2 2 2 2" xfId="25172" xr:uid="{DAE1B37E-7A34-4435-BC59-352948EA5C13}"/>
    <cellStyle name="Normal 5 6 2 2 2 2 2 2" xfId="42066" xr:uid="{CAA578F9-C825-4136-BE42-8B87AC94BC9D}"/>
    <cellStyle name="Normal 5 6 2 2 2 2 3" xfId="16725" xr:uid="{9D31E23D-B08F-4804-938B-A08056F6D3A0}"/>
    <cellStyle name="Normal 5 6 2 2 2 2 4" xfId="33619" xr:uid="{5CA744F4-1728-42C1-881A-42DA81164F25}"/>
    <cellStyle name="Normal 5 6 2 2 2 3" xfId="20955" xr:uid="{F609EE4A-707B-49B0-9310-7AA4DC1FC976}"/>
    <cellStyle name="Normal 5 6 2 2 2 3 2" xfId="37849" xr:uid="{CE3E9EBC-AF68-474D-B88A-C95F3A4334EC}"/>
    <cellStyle name="Normal 5 6 2 2 2 4" xfId="12508" xr:uid="{39C0EC4E-F64F-4538-BB92-193964D7CEA3}"/>
    <cellStyle name="Normal 5 6 2 2 2 5" xfId="29402" xr:uid="{F3BAA7F3-B053-402F-97BA-BFA52B87CC57}"/>
    <cellStyle name="Normal 5 6 2 2 3" xfId="5254" xr:uid="{00000000-0005-0000-0000-0000A11B0000}"/>
    <cellStyle name="Normal 5 6 2 2 3 2" xfId="23027" xr:uid="{3F0B75EA-EFB8-4A67-B979-DB53C52D3F42}"/>
    <cellStyle name="Normal 5 6 2 2 3 2 2" xfId="39921" xr:uid="{11EF727C-4D99-4BC8-97AC-3F7D0F84DD45}"/>
    <cellStyle name="Normal 5 6 2 2 3 3" xfId="14580" xr:uid="{EF7207DE-A7E2-4A40-BFDE-14ED7EE26EB2}"/>
    <cellStyle name="Normal 5 6 2 2 3 4" xfId="31474" xr:uid="{0E8C6EDE-079D-4D4B-9721-FE17505AF108}"/>
    <cellStyle name="Normal 5 6 2 2 4" xfId="9476" xr:uid="{3B3E6CA1-4D97-4B11-99D5-4F82314AA0E0}"/>
    <cellStyle name="Normal 5 6 2 2 4 2" xfId="18810" xr:uid="{68BCA65B-0B11-4256-AD07-670CA4742A8A}"/>
    <cellStyle name="Normal 5 6 2 2 4 3" xfId="35704" xr:uid="{A0A377ED-0768-464A-BFA6-7E7652635D68}"/>
    <cellStyle name="Normal 5 6 2 2 5" xfId="10363" xr:uid="{6E44E45F-F7CD-4D32-99DC-5B7D516BB969}"/>
    <cellStyle name="Normal 5 6 2 2 6" xfId="27257" xr:uid="{0354E7A0-91F5-4E02-9AD6-10863B633317}"/>
    <cellStyle name="Normal 5 6 2 3" xfId="1360" xr:uid="{00000000-0005-0000-0000-0000A21B0000}"/>
    <cellStyle name="Normal 5 6 2 3 2" xfId="3590" xr:uid="{00000000-0005-0000-0000-0000A31B0000}"/>
    <cellStyle name="Normal 5 6 2 3 2 2" xfId="7812" xr:uid="{00000000-0005-0000-0000-0000A41B0000}"/>
    <cellStyle name="Normal 5 6 2 3 2 2 2" xfId="25585" xr:uid="{E0887132-415B-44F2-8B2B-ABBCE14BBB22}"/>
    <cellStyle name="Normal 5 6 2 3 2 2 2 2" xfId="42479" xr:uid="{C38267FC-5038-4E41-A8D9-C20FB80C23F5}"/>
    <cellStyle name="Normal 5 6 2 3 2 2 3" xfId="17138" xr:uid="{4A21B16D-096A-4A9E-8134-D43D06C23BF0}"/>
    <cellStyle name="Normal 5 6 2 3 2 2 4" xfId="34032" xr:uid="{3465FFB1-3A40-4433-A46D-714C0C63B9ED}"/>
    <cellStyle name="Normal 5 6 2 3 2 3" xfId="21368" xr:uid="{911C213C-DFF8-4A8D-B976-96F508707AF4}"/>
    <cellStyle name="Normal 5 6 2 3 2 3 2" xfId="38262" xr:uid="{40595288-855A-4279-B46E-8AAE9FB150B9}"/>
    <cellStyle name="Normal 5 6 2 3 2 4" xfId="12921" xr:uid="{6213E818-8AE0-4424-8991-CEC02E8D0CE8}"/>
    <cellStyle name="Normal 5 6 2 3 2 5" xfId="29815" xr:uid="{B069FEF0-C235-4553-8FB6-DE3600A5DD2F}"/>
    <cellStyle name="Normal 5 6 2 3 3" xfId="5667" xr:uid="{00000000-0005-0000-0000-0000A51B0000}"/>
    <cellStyle name="Normal 5 6 2 3 3 2" xfId="23440" xr:uid="{B4A2C44A-7420-4B9B-8C25-F07B6B1ADA0B}"/>
    <cellStyle name="Normal 5 6 2 3 3 2 2" xfId="40334" xr:uid="{5F836692-DADC-48CA-8F66-843F3D575F63}"/>
    <cellStyle name="Normal 5 6 2 3 3 3" xfId="14993" xr:uid="{E35659EA-CA70-4945-AAA1-4506B0B24EBA}"/>
    <cellStyle name="Normal 5 6 2 3 3 4" xfId="31887" xr:uid="{58BE8EFE-F086-4CF0-ADF4-511DFF1D45C0}"/>
    <cellStyle name="Normal 5 6 2 3 4" xfId="19223" xr:uid="{87301881-C804-49CD-8C0B-659CCF3A11C7}"/>
    <cellStyle name="Normal 5 6 2 3 4 2" xfId="36117" xr:uid="{B3B789A8-058C-4F00-8E5B-BBF2003FF127}"/>
    <cellStyle name="Normal 5 6 2 3 5" xfId="10776" xr:uid="{8232491B-68E5-43FB-83AC-F7D2718D4AD6}"/>
    <cellStyle name="Normal 5 6 2 3 6" xfId="27670" xr:uid="{DFC42639-E15E-4091-B6A1-80BCCDE6696E}"/>
    <cellStyle name="Normal 5 6 2 4" xfId="1773" xr:uid="{00000000-0005-0000-0000-0000A61B0000}"/>
    <cellStyle name="Normal 5 6 2 4 2" xfId="4003" xr:uid="{00000000-0005-0000-0000-0000A71B0000}"/>
    <cellStyle name="Normal 5 6 2 4 2 2" xfId="8225" xr:uid="{00000000-0005-0000-0000-0000A81B0000}"/>
    <cellStyle name="Normal 5 6 2 4 2 2 2" xfId="25998" xr:uid="{7273E0E5-127B-4299-BAAD-63908413327E}"/>
    <cellStyle name="Normal 5 6 2 4 2 2 2 2" xfId="42892" xr:uid="{54300A4F-CAF5-4147-8E61-AEF87FBE0B74}"/>
    <cellStyle name="Normal 5 6 2 4 2 2 3" xfId="17551" xr:uid="{9767F8FC-9384-4943-8857-06CF645214E4}"/>
    <cellStyle name="Normal 5 6 2 4 2 2 4" xfId="34445" xr:uid="{C01EBF01-3C9D-4A8F-8BE7-6FB9A0F15D2B}"/>
    <cellStyle name="Normal 5 6 2 4 2 3" xfId="21781" xr:uid="{086C26C7-299B-443E-9BC6-52E4125ED017}"/>
    <cellStyle name="Normal 5 6 2 4 2 3 2" xfId="38675" xr:uid="{3ACD3E83-A103-440E-BC06-DF5978DF3982}"/>
    <cellStyle name="Normal 5 6 2 4 2 4" xfId="13334" xr:uid="{92AE0BFA-7357-4757-B725-27FCFAAF156B}"/>
    <cellStyle name="Normal 5 6 2 4 2 5" xfId="30228" xr:uid="{FAAA58FF-5E48-4351-BEE1-1686C1DC7056}"/>
    <cellStyle name="Normal 5 6 2 4 3" xfId="6080" xr:uid="{00000000-0005-0000-0000-0000A91B0000}"/>
    <cellStyle name="Normal 5 6 2 4 3 2" xfId="23853" xr:uid="{6654F76F-CCC7-4CB5-A027-0ACD08C5FEAF}"/>
    <cellStyle name="Normal 5 6 2 4 3 2 2" xfId="40747" xr:uid="{2F2EB2E4-EBF9-4005-B598-28F85D0DF8ED}"/>
    <cellStyle name="Normal 5 6 2 4 3 3" xfId="15406" xr:uid="{411E1C57-61C4-4030-A5CD-9D0CC69FE8E0}"/>
    <cellStyle name="Normal 5 6 2 4 3 4" xfId="32300" xr:uid="{6C076936-1008-41FD-BC39-330456B41835}"/>
    <cellStyle name="Normal 5 6 2 4 4" xfId="19636" xr:uid="{61D52BD4-BBA2-466A-A1D1-57DC00177CB8}"/>
    <cellStyle name="Normal 5 6 2 4 4 2" xfId="36530" xr:uid="{4AA1D643-1BAB-44F8-8FFF-B5A01964B88A}"/>
    <cellStyle name="Normal 5 6 2 4 5" xfId="11189" xr:uid="{44B6B17C-5AF5-4C26-B720-B80136A64F35}"/>
    <cellStyle name="Normal 5 6 2 4 6" xfId="28083" xr:uid="{D13F65D5-224F-4211-A754-5C350104CB84}"/>
    <cellStyle name="Normal 5 6 2 5" xfId="2187" xr:uid="{00000000-0005-0000-0000-0000AA1B0000}"/>
    <cellStyle name="Normal 5 6 2 5 2" xfId="4416" xr:uid="{00000000-0005-0000-0000-0000AB1B0000}"/>
    <cellStyle name="Normal 5 6 2 5 2 2" xfId="8638" xr:uid="{00000000-0005-0000-0000-0000AC1B0000}"/>
    <cellStyle name="Normal 5 6 2 5 2 2 2" xfId="26411" xr:uid="{0A7F5E18-6957-4A8A-B702-9144808CE2FF}"/>
    <cellStyle name="Normal 5 6 2 5 2 2 2 2" xfId="43305" xr:uid="{FD40444A-3E75-4A27-A54B-3EA76AF4BF5D}"/>
    <cellStyle name="Normal 5 6 2 5 2 2 3" xfId="17964" xr:uid="{9ACEA847-B64E-42E9-8690-B4FBA2BC16BC}"/>
    <cellStyle name="Normal 5 6 2 5 2 2 4" xfId="34858" xr:uid="{BCDC3D8D-C9DB-4CE0-92F5-1ED00AA4A21C}"/>
    <cellStyle name="Normal 5 6 2 5 2 3" xfId="22194" xr:uid="{A3D5EFE4-08B1-4E48-B1C2-BE3A2DBA4A3A}"/>
    <cellStyle name="Normal 5 6 2 5 2 3 2" xfId="39088" xr:uid="{C0EE18C0-43CE-4B52-89B0-671559DA1631}"/>
    <cellStyle name="Normal 5 6 2 5 2 4" xfId="13747" xr:uid="{09D55727-FCA7-4291-A808-56948D26477B}"/>
    <cellStyle name="Normal 5 6 2 5 2 5" xfId="30641" xr:uid="{FC939FF4-F7B1-4A55-A96A-47E35E882D05}"/>
    <cellStyle name="Normal 5 6 2 5 3" xfId="6493" xr:uid="{00000000-0005-0000-0000-0000AD1B0000}"/>
    <cellStyle name="Normal 5 6 2 5 3 2" xfId="24266" xr:uid="{C43A8D4D-6243-4845-A0ED-43810C7A5F61}"/>
    <cellStyle name="Normal 5 6 2 5 3 2 2" xfId="41160" xr:uid="{C1C6F5B6-A248-438D-8E71-0A226898FD56}"/>
    <cellStyle name="Normal 5 6 2 5 3 3" xfId="15819" xr:uid="{1C2CC44A-F062-4EB3-8B22-4CA1417BC64F}"/>
    <cellStyle name="Normal 5 6 2 5 3 4" xfId="32713" xr:uid="{33752E90-CED3-4DDA-B23D-6976689DA0D0}"/>
    <cellStyle name="Normal 5 6 2 5 4" xfId="20049" xr:uid="{E6369CCD-F4BE-4CEE-94B0-760B3C75F112}"/>
    <cellStyle name="Normal 5 6 2 5 4 2" xfId="36943" xr:uid="{07FB445A-99CC-480C-9C76-9571D658480D}"/>
    <cellStyle name="Normal 5 6 2 5 5" xfId="11602" xr:uid="{436B7EF0-624B-49D8-B2CD-3C940DF120B7}"/>
    <cellStyle name="Normal 5 6 2 5 6" xfId="28496" xr:uid="{AEE710C9-8AF0-4EE3-9C7F-3462D2F9D35C}"/>
    <cellStyle name="Normal 5 6 2 6" xfId="2623" xr:uid="{00000000-0005-0000-0000-0000AE1B0000}"/>
    <cellStyle name="Normal 5 6 2 6 2" xfId="6906" xr:uid="{00000000-0005-0000-0000-0000AF1B0000}"/>
    <cellStyle name="Normal 5 6 2 6 2 2" xfId="24679" xr:uid="{463E1712-B333-404E-88F8-2AEE7EEA8BDC}"/>
    <cellStyle name="Normal 5 6 2 6 2 2 2" xfId="41573" xr:uid="{269DDEFE-8670-405D-8632-43B5972BA2A9}"/>
    <cellStyle name="Normal 5 6 2 6 2 3" xfId="16232" xr:uid="{7E892A21-268C-4D90-A775-DE239E550CE9}"/>
    <cellStyle name="Normal 5 6 2 6 2 4" xfId="33126" xr:uid="{4649438F-DA64-4A73-AE09-B6156D6A0C5E}"/>
    <cellStyle name="Normal 5 6 2 6 3" xfId="20462" xr:uid="{E0E231EF-1589-4CBD-9BCF-8C00AB8C9138}"/>
    <cellStyle name="Normal 5 6 2 6 3 2" xfId="37356" xr:uid="{A890BE7B-0AA0-4B77-A5B9-8BA1A99BE23C}"/>
    <cellStyle name="Normal 5 6 2 6 4" xfId="12015" xr:uid="{2D9CD26A-5E02-4944-BFB4-984A390B9636}"/>
    <cellStyle name="Normal 5 6 2 6 5" xfId="28909" xr:uid="{5BC56FFC-B21A-4DD5-B66F-00E3868D3FEB}"/>
    <cellStyle name="Normal 5 6 2 7" xfId="4841" xr:uid="{00000000-0005-0000-0000-0000B01B0000}"/>
    <cellStyle name="Normal 5 6 2 7 2" xfId="22614" xr:uid="{D3C3BC2C-D087-4642-A158-38D3E3AFDE54}"/>
    <cellStyle name="Normal 5 6 2 7 2 2" xfId="39508" xr:uid="{8853DAB9-1AA4-40C9-82F3-1869F163E123}"/>
    <cellStyle name="Normal 5 6 2 7 3" xfId="14167" xr:uid="{551694D4-87D4-4425-A9DA-605C94344AE2}"/>
    <cellStyle name="Normal 5 6 2 7 4" xfId="31061" xr:uid="{58058DE9-AB74-4B94-B039-19E4564BD3AD}"/>
    <cellStyle name="Normal 5 6 2 8" xfId="9051" xr:uid="{97C72229-9AC1-4DA9-8A0B-8B4B6D970DE8}"/>
    <cellStyle name="Normal 5 6 2 8 2" xfId="18397" xr:uid="{322B7978-E52C-43AF-BC93-222748A286A4}"/>
    <cellStyle name="Normal 5 6 2 8 3" xfId="35291" xr:uid="{E5DFD1E8-D59F-4EAD-9B66-A256383DC905}"/>
    <cellStyle name="Normal 5 6 2 9" xfId="9950" xr:uid="{974E9E81-8600-4467-8080-D3378B100023}"/>
    <cellStyle name="Normal 5 6 3" xfId="942" xr:uid="{00000000-0005-0000-0000-0000B11B0000}"/>
    <cellStyle name="Normal 5 6 3 2" xfId="3176" xr:uid="{00000000-0005-0000-0000-0000B21B0000}"/>
    <cellStyle name="Normal 5 6 3 2 2" xfId="7398" xr:uid="{00000000-0005-0000-0000-0000B31B0000}"/>
    <cellStyle name="Normal 5 6 3 2 2 2" xfId="25171" xr:uid="{456B39B3-8209-4DFE-B062-7CDC67FACBAA}"/>
    <cellStyle name="Normal 5 6 3 2 2 2 2" xfId="42065" xr:uid="{FF051516-8943-4AB9-B0C1-31F0874F6775}"/>
    <cellStyle name="Normal 5 6 3 2 2 3" xfId="16724" xr:uid="{353C52B3-B19A-41E6-B9C0-30155167CDAE}"/>
    <cellStyle name="Normal 5 6 3 2 2 4" xfId="33618" xr:uid="{5648CD12-99F6-4429-BA76-48D9EF01DB97}"/>
    <cellStyle name="Normal 5 6 3 2 3" xfId="20954" xr:uid="{5C7FBA70-3616-440A-BFA9-990ED1A0721C}"/>
    <cellStyle name="Normal 5 6 3 2 3 2" xfId="37848" xr:uid="{F896D4D7-8BD3-4D89-A5D0-17B0FFED7B93}"/>
    <cellStyle name="Normal 5 6 3 2 4" xfId="12507" xr:uid="{5D1E63AA-CAEF-487D-A8E6-6656AFBC1A63}"/>
    <cellStyle name="Normal 5 6 3 2 5" xfId="29401" xr:uid="{BD17AA4F-5488-4F34-9C9C-FD5B32154584}"/>
    <cellStyle name="Normal 5 6 3 3" xfId="5253" xr:uid="{00000000-0005-0000-0000-0000B41B0000}"/>
    <cellStyle name="Normal 5 6 3 3 2" xfId="23026" xr:uid="{489B0AAE-63CD-49DD-99AD-198DC05C5120}"/>
    <cellStyle name="Normal 5 6 3 3 2 2" xfId="39920" xr:uid="{45DA0F98-E283-4CBD-964F-7C48E3CC6F65}"/>
    <cellStyle name="Normal 5 6 3 3 3" xfId="14579" xr:uid="{58F3B703-A842-4C43-A635-BCCCA85655E6}"/>
    <cellStyle name="Normal 5 6 3 3 4" xfId="31473" xr:uid="{A6F6E877-A561-4328-9700-4FB558A6188E}"/>
    <cellStyle name="Normal 5 6 3 4" xfId="9269" xr:uid="{7D6728A0-C210-4F3F-8114-143B9AE0BFB4}"/>
    <cellStyle name="Normal 5 6 3 4 2" xfId="18809" xr:uid="{72E7A819-B944-4A3C-A8C8-46569FA22CD6}"/>
    <cellStyle name="Normal 5 6 3 4 3" xfId="35703" xr:uid="{769C167E-9DDD-4A10-AF5A-05D19B8B63F2}"/>
    <cellStyle name="Normal 5 6 3 5" xfId="10362" xr:uid="{C225A6B1-6D16-4B6C-BB74-12D5F6B53A6C}"/>
    <cellStyle name="Normal 5 6 3 6" xfId="27256" xr:uid="{B9958BD9-86CB-4826-9235-5789AD0EB7AF}"/>
    <cellStyle name="Normal 5 6 4" xfId="1359" xr:uid="{00000000-0005-0000-0000-0000B51B0000}"/>
    <cellStyle name="Normal 5 6 4 2" xfId="3589" xr:uid="{00000000-0005-0000-0000-0000B61B0000}"/>
    <cellStyle name="Normal 5 6 4 2 2" xfId="7811" xr:uid="{00000000-0005-0000-0000-0000B71B0000}"/>
    <cellStyle name="Normal 5 6 4 2 2 2" xfId="25584" xr:uid="{585B8FB6-5ED5-47E8-B93A-45B2F6437356}"/>
    <cellStyle name="Normal 5 6 4 2 2 2 2" xfId="42478" xr:uid="{BDF6C9DE-754B-4FDF-A651-92C5AEE52A97}"/>
    <cellStyle name="Normal 5 6 4 2 2 3" xfId="17137" xr:uid="{324D378E-4F0B-4C5D-9BA6-81ACF83C08D2}"/>
    <cellStyle name="Normal 5 6 4 2 2 4" xfId="34031" xr:uid="{671C64B0-4EBF-496D-AE13-BB7F5ACFFA98}"/>
    <cellStyle name="Normal 5 6 4 2 3" xfId="21367" xr:uid="{B0C37FB5-FA1E-4E2B-B38B-0E7FAADC1E7D}"/>
    <cellStyle name="Normal 5 6 4 2 3 2" xfId="38261" xr:uid="{2E3C497E-71F3-4EDF-88D9-886342C6F18D}"/>
    <cellStyle name="Normal 5 6 4 2 4" xfId="12920" xr:uid="{75A1E532-61E3-4D48-AA3E-8F37D15A157B}"/>
    <cellStyle name="Normal 5 6 4 2 5" xfId="29814" xr:uid="{B69051FE-79AF-45FC-A235-9B155E6586E7}"/>
    <cellStyle name="Normal 5 6 4 3" xfId="5666" xr:uid="{00000000-0005-0000-0000-0000B81B0000}"/>
    <cellStyle name="Normal 5 6 4 3 2" xfId="23439" xr:uid="{15ED8C5E-7C15-49E0-9A7E-F7309D4DB014}"/>
    <cellStyle name="Normal 5 6 4 3 2 2" xfId="40333" xr:uid="{4669C92C-229F-4CE2-AF7F-82346B29F43B}"/>
    <cellStyle name="Normal 5 6 4 3 3" xfId="14992" xr:uid="{E3F5FF2B-6246-4808-8AA2-0F11C66E8DEA}"/>
    <cellStyle name="Normal 5 6 4 3 4" xfId="31886" xr:uid="{169206F4-886B-40AF-949C-99E4BD3C50E1}"/>
    <cellStyle name="Normal 5 6 4 4" xfId="19222" xr:uid="{A2BC3113-1142-4C48-B9FB-7E7DF7575512}"/>
    <cellStyle name="Normal 5 6 4 4 2" xfId="36116" xr:uid="{C76B4C94-16CC-4284-83DB-FD4A0252CBD2}"/>
    <cellStyle name="Normal 5 6 4 5" xfId="10775" xr:uid="{0326DE76-5048-42B6-B652-A926D3D6F15E}"/>
    <cellStyle name="Normal 5 6 4 6" xfId="27669" xr:uid="{6837410C-BD72-456C-A51B-8E13048067DD}"/>
    <cellStyle name="Normal 5 6 5" xfId="1772" xr:uid="{00000000-0005-0000-0000-0000B91B0000}"/>
    <cellStyle name="Normal 5 6 5 2" xfId="4002" xr:uid="{00000000-0005-0000-0000-0000BA1B0000}"/>
    <cellStyle name="Normal 5 6 5 2 2" xfId="8224" xr:uid="{00000000-0005-0000-0000-0000BB1B0000}"/>
    <cellStyle name="Normal 5 6 5 2 2 2" xfId="25997" xr:uid="{A699DF41-183D-4FF1-AD1E-0C86D923E957}"/>
    <cellStyle name="Normal 5 6 5 2 2 2 2" xfId="42891" xr:uid="{AD117B3B-93E4-4A3D-BC48-32D4DDDD8BEA}"/>
    <cellStyle name="Normal 5 6 5 2 2 3" xfId="17550" xr:uid="{E94BC9D9-5F7C-4F7F-9B82-0754EDA580DE}"/>
    <cellStyle name="Normal 5 6 5 2 2 4" xfId="34444" xr:uid="{C656D093-B26A-4310-BACC-65FE268223F0}"/>
    <cellStyle name="Normal 5 6 5 2 3" xfId="21780" xr:uid="{2EEE5E09-43B3-4BA4-B666-691D1A11B878}"/>
    <cellStyle name="Normal 5 6 5 2 3 2" xfId="38674" xr:uid="{F2EA9627-3AE0-4CD5-8111-D32DB81BBB3F}"/>
    <cellStyle name="Normal 5 6 5 2 4" xfId="13333" xr:uid="{934BA094-84BB-40CE-9E98-1DB416FBF832}"/>
    <cellStyle name="Normal 5 6 5 2 5" xfId="30227" xr:uid="{56C20797-3222-43B2-BD1B-EB9B19D03881}"/>
    <cellStyle name="Normal 5 6 5 3" xfId="6079" xr:uid="{00000000-0005-0000-0000-0000BC1B0000}"/>
    <cellStyle name="Normal 5 6 5 3 2" xfId="23852" xr:uid="{269DE152-8FA2-432E-A297-B8EE6A9EE5BF}"/>
    <cellStyle name="Normal 5 6 5 3 2 2" xfId="40746" xr:uid="{B5EE4CF6-8DDF-4F17-B2B8-AB4F29B6C5E4}"/>
    <cellStyle name="Normal 5 6 5 3 3" xfId="15405" xr:uid="{94426CB6-6388-44D2-8073-5B8ADB002DCB}"/>
    <cellStyle name="Normal 5 6 5 3 4" xfId="32299" xr:uid="{DBAD6E0F-A4BE-4F0C-ACCD-2EC94EDD4308}"/>
    <cellStyle name="Normal 5 6 5 4" xfId="19635" xr:uid="{9B704B9F-6441-40A0-82AB-A655C8AC0151}"/>
    <cellStyle name="Normal 5 6 5 4 2" xfId="36529" xr:uid="{6C78E60C-925A-4CDE-AAFD-F533E7A80D44}"/>
    <cellStyle name="Normal 5 6 5 5" xfId="11188" xr:uid="{6344CB52-8870-4A52-9303-EE7A05EF82E0}"/>
    <cellStyle name="Normal 5 6 5 6" xfId="28082" xr:uid="{BFEC0499-8343-4DA2-BF07-30E77F9C5C13}"/>
    <cellStyle name="Normal 5 6 6" xfId="2186" xr:uid="{00000000-0005-0000-0000-0000BD1B0000}"/>
    <cellStyle name="Normal 5 6 6 2" xfId="4415" xr:uid="{00000000-0005-0000-0000-0000BE1B0000}"/>
    <cellStyle name="Normal 5 6 6 2 2" xfId="8637" xr:uid="{00000000-0005-0000-0000-0000BF1B0000}"/>
    <cellStyle name="Normal 5 6 6 2 2 2" xfId="26410" xr:uid="{68387790-8BF1-4EDC-92B8-AC94DE8DF434}"/>
    <cellStyle name="Normal 5 6 6 2 2 2 2" xfId="43304" xr:uid="{BFB3A722-9A31-461C-9FC0-83389798AAC6}"/>
    <cellStyle name="Normal 5 6 6 2 2 3" xfId="17963" xr:uid="{8D3808AF-8F34-494F-B1E7-E8112909882C}"/>
    <cellStyle name="Normal 5 6 6 2 2 4" xfId="34857" xr:uid="{4CC64D31-4BDF-48F6-829C-A06DFE3AF68B}"/>
    <cellStyle name="Normal 5 6 6 2 3" xfId="22193" xr:uid="{3B406969-A2A6-42D7-BF8F-0AB051584609}"/>
    <cellStyle name="Normal 5 6 6 2 3 2" xfId="39087" xr:uid="{07EFC8DB-AAF1-4CB0-8C29-6702AC56DD74}"/>
    <cellStyle name="Normal 5 6 6 2 4" xfId="13746" xr:uid="{78BEFA4F-65DE-47DE-B56D-3A82B693F63D}"/>
    <cellStyle name="Normal 5 6 6 2 5" xfId="30640" xr:uid="{CFBEF2F3-7447-4205-B86B-75F368C7CCE6}"/>
    <cellStyle name="Normal 5 6 6 3" xfId="6492" xr:uid="{00000000-0005-0000-0000-0000C01B0000}"/>
    <cellStyle name="Normal 5 6 6 3 2" xfId="24265" xr:uid="{168BAE53-084E-4FBD-AEA5-6A94445B022D}"/>
    <cellStyle name="Normal 5 6 6 3 2 2" xfId="41159" xr:uid="{6DB40270-5F04-4230-AA4D-43EB56E88852}"/>
    <cellStyle name="Normal 5 6 6 3 3" xfId="15818" xr:uid="{D8A8D8EA-5580-4AF4-B5F2-7D309062CABF}"/>
    <cellStyle name="Normal 5 6 6 3 4" xfId="32712" xr:uid="{266A2DE9-006E-43CC-9E15-CBC68CCB7681}"/>
    <cellStyle name="Normal 5 6 6 4" xfId="20048" xr:uid="{6C562741-D7CD-46D1-872E-1C2FFB2DF03C}"/>
    <cellStyle name="Normal 5 6 6 4 2" xfId="36942" xr:uid="{68424CD2-59F1-4ECD-9B4D-104BE967858C}"/>
    <cellStyle name="Normal 5 6 6 5" xfId="11601" xr:uid="{64D24882-655C-47A9-90C3-3A5697330F99}"/>
    <cellStyle name="Normal 5 6 6 6" xfId="28495" xr:uid="{B6F8B3AA-B979-4D38-A978-B01648C434E4}"/>
    <cellStyle name="Normal 5 6 7" xfId="2622" xr:uid="{00000000-0005-0000-0000-0000C11B0000}"/>
    <cellStyle name="Normal 5 6 7 2" xfId="6905" xr:uid="{00000000-0005-0000-0000-0000C21B0000}"/>
    <cellStyle name="Normal 5 6 7 2 2" xfId="24678" xr:uid="{42F054EA-0DD7-48D5-8C9A-11FFFECF9D48}"/>
    <cellStyle name="Normal 5 6 7 2 2 2" xfId="41572" xr:uid="{679A6C7E-CB78-4658-9282-25F85E1FFB00}"/>
    <cellStyle name="Normal 5 6 7 2 3" xfId="16231" xr:uid="{D3F1A395-8AEC-4EC9-9421-EDDC9AF4525D}"/>
    <cellStyle name="Normal 5 6 7 2 4" xfId="33125" xr:uid="{BF1B9D06-36FF-4880-950E-EF0D2388CB73}"/>
    <cellStyle name="Normal 5 6 7 3" xfId="20461" xr:uid="{9D367E82-6670-4F11-8705-38DC7EEA8178}"/>
    <cellStyle name="Normal 5 6 7 3 2" xfId="37355" xr:uid="{AFAE26AC-6EA1-4623-8023-73294F635DE2}"/>
    <cellStyle name="Normal 5 6 7 4" xfId="12014" xr:uid="{C4CAF79E-804E-49D3-85E2-72CA794238AD}"/>
    <cellStyle name="Normal 5 6 7 5" xfId="28908" xr:uid="{B2167EB2-A455-464A-8C53-0E0E94C3FB58}"/>
    <cellStyle name="Normal 5 6 8" xfId="4840" xr:uid="{00000000-0005-0000-0000-0000C31B0000}"/>
    <cellStyle name="Normal 5 6 8 2" xfId="22613" xr:uid="{F6C9378A-0CB7-49A3-8069-EAD48919CB81}"/>
    <cellStyle name="Normal 5 6 8 2 2" xfId="39507" xr:uid="{50269670-791A-4ED4-971F-ABF4876316A3}"/>
    <cellStyle name="Normal 5 6 8 3" xfId="14166" xr:uid="{1CA0A472-F70F-4F70-A8D5-2E28CC1D500E}"/>
    <cellStyle name="Normal 5 6 8 4" xfId="31060" xr:uid="{33DE674D-3AD4-4B1B-812F-08ED7CC934E0}"/>
    <cellStyle name="Normal 5 6 9" xfId="8844" xr:uid="{91B947E4-8FF0-409F-B157-688724766D9F}"/>
    <cellStyle name="Normal 5 6 9 2" xfId="18396" xr:uid="{CAD3D9A5-E2DC-449F-BF24-4B5DBD0616AE}"/>
    <cellStyle name="Normal 5 6 9 3" xfId="35290" xr:uid="{A332DBEB-C6BD-467B-8478-BE060E28A87A}"/>
    <cellStyle name="Normal 5 7" xfId="470" xr:uid="{00000000-0005-0000-0000-0000C41B0000}"/>
    <cellStyle name="Normal 5 7 10" xfId="26845" xr:uid="{58E7734F-5483-4049-9824-889BC19361D5}"/>
    <cellStyle name="Normal 5 7 2" xfId="944" xr:uid="{00000000-0005-0000-0000-0000C51B0000}"/>
    <cellStyle name="Normal 5 7 2 2" xfId="3178" xr:uid="{00000000-0005-0000-0000-0000C61B0000}"/>
    <cellStyle name="Normal 5 7 2 2 2" xfId="7400" xr:uid="{00000000-0005-0000-0000-0000C71B0000}"/>
    <cellStyle name="Normal 5 7 2 2 2 2" xfId="25173" xr:uid="{D3F0CECB-326F-40C2-89B3-945BE5CDDDBA}"/>
    <cellStyle name="Normal 5 7 2 2 2 2 2" xfId="42067" xr:uid="{86853FD0-C403-4108-9395-97DF9B84CD36}"/>
    <cellStyle name="Normal 5 7 2 2 2 3" xfId="16726" xr:uid="{0B493A72-9F22-4AB3-8C2D-B92D691BE819}"/>
    <cellStyle name="Normal 5 7 2 2 2 4" xfId="33620" xr:uid="{49B9D0D4-A96B-4BFD-A036-DD3FEE7B26F9}"/>
    <cellStyle name="Normal 5 7 2 2 3" xfId="20956" xr:uid="{7E95742D-64E4-46AF-928E-93D1BDAB4944}"/>
    <cellStyle name="Normal 5 7 2 2 3 2" xfId="37850" xr:uid="{60224753-E952-4AF1-8BAB-D554C9DC19D0}"/>
    <cellStyle name="Normal 5 7 2 2 4" xfId="12509" xr:uid="{36A819D5-EF95-4E83-B3FB-44E197530E5F}"/>
    <cellStyle name="Normal 5 7 2 2 5" xfId="29403" xr:uid="{F1C5A85F-55F7-4E23-9889-78E819A2F22A}"/>
    <cellStyle name="Normal 5 7 2 3" xfId="5255" xr:uid="{00000000-0005-0000-0000-0000C81B0000}"/>
    <cellStyle name="Normal 5 7 2 3 2" xfId="23028" xr:uid="{4B869821-7155-4AEF-A317-3B76F81BBE97}"/>
    <cellStyle name="Normal 5 7 2 3 2 2" xfId="39922" xr:uid="{16CB9DA4-A952-45C1-ACAC-4000FBD13E67}"/>
    <cellStyle name="Normal 5 7 2 3 3" xfId="14581" xr:uid="{6DAC3185-479C-4C5D-8C26-DEF1374B0C68}"/>
    <cellStyle name="Normal 5 7 2 3 4" xfId="31475" xr:uid="{ED0AFE1E-F032-437B-B2AD-50D7317DFFA3}"/>
    <cellStyle name="Normal 5 7 2 4" xfId="9385" xr:uid="{2E4A3B0A-2E42-41AC-9564-09D1598995A2}"/>
    <cellStyle name="Normal 5 7 2 4 2" xfId="18811" xr:uid="{8B53AD17-7BA1-424B-BB6C-3C5D70FC8A02}"/>
    <cellStyle name="Normal 5 7 2 4 3" xfId="35705" xr:uid="{9F9D5CD4-0A4B-432A-A457-37A267E598EC}"/>
    <cellStyle name="Normal 5 7 2 5" xfId="10364" xr:uid="{55145E06-F130-4D49-BA86-27845945B939}"/>
    <cellStyle name="Normal 5 7 2 6" xfId="27258" xr:uid="{6CC8E5F3-97AC-4E13-BDDF-C873F5979D67}"/>
    <cellStyle name="Normal 5 7 3" xfId="1361" xr:uid="{00000000-0005-0000-0000-0000C91B0000}"/>
    <cellStyle name="Normal 5 7 3 2" xfId="3591" xr:uid="{00000000-0005-0000-0000-0000CA1B0000}"/>
    <cellStyle name="Normal 5 7 3 2 2" xfId="7813" xr:uid="{00000000-0005-0000-0000-0000CB1B0000}"/>
    <cellStyle name="Normal 5 7 3 2 2 2" xfId="25586" xr:uid="{048C4766-7428-4853-BB4A-CE29C960174D}"/>
    <cellStyle name="Normal 5 7 3 2 2 2 2" xfId="42480" xr:uid="{5C4A5829-34A2-48F9-BA5A-B4BE4737CA52}"/>
    <cellStyle name="Normal 5 7 3 2 2 3" xfId="17139" xr:uid="{7434D1E2-5C09-4839-8F1C-EC890CE75A22}"/>
    <cellStyle name="Normal 5 7 3 2 2 4" xfId="34033" xr:uid="{2738860E-B9F5-4831-A631-E554FDC027DA}"/>
    <cellStyle name="Normal 5 7 3 2 3" xfId="21369" xr:uid="{2E30D009-6344-4319-A748-A546F6E36C95}"/>
    <cellStyle name="Normal 5 7 3 2 3 2" xfId="38263" xr:uid="{C6792651-1EFC-4905-97F6-0C194CAE3A1C}"/>
    <cellStyle name="Normal 5 7 3 2 4" xfId="12922" xr:uid="{67F4C703-D7A4-4CAC-A839-EE1536A15717}"/>
    <cellStyle name="Normal 5 7 3 2 5" xfId="29816" xr:uid="{3388AFB8-CFA9-4098-9154-B1B7013EDF4B}"/>
    <cellStyle name="Normal 5 7 3 3" xfId="5668" xr:uid="{00000000-0005-0000-0000-0000CC1B0000}"/>
    <cellStyle name="Normal 5 7 3 3 2" xfId="23441" xr:uid="{D7B2FCCE-7587-46FB-AC06-37EAB2FBEA4D}"/>
    <cellStyle name="Normal 5 7 3 3 2 2" xfId="40335" xr:uid="{58FC270B-24B4-4D41-AFB2-542FC8CAF566}"/>
    <cellStyle name="Normal 5 7 3 3 3" xfId="14994" xr:uid="{C84E149A-C4A7-425F-918C-1EAF2590BDDA}"/>
    <cellStyle name="Normal 5 7 3 3 4" xfId="31888" xr:uid="{0ECBB88E-1905-4A22-A82C-DF5C135F4653}"/>
    <cellStyle name="Normal 5 7 3 4" xfId="19224" xr:uid="{0FC3D98E-1A7C-4650-B16A-BCDED1F39F7A}"/>
    <cellStyle name="Normal 5 7 3 4 2" xfId="36118" xr:uid="{DB1AE424-AA77-40B8-8C84-E7E114F8C3F3}"/>
    <cellStyle name="Normal 5 7 3 5" xfId="10777" xr:uid="{1FC6A2FD-B90B-4B79-821C-8214527BB64E}"/>
    <cellStyle name="Normal 5 7 3 6" xfId="27671" xr:uid="{154BD3DB-F999-48A6-98D1-CC5C0FFCB275}"/>
    <cellStyle name="Normal 5 7 4" xfId="1774" xr:uid="{00000000-0005-0000-0000-0000CD1B0000}"/>
    <cellStyle name="Normal 5 7 4 2" xfId="4004" xr:uid="{00000000-0005-0000-0000-0000CE1B0000}"/>
    <cellStyle name="Normal 5 7 4 2 2" xfId="8226" xr:uid="{00000000-0005-0000-0000-0000CF1B0000}"/>
    <cellStyle name="Normal 5 7 4 2 2 2" xfId="25999" xr:uid="{C07362F9-B5FC-4E96-BA5E-4E95A332D75D}"/>
    <cellStyle name="Normal 5 7 4 2 2 2 2" xfId="42893" xr:uid="{845620E6-8262-411B-BDA9-90ECFB4C2940}"/>
    <cellStyle name="Normal 5 7 4 2 2 3" xfId="17552" xr:uid="{0F526E0E-97A0-4C3D-8FF2-D6E548ACCD5E}"/>
    <cellStyle name="Normal 5 7 4 2 2 4" xfId="34446" xr:uid="{A3DFC9DA-2462-447D-932D-968D1A3EA294}"/>
    <cellStyle name="Normal 5 7 4 2 3" xfId="21782" xr:uid="{AC08AF54-9959-44B4-9AFF-13394491DEC6}"/>
    <cellStyle name="Normal 5 7 4 2 3 2" xfId="38676" xr:uid="{64EAD7C2-9995-4F0D-A15C-628D5117E88E}"/>
    <cellStyle name="Normal 5 7 4 2 4" xfId="13335" xr:uid="{3D9E67EE-AF75-411C-9677-02DF47CA025B}"/>
    <cellStyle name="Normal 5 7 4 2 5" xfId="30229" xr:uid="{F68DDCCD-3A9C-4F45-9703-051B14879FB6}"/>
    <cellStyle name="Normal 5 7 4 3" xfId="6081" xr:uid="{00000000-0005-0000-0000-0000D01B0000}"/>
    <cellStyle name="Normal 5 7 4 3 2" xfId="23854" xr:uid="{23080DB7-4D26-45C1-A9C5-F752F04BD3C7}"/>
    <cellStyle name="Normal 5 7 4 3 2 2" xfId="40748" xr:uid="{4A1E5C93-7146-470D-87FD-4F83A77A8165}"/>
    <cellStyle name="Normal 5 7 4 3 3" xfId="15407" xr:uid="{E64F4E1E-92D1-4301-B20E-0762F673E506}"/>
    <cellStyle name="Normal 5 7 4 3 4" xfId="32301" xr:uid="{6083A0ED-256F-4C79-8C70-1538389B55B9}"/>
    <cellStyle name="Normal 5 7 4 4" xfId="19637" xr:uid="{26009C26-E64F-40D9-9F8A-F0F8BCAB1B8C}"/>
    <cellStyle name="Normal 5 7 4 4 2" xfId="36531" xr:uid="{5F2171D3-18A3-4A63-AE07-AA37789FDA6A}"/>
    <cellStyle name="Normal 5 7 4 5" xfId="11190" xr:uid="{9ADFEA88-3B81-4C18-84F2-E77D15AF2AF9}"/>
    <cellStyle name="Normal 5 7 4 6" xfId="28084" xr:uid="{1BFABC9F-4274-4A55-9B94-ACA9D8DD2400}"/>
    <cellStyle name="Normal 5 7 5" xfId="2188" xr:uid="{00000000-0005-0000-0000-0000D11B0000}"/>
    <cellStyle name="Normal 5 7 5 2" xfId="4417" xr:uid="{00000000-0005-0000-0000-0000D21B0000}"/>
    <cellStyle name="Normal 5 7 5 2 2" xfId="8639" xr:uid="{00000000-0005-0000-0000-0000D31B0000}"/>
    <cellStyle name="Normal 5 7 5 2 2 2" xfId="26412" xr:uid="{42E33DA3-A296-4409-8F76-917088075E11}"/>
    <cellStyle name="Normal 5 7 5 2 2 2 2" xfId="43306" xr:uid="{5F6D1A8C-1C41-4434-B872-A8225F2F5C08}"/>
    <cellStyle name="Normal 5 7 5 2 2 3" xfId="17965" xr:uid="{5F00488E-D30F-4DE0-9B8B-EDE9F2352579}"/>
    <cellStyle name="Normal 5 7 5 2 2 4" xfId="34859" xr:uid="{80BB0C44-0003-4B60-9AAF-84F1DBB2337A}"/>
    <cellStyle name="Normal 5 7 5 2 3" xfId="22195" xr:uid="{51492298-9E01-4742-990D-E99D0060DF31}"/>
    <cellStyle name="Normal 5 7 5 2 3 2" xfId="39089" xr:uid="{4BE69510-0DDF-47A7-96E8-0CCF9AE94A10}"/>
    <cellStyle name="Normal 5 7 5 2 4" xfId="13748" xr:uid="{F29989ED-EE57-43A4-922D-946BBD991E5D}"/>
    <cellStyle name="Normal 5 7 5 2 5" xfId="30642" xr:uid="{D87460CE-7F72-4A36-AC3D-BFED4313495E}"/>
    <cellStyle name="Normal 5 7 5 3" xfId="6494" xr:uid="{00000000-0005-0000-0000-0000D41B0000}"/>
    <cellStyle name="Normal 5 7 5 3 2" xfId="24267" xr:uid="{43447EDD-43F6-4950-B354-2F4A42D5ED09}"/>
    <cellStyle name="Normal 5 7 5 3 2 2" xfId="41161" xr:uid="{EFCBCE7B-DB60-4384-80D8-853745890BD7}"/>
    <cellStyle name="Normal 5 7 5 3 3" xfId="15820" xr:uid="{509D962F-DE3A-42C3-AE6A-81A66BEE93C5}"/>
    <cellStyle name="Normal 5 7 5 3 4" xfId="32714" xr:uid="{244B1181-5FF6-47AE-9CCA-4962A16C2EDB}"/>
    <cellStyle name="Normal 5 7 5 4" xfId="20050" xr:uid="{332F2D49-088D-4A11-9E0C-E01EA68CC55D}"/>
    <cellStyle name="Normal 5 7 5 4 2" xfId="36944" xr:uid="{C0128160-0ED8-4CB3-9BA1-8E78CFBF6028}"/>
    <cellStyle name="Normal 5 7 5 5" xfId="11603" xr:uid="{EAE1DE65-8A69-4B15-B390-51E13A8AC773}"/>
    <cellStyle name="Normal 5 7 5 6" xfId="28497" xr:uid="{BC8FE7AF-B4CA-40E9-A162-B6A30650FE99}"/>
    <cellStyle name="Normal 5 7 6" xfId="2624" xr:uid="{00000000-0005-0000-0000-0000D51B0000}"/>
    <cellStyle name="Normal 5 7 6 2" xfId="6907" xr:uid="{00000000-0005-0000-0000-0000D61B0000}"/>
    <cellStyle name="Normal 5 7 6 2 2" xfId="24680" xr:uid="{75817741-83B5-474B-9CA0-64631400B3BD}"/>
    <cellStyle name="Normal 5 7 6 2 2 2" xfId="41574" xr:uid="{B50F0E3C-AB81-454B-91B6-BB583A008772}"/>
    <cellStyle name="Normal 5 7 6 2 3" xfId="16233" xr:uid="{6FF637B8-DEF8-4D67-AC66-E3F338846864}"/>
    <cellStyle name="Normal 5 7 6 2 4" xfId="33127" xr:uid="{205B3C27-7C02-4665-A9EB-32266CE09B5C}"/>
    <cellStyle name="Normal 5 7 6 3" xfId="20463" xr:uid="{72E5FB16-56AB-4076-BCFA-E47FDADED460}"/>
    <cellStyle name="Normal 5 7 6 3 2" xfId="37357" xr:uid="{446413A6-3044-43FD-8378-BA1026336631}"/>
    <cellStyle name="Normal 5 7 6 4" xfId="12016" xr:uid="{1A1E12AC-D5F9-47F2-8927-5D58B5A240F4}"/>
    <cellStyle name="Normal 5 7 6 5" xfId="28910" xr:uid="{CF2FC7EC-5872-43E3-BFC2-E88E3C1836C5}"/>
    <cellStyle name="Normal 5 7 7" xfId="4842" xr:uid="{00000000-0005-0000-0000-0000D71B0000}"/>
    <cellStyle name="Normal 5 7 7 2" xfId="22615" xr:uid="{66BE866E-EF88-4F37-89F0-BEADC5E0FABF}"/>
    <cellStyle name="Normal 5 7 7 2 2" xfId="39509" xr:uid="{EF5CA0A5-B1E7-4C97-85C0-78130AF9B671}"/>
    <cellStyle name="Normal 5 7 7 3" xfId="14168" xr:uid="{95CF8021-D547-4058-8090-C53C6EC212AE}"/>
    <cellStyle name="Normal 5 7 7 4" xfId="31062" xr:uid="{722CB12B-73BE-4BBC-A8AF-98004701C54D}"/>
    <cellStyle name="Normal 5 7 8" xfId="8960" xr:uid="{F4BEC964-53C9-4393-B7F1-69B47FC1FF25}"/>
    <cellStyle name="Normal 5 7 8 2" xfId="18398" xr:uid="{2B7BE48A-2160-4764-88E6-55673F9FD738}"/>
    <cellStyle name="Normal 5 7 8 3" xfId="35292" xr:uid="{C361FFF6-F213-4233-B628-964CEE918977}"/>
    <cellStyle name="Normal 5 7 9" xfId="9951" xr:uid="{4B19546B-7DEA-4FBD-A169-79ABA918A0EB}"/>
    <cellStyle name="Normal 5 8" xfId="880" xr:uid="{00000000-0005-0000-0000-0000D81B0000}"/>
    <cellStyle name="Normal 5 8 2" xfId="3115" xr:uid="{00000000-0005-0000-0000-0000D91B0000}"/>
    <cellStyle name="Normal 5 8 2 2" xfId="7337" xr:uid="{00000000-0005-0000-0000-0000DA1B0000}"/>
    <cellStyle name="Normal 5 8 2 2 2" xfId="25110" xr:uid="{623126A0-47D9-47D1-A07C-BE60E3D277E5}"/>
    <cellStyle name="Normal 5 8 2 2 2 2" xfId="42004" xr:uid="{84E2560C-A7E8-42E1-A0AE-05AE59E06F55}"/>
    <cellStyle name="Normal 5 8 2 2 3" xfId="16663" xr:uid="{57CE5255-BAD7-4395-8F1C-202E3BB7A834}"/>
    <cellStyle name="Normal 5 8 2 2 4" xfId="33557" xr:uid="{3D8BEFAB-621F-4E8F-A553-D5167958CD45}"/>
    <cellStyle name="Normal 5 8 2 3" xfId="20893" xr:uid="{3E7CA5B7-D022-429E-A579-BA4E5E6779E8}"/>
    <cellStyle name="Normal 5 8 2 3 2" xfId="37787" xr:uid="{5CE266F2-9C07-415F-B5AE-F110E1291D49}"/>
    <cellStyle name="Normal 5 8 2 4" xfId="12446" xr:uid="{B5B9B197-F333-4006-8F9F-7958FA14CA34}"/>
    <cellStyle name="Normal 5 8 2 5" xfId="29340" xr:uid="{3B0D56BE-0FF2-4459-8061-D5E0ECA04CB2}"/>
    <cellStyle name="Normal 5 8 3" xfId="5192" xr:uid="{00000000-0005-0000-0000-0000DB1B0000}"/>
    <cellStyle name="Normal 5 8 3 2" xfId="22965" xr:uid="{96951257-A401-4129-B7F0-538FE414D797}"/>
    <cellStyle name="Normal 5 8 3 2 2" xfId="39859" xr:uid="{1CA2F5B1-0B79-4B12-AC47-F3027993A887}"/>
    <cellStyle name="Normal 5 8 3 3" xfId="14518" xr:uid="{68CE5269-CEC7-445D-AF18-375DA335C8F1}"/>
    <cellStyle name="Normal 5 8 3 4" xfId="31412" xr:uid="{0D91C33C-1340-46DB-8D45-06209EAA9AED}"/>
    <cellStyle name="Normal 5 8 4" xfId="9163" xr:uid="{44C7CAD4-DD7C-48E0-9142-8ED22123C662}"/>
    <cellStyle name="Normal 5 8 4 2" xfId="18748" xr:uid="{9ECCE465-3D94-49D7-8BDD-CCB4E64107FF}"/>
    <cellStyle name="Normal 5 8 4 3" xfId="35642" xr:uid="{0F8C3948-F68C-4FF5-9B46-DE819B5BD847}"/>
    <cellStyle name="Normal 5 8 5" xfId="10301" xr:uid="{38C60799-4962-47DF-A5F1-C66412625776}"/>
    <cellStyle name="Normal 5 8 6" xfId="27195" xr:uid="{941898F8-F745-4C24-92C9-6632A7523F7A}"/>
    <cellStyle name="Normal 5 9" xfId="1298" xr:uid="{00000000-0005-0000-0000-0000DC1B0000}"/>
    <cellStyle name="Normal 5 9 2" xfId="3528" xr:uid="{00000000-0005-0000-0000-0000DD1B0000}"/>
    <cellStyle name="Normal 5 9 2 2" xfId="7750" xr:uid="{00000000-0005-0000-0000-0000DE1B0000}"/>
    <cellStyle name="Normal 5 9 2 2 2" xfId="25523" xr:uid="{AA4AF180-1969-4187-A361-A726931179C9}"/>
    <cellStyle name="Normal 5 9 2 2 2 2" xfId="42417" xr:uid="{E484C7CA-43E7-43E0-89D3-5D8B75E0CAA9}"/>
    <cellStyle name="Normal 5 9 2 2 3" xfId="17076" xr:uid="{207ACD6C-4141-40BA-8C37-3ACD8C39A608}"/>
    <cellStyle name="Normal 5 9 2 2 4" xfId="33970" xr:uid="{D81A99FB-14FC-4C4F-A905-119C91F6D12D}"/>
    <cellStyle name="Normal 5 9 2 3" xfId="21306" xr:uid="{3F03A00C-AA5F-4B60-8772-FCEB06A7B9DD}"/>
    <cellStyle name="Normal 5 9 2 3 2" xfId="38200" xr:uid="{6D211096-34D8-4B8D-AC66-6E54038A6F43}"/>
    <cellStyle name="Normal 5 9 2 4" xfId="12859" xr:uid="{D4C0DF01-2B93-4EE6-84E5-D25FC0468680}"/>
    <cellStyle name="Normal 5 9 2 5" xfId="29753" xr:uid="{822019F2-E86F-4197-8401-19FD28326324}"/>
    <cellStyle name="Normal 5 9 3" xfId="5605" xr:uid="{00000000-0005-0000-0000-0000DF1B0000}"/>
    <cellStyle name="Normal 5 9 3 2" xfId="23378" xr:uid="{276BE8A8-B892-4976-91FE-9BA29FFAF31F}"/>
    <cellStyle name="Normal 5 9 3 2 2" xfId="40272" xr:uid="{28AF6EEA-8DFE-4762-9C21-67417142BBB0}"/>
    <cellStyle name="Normal 5 9 3 3" xfId="14931" xr:uid="{4AEDC33D-1BCC-41B2-8379-48CB3C77E3F8}"/>
    <cellStyle name="Normal 5 9 3 4" xfId="31825" xr:uid="{49A55EB0-559D-42BC-9EBC-40B54DA90961}"/>
    <cellStyle name="Normal 5 9 4" xfId="19161" xr:uid="{7290009A-3820-40CA-AE9A-F50FC2FA93A5}"/>
    <cellStyle name="Normal 5 9 4 2" xfId="36055" xr:uid="{B38DC0B6-FFB2-4343-BEF8-2AEBBA56BFC1}"/>
    <cellStyle name="Normal 5 9 5" xfId="10714" xr:uid="{3E56A63E-49A0-4265-818A-2F6C7F6DEEB4}"/>
    <cellStyle name="Normal 5 9 6" xfId="27608" xr:uid="{66BAC6FF-3035-4450-BF28-1ABDB2D594C7}"/>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2 2 2" xfId="26413" xr:uid="{A5BF9F7A-454E-4200-91BD-0FC7800E2F42}"/>
    <cellStyle name="Normal 8 10 2 2 2 2" xfId="43307" xr:uid="{1453A787-F9A0-41A8-8A77-DB9FD1BBDA22}"/>
    <cellStyle name="Normal 8 10 2 2 3" xfId="17966" xr:uid="{E650816B-41D2-4142-8B0A-C209FE4B2975}"/>
    <cellStyle name="Normal 8 10 2 2 4" xfId="34860" xr:uid="{AA927EB1-8565-403F-A488-698233EEADF9}"/>
    <cellStyle name="Normal 8 10 2 3" xfId="22196" xr:uid="{06945FC0-B5A1-4DDC-8636-57B422744789}"/>
    <cellStyle name="Normal 8 10 2 3 2" xfId="39090" xr:uid="{4906A840-7937-4368-A793-6A0377E4005A}"/>
    <cellStyle name="Normal 8 10 2 4" xfId="13749" xr:uid="{2233BF45-0D8D-4753-94E7-E02C02172296}"/>
    <cellStyle name="Normal 8 10 2 5" xfId="30643" xr:uid="{D722EB0C-64B5-4F99-BF9A-9B38B964E288}"/>
    <cellStyle name="Normal 8 10 3" xfId="6495" xr:uid="{00000000-0005-0000-0000-0000EB1B0000}"/>
    <cellStyle name="Normal 8 10 3 2" xfId="24268" xr:uid="{1977BFEC-1BED-4994-AA6B-9D5FAF0CCDC7}"/>
    <cellStyle name="Normal 8 10 3 2 2" xfId="41162" xr:uid="{3797F484-D167-4600-8CAF-7438C1775706}"/>
    <cellStyle name="Normal 8 10 3 3" xfId="15821" xr:uid="{7F37B76E-12C6-4FE9-A4C8-5FCD3C0F3EE3}"/>
    <cellStyle name="Normal 8 10 3 4" xfId="32715" xr:uid="{84C054F6-5B8F-43EF-8BE9-6647DB3AC18B}"/>
    <cellStyle name="Normal 8 10 4" xfId="20051" xr:uid="{0AC299C8-0F29-488A-83BD-7F7DEE798A25}"/>
    <cellStyle name="Normal 8 10 4 2" xfId="36945" xr:uid="{276C6F0B-F638-44ED-A0F2-AB32F8329050}"/>
    <cellStyle name="Normal 8 10 5" xfId="11604" xr:uid="{1B33CEEB-3E09-4034-B0E5-3812108395F1}"/>
    <cellStyle name="Normal 8 10 6" xfId="28498" xr:uid="{A3EEA909-7CA5-4788-9083-D81E9B4FDA3F}"/>
    <cellStyle name="Normal 8 11" xfId="2625" xr:uid="{00000000-0005-0000-0000-0000EC1B0000}"/>
    <cellStyle name="Normal 8 11 2" xfId="6908" xr:uid="{00000000-0005-0000-0000-0000ED1B0000}"/>
    <cellStyle name="Normal 8 11 2 2" xfId="24681" xr:uid="{3E524830-244B-4C21-8C9B-B3DDE301BC12}"/>
    <cellStyle name="Normal 8 11 2 2 2" xfId="41575" xr:uid="{24253545-6F2D-49F2-ABAD-E227FE099FD5}"/>
    <cellStyle name="Normal 8 11 2 3" xfId="16234" xr:uid="{69234C5B-993C-4066-9B30-1879AE9E1291}"/>
    <cellStyle name="Normal 8 11 2 4" xfId="33128" xr:uid="{27A3D072-B031-4CAE-8328-91FE5C47C975}"/>
    <cellStyle name="Normal 8 11 3" xfId="20464" xr:uid="{5ADBC2FB-F258-484D-8CC6-1349B4B8A869}"/>
    <cellStyle name="Normal 8 11 3 2" xfId="37358" xr:uid="{B6AA3D7A-4C94-41DB-B409-4BC9CE2C80B3}"/>
    <cellStyle name="Normal 8 11 4" xfId="12017" xr:uid="{AC0D2BC9-B1DB-4885-8C3D-5447F1036ED3}"/>
    <cellStyle name="Normal 8 11 5" xfId="28911" xr:uid="{3F7C01F2-ABD2-4EC2-BBD9-FE0B2E463E22}"/>
    <cellStyle name="Normal 8 12" xfId="4843" xr:uid="{00000000-0005-0000-0000-0000EE1B0000}"/>
    <cellStyle name="Normal 8 12 2" xfId="22616" xr:uid="{A8D598AE-2EF3-4830-96C3-32AD88EC0AB7}"/>
    <cellStyle name="Normal 8 12 2 2" xfId="39510" xr:uid="{00A350A3-CFC5-4A96-B61E-ADFD0A3E0C5C}"/>
    <cellStyle name="Normal 8 12 3" xfId="14169" xr:uid="{46DA862A-18FF-479C-98D4-FB280B41367C}"/>
    <cellStyle name="Normal 8 12 4" xfId="31063" xr:uid="{54E53FD9-32FE-48B5-9929-AA35338BAD78}"/>
    <cellStyle name="Normal 8 13" xfId="8742" xr:uid="{AF36CBBC-3EEB-4AC8-923B-65C7C2418AB0}"/>
    <cellStyle name="Normal 8 13 2" xfId="18399" xr:uid="{5CAD0156-CF05-494D-9C86-8FD74E9E22F2}"/>
    <cellStyle name="Normal 8 13 3" xfId="35293" xr:uid="{4FDC8087-32A7-4E3B-BC66-D4800347F95C}"/>
    <cellStyle name="Normal 8 14" xfId="9952" xr:uid="{D162C721-30C3-4F9B-A908-D41DFB2A61DB}"/>
    <cellStyle name="Normal 8 15" xfId="26846" xr:uid="{D9FF1A00-2E5C-4EC2-ACFB-D98841B8924A}"/>
    <cellStyle name="Normal 8 2" xfId="479" xr:uid="{00000000-0005-0000-0000-0000EF1B0000}"/>
    <cellStyle name="Normal 8 2 10" xfId="2626" xr:uid="{00000000-0005-0000-0000-0000F01B0000}"/>
    <cellStyle name="Normal 8 2 10 2" xfId="6909" xr:uid="{00000000-0005-0000-0000-0000F11B0000}"/>
    <cellStyle name="Normal 8 2 10 2 2" xfId="24682" xr:uid="{32592694-8FC7-401C-AAEA-473FCB837082}"/>
    <cellStyle name="Normal 8 2 10 2 2 2" xfId="41576" xr:uid="{B440F478-4349-458C-A8D1-DAA498CBB162}"/>
    <cellStyle name="Normal 8 2 10 2 3" xfId="16235" xr:uid="{0D69885F-1DAD-4E73-AA15-1A1BB8AE931B}"/>
    <cellStyle name="Normal 8 2 10 2 4" xfId="33129" xr:uid="{95E65B87-3373-4BAB-8872-7F78C703FBE6}"/>
    <cellStyle name="Normal 8 2 10 3" xfId="20465" xr:uid="{579E54C9-AE93-4CBA-B334-F96A0EC05A4C}"/>
    <cellStyle name="Normal 8 2 10 3 2" xfId="37359" xr:uid="{FF92D6DB-CA8B-426D-8702-D67929C7B12C}"/>
    <cellStyle name="Normal 8 2 10 4" xfId="12018" xr:uid="{BBCA3A83-55E0-4F62-A41A-529E34256143}"/>
    <cellStyle name="Normal 8 2 10 5" xfId="28912" xr:uid="{CA4768E4-CB82-4015-BD7C-F09A5D3A640F}"/>
    <cellStyle name="Normal 8 2 11" xfId="4844" xr:uid="{00000000-0005-0000-0000-0000F21B0000}"/>
    <cellStyle name="Normal 8 2 11 2" xfId="22617" xr:uid="{07B269BD-EB56-4914-81E1-0DDD0A165AEC}"/>
    <cellStyle name="Normal 8 2 11 2 2" xfId="39511" xr:uid="{C471B4F7-24C5-483A-84C0-A9AD13FEE291}"/>
    <cellStyle name="Normal 8 2 11 3" xfId="14170" xr:uid="{9570A3C7-67CA-4F3F-80D9-CEBD5F13AE46}"/>
    <cellStyle name="Normal 8 2 11 4" xfId="31064" xr:uid="{E15BF92F-5101-491D-B050-E8F13AF357B0}"/>
    <cellStyle name="Normal 8 2 12" xfId="8751" xr:uid="{476D0553-3387-4D9F-B05B-56EC7A36F7A1}"/>
    <cellStyle name="Normal 8 2 12 2" xfId="18400" xr:uid="{004A9AD3-2398-4384-A73B-785F45984E0F}"/>
    <cellStyle name="Normal 8 2 12 3" xfId="35294" xr:uid="{20C3F273-A11F-45D6-806B-AD6A2D5F7E0E}"/>
    <cellStyle name="Normal 8 2 13" xfId="9953" xr:uid="{16FA2BE0-7F4A-4FAB-9A66-E7CC8668CFCC}"/>
    <cellStyle name="Normal 8 2 14" xfId="26847" xr:uid="{F7D10182-01D2-44C0-9EB7-F2A2208715A6}"/>
    <cellStyle name="Normal 8 2 2" xfId="480" xr:uid="{00000000-0005-0000-0000-0000F31B0000}"/>
    <cellStyle name="Normal 8 2 2 10" xfId="4845" xr:uid="{00000000-0005-0000-0000-0000F41B0000}"/>
    <cellStyle name="Normal 8 2 2 10 2" xfId="22618" xr:uid="{9B7510D6-408C-4180-A13F-25A0BB41344D}"/>
    <cellStyle name="Normal 8 2 2 10 2 2" xfId="39512" xr:uid="{9B859FC9-6326-464D-8475-1ABECC4027C7}"/>
    <cellStyle name="Normal 8 2 2 10 3" xfId="14171" xr:uid="{F1C9C176-3CD4-43AC-A218-D9663F245B44}"/>
    <cellStyle name="Normal 8 2 2 10 4" xfId="31065" xr:uid="{C40021CB-ABD5-439D-A9DB-747F8022980C}"/>
    <cellStyle name="Normal 8 2 2 11" xfId="8783" xr:uid="{3C426022-C415-47DA-A8EF-1D6CE72527BD}"/>
    <cellStyle name="Normal 8 2 2 11 2" xfId="18401" xr:uid="{597DC35A-7B8E-4BE0-9334-58A72D1CFF0D}"/>
    <cellStyle name="Normal 8 2 2 11 3" xfId="35295" xr:uid="{8C8218C6-208A-4175-88DC-A4A3187E04B3}"/>
    <cellStyle name="Normal 8 2 2 12" xfId="9954" xr:uid="{BE96536E-59F2-4052-9619-741C020FF6AB}"/>
    <cellStyle name="Normal 8 2 2 13" xfId="26848" xr:uid="{ADB8B973-E532-4A63-B4C1-8BAD30DE3A07}"/>
    <cellStyle name="Normal 8 2 2 2" xfId="481" xr:uid="{00000000-0005-0000-0000-0000F51B0000}"/>
    <cellStyle name="Normal 8 2 2 2 10" xfId="8836" xr:uid="{870E50AF-610D-4E0C-BDE0-389D6B32A0FA}"/>
    <cellStyle name="Normal 8 2 2 2 10 2" xfId="18402" xr:uid="{AE47603C-8C17-4B29-A6F5-528DFF4BFE5A}"/>
    <cellStyle name="Normal 8 2 2 2 10 3" xfId="35296" xr:uid="{2AF1CF74-672D-481E-A4F2-892FAE1A3F93}"/>
    <cellStyle name="Normal 8 2 2 2 11" xfId="9955" xr:uid="{351CBE1F-6BC7-4203-811A-B50AC1354ECB}"/>
    <cellStyle name="Normal 8 2 2 2 12" xfId="26849" xr:uid="{C47EF0F8-8075-47E4-9273-87A64D121570}"/>
    <cellStyle name="Normal 8 2 2 2 2" xfId="482" xr:uid="{00000000-0005-0000-0000-0000F61B0000}"/>
    <cellStyle name="Normal 8 2 2 2 2 10" xfId="9956" xr:uid="{752A51E5-6AA9-4084-B599-A63A8542E347}"/>
    <cellStyle name="Normal 8 2 2 2 2 11" xfId="26850" xr:uid="{649439D8-78DF-4C95-A9C3-F6E1195FB31C}"/>
    <cellStyle name="Normal 8 2 2 2 2 2" xfId="483" xr:uid="{00000000-0005-0000-0000-0000F71B0000}"/>
    <cellStyle name="Normal 8 2 2 2 2 2 10" xfId="26851" xr:uid="{08F7995E-4A1E-49FE-8FFC-D302E6D7CA6F}"/>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2 2 2" xfId="25179" xr:uid="{F97FF42D-AA36-4F7E-9D7E-FC503BFBE34E}"/>
    <cellStyle name="Normal 8 2 2 2 2 2 2 2 2 2 2" xfId="42073" xr:uid="{739316C5-EE6F-4ED7-8BC0-E16425BD6F50}"/>
    <cellStyle name="Normal 8 2 2 2 2 2 2 2 2 3" xfId="16732" xr:uid="{98BCCD35-7AB2-47B5-9651-CBACA5BCC4AD}"/>
    <cellStyle name="Normal 8 2 2 2 2 2 2 2 2 4" xfId="33626" xr:uid="{47811D16-33E1-480D-B86B-6DC0A277CBA1}"/>
    <cellStyle name="Normal 8 2 2 2 2 2 2 2 3" xfId="20962" xr:uid="{0BABEA3F-5F9E-469E-99BA-625D808DD9C6}"/>
    <cellStyle name="Normal 8 2 2 2 2 2 2 2 3 2" xfId="37856" xr:uid="{431EA979-9A43-4568-8D77-8372180277A3}"/>
    <cellStyle name="Normal 8 2 2 2 2 2 2 2 4" xfId="12515" xr:uid="{83D04B30-F3F0-4FDE-8D06-C1476CB18905}"/>
    <cellStyle name="Normal 8 2 2 2 2 2 2 2 5" xfId="29409" xr:uid="{F02DBD20-0DDE-4F38-888E-C992BF02F669}"/>
    <cellStyle name="Normal 8 2 2 2 2 2 2 3" xfId="5261" xr:uid="{00000000-0005-0000-0000-0000FB1B0000}"/>
    <cellStyle name="Normal 8 2 2 2 2 2 2 3 2" xfId="23034" xr:uid="{3C485E66-2F4E-4A40-A335-8721B7762523}"/>
    <cellStyle name="Normal 8 2 2 2 2 2 2 3 2 2" xfId="39928" xr:uid="{5B017597-DB0A-47DE-A5D5-61D2FA9E40CD}"/>
    <cellStyle name="Normal 8 2 2 2 2 2 2 3 3" xfId="14587" xr:uid="{9482EAC4-6C78-43E8-BD79-1572529A3407}"/>
    <cellStyle name="Normal 8 2 2 2 2 2 2 3 4" xfId="31481" xr:uid="{94C79847-8E1A-4B79-BDF8-B5EE19AF90D2}"/>
    <cellStyle name="Normal 8 2 2 2 2 2 2 4" xfId="9571" xr:uid="{B467C179-FE08-45F9-B1E6-E66379D80EBC}"/>
    <cellStyle name="Normal 8 2 2 2 2 2 2 4 2" xfId="18817" xr:uid="{16FC4823-2E60-4E27-AD66-77ECC72CBE2E}"/>
    <cellStyle name="Normal 8 2 2 2 2 2 2 4 3" xfId="35711" xr:uid="{8259611F-E5BB-4456-8A95-FD17670DE17F}"/>
    <cellStyle name="Normal 8 2 2 2 2 2 2 5" xfId="10370" xr:uid="{68B686C2-6F20-4427-9C5D-1E54A1F4F008}"/>
    <cellStyle name="Normal 8 2 2 2 2 2 2 6" xfId="27264" xr:uid="{5C4CF370-BE8F-4619-ADF0-4336429FD162}"/>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2 2 2" xfId="25592" xr:uid="{23C45C6B-0A92-4DB3-A714-1912E5C3EF13}"/>
    <cellStyle name="Normal 8 2 2 2 2 2 3 2 2 2 2" xfId="42486" xr:uid="{9CB847D8-98D4-4157-8086-14FFD8F455C4}"/>
    <cellStyle name="Normal 8 2 2 2 2 2 3 2 2 3" xfId="17145" xr:uid="{71FD5231-1962-4640-A53E-B797BA68FBC4}"/>
    <cellStyle name="Normal 8 2 2 2 2 2 3 2 2 4" xfId="34039" xr:uid="{C209B5D9-79F8-4677-9E97-A91E0F6A8E14}"/>
    <cellStyle name="Normal 8 2 2 2 2 2 3 2 3" xfId="21375" xr:uid="{D01054E2-1AFA-423D-AF32-E1523B9239CD}"/>
    <cellStyle name="Normal 8 2 2 2 2 2 3 2 3 2" xfId="38269" xr:uid="{869E00F3-7CCC-4E2A-80AC-780E6264975F}"/>
    <cellStyle name="Normal 8 2 2 2 2 2 3 2 4" xfId="12928" xr:uid="{3FBA6809-ABD2-4C25-AD5B-C16F9436134B}"/>
    <cellStyle name="Normal 8 2 2 2 2 2 3 2 5" xfId="29822" xr:uid="{E412966E-B5EC-4BA4-9D94-CE5CA36DB9A1}"/>
    <cellStyle name="Normal 8 2 2 2 2 2 3 3" xfId="5674" xr:uid="{00000000-0005-0000-0000-0000FF1B0000}"/>
    <cellStyle name="Normal 8 2 2 2 2 2 3 3 2" xfId="23447" xr:uid="{362263B1-793B-4430-8BF3-C0CC67AC3BC4}"/>
    <cellStyle name="Normal 8 2 2 2 2 2 3 3 2 2" xfId="40341" xr:uid="{7F4A4A50-5C77-4AC9-B754-A404E7D35379}"/>
    <cellStyle name="Normal 8 2 2 2 2 2 3 3 3" xfId="15000" xr:uid="{212D7415-9C57-4B9B-8231-EF28ACC94F85}"/>
    <cellStyle name="Normal 8 2 2 2 2 2 3 3 4" xfId="31894" xr:uid="{8EF3E6D8-0B50-470A-8EBB-8983BCDF41CA}"/>
    <cellStyle name="Normal 8 2 2 2 2 2 3 4" xfId="19230" xr:uid="{9044B426-AA01-445D-BDAA-358D62BDA5A7}"/>
    <cellStyle name="Normal 8 2 2 2 2 2 3 4 2" xfId="36124" xr:uid="{CF409A63-D6FB-4F37-90A8-821E3526F692}"/>
    <cellStyle name="Normal 8 2 2 2 2 2 3 5" xfId="10783" xr:uid="{F04D00A7-9A2D-4604-98A4-B289E6F8ACCB}"/>
    <cellStyle name="Normal 8 2 2 2 2 2 3 6" xfId="27677" xr:uid="{DA410B01-5ABE-47C5-9832-4663F92CF745}"/>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2 2 2" xfId="26005" xr:uid="{5E2B79DB-4976-481B-83B9-EC9D20A07B14}"/>
    <cellStyle name="Normal 8 2 2 2 2 2 4 2 2 2 2" xfId="42899" xr:uid="{7B8E720B-24B7-4685-AEF1-3B11AF262781}"/>
    <cellStyle name="Normal 8 2 2 2 2 2 4 2 2 3" xfId="17558" xr:uid="{73D6CDFA-9C9A-49FB-B290-292036397E1D}"/>
    <cellStyle name="Normal 8 2 2 2 2 2 4 2 2 4" xfId="34452" xr:uid="{A570DF73-2074-496B-AEFE-6ADA8DFDC651}"/>
    <cellStyle name="Normal 8 2 2 2 2 2 4 2 3" xfId="21788" xr:uid="{44B1E1FF-A157-48CB-9DE9-DA8BBFC305F1}"/>
    <cellStyle name="Normal 8 2 2 2 2 2 4 2 3 2" xfId="38682" xr:uid="{2069CDE7-94CC-4F29-9761-AC92DF186495}"/>
    <cellStyle name="Normal 8 2 2 2 2 2 4 2 4" xfId="13341" xr:uid="{99EE1B54-68F4-47C5-8C28-3EA39D435DC6}"/>
    <cellStyle name="Normal 8 2 2 2 2 2 4 2 5" xfId="30235" xr:uid="{CC4F3200-69C5-40B1-8C96-0C82B3E6CA7A}"/>
    <cellStyle name="Normal 8 2 2 2 2 2 4 3" xfId="6087" xr:uid="{00000000-0005-0000-0000-0000031C0000}"/>
    <cellStyle name="Normal 8 2 2 2 2 2 4 3 2" xfId="23860" xr:uid="{70A9FAC1-790A-4285-ACF1-59FFFF578E53}"/>
    <cellStyle name="Normal 8 2 2 2 2 2 4 3 2 2" xfId="40754" xr:uid="{95FB431D-B6B4-4928-B74E-D10F7480D868}"/>
    <cellStyle name="Normal 8 2 2 2 2 2 4 3 3" xfId="15413" xr:uid="{CCD61ADF-7068-4C9C-8CC0-EC27E99BFBCA}"/>
    <cellStyle name="Normal 8 2 2 2 2 2 4 3 4" xfId="32307" xr:uid="{7CF68DDB-E70A-4A26-AA13-991BD7F1C33D}"/>
    <cellStyle name="Normal 8 2 2 2 2 2 4 4" xfId="19643" xr:uid="{999185BC-611B-4602-9287-F7FAB0DCD1DB}"/>
    <cellStyle name="Normal 8 2 2 2 2 2 4 4 2" xfId="36537" xr:uid="{C513D4BD-5288-4CF9-815A-E65DCF5AD4A2}"/>
    <cellStyle name="Normal 8 2 2 2 2 2 4 5" xfId="11196" xr:uid="{5BD2CE7A-F007-4D1C-8A62-62B3789889ED}"/>
    <cellStyle name="Normal 8 2 2 2 2 2 4 6" xfId="28090" xr:uid="{168B6CEB-1514-4675-B37D-7AB9CCB08F64}"/>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2 2 2" xfId="26418" xr:uid="{EC9301B4-2BEA-4C51-9F6C-1B7B9DE4D425}"/>
    <cellStyle name="Normal 8 2 2 2 2 2 5 2 2 2 2" xfId="43312" xr:uid="{AD5CB355-5D34-4025-B686-E0D9D4EB379B}"/>
    <cellStyle name="Normal 8 2 2 2 2 2 5 2 2 3" xfId="17971" xr:uid="{E217A7B7-A000-46E7-80C7-18649FFD896C}"/>
    <cellStyle name="Normal 8 2 2 2 2 2 5 2 2 4" xfId="34865" xr:uid="{30834145-7C44-4617-ABA3-585385C2249B}"/>
    <cellStyle name="Normal 8 2 2 2 2 2 5 2 3" xfId="22201" xr:uid="{CA7019D8-58FF-4949-B3FF-C56496D793B0}"/>
    <cellStyle name="Normal 8 2 2 2 2 2 5 2 3 2" xfId="39095" xr:uid="{C110D1A4-7374-4B62-901E-F61AE8AE4D29}"/>
    <cellStyle name="Normal 8 2 2 2 2 2 5 2 4" xfId="13754" xr:uid="{BC23C9F2-F6BB-4D41-B457-C286CAF3BC55}"/>
    <cellStyle name="Normal 8 2 2 2 2 2 5 2 5" xfId="30648" xr:uid="{74F9D857-97A5-408F-A27D-C3E53001CF14}"/>
    <cellStyle name="Normal 8 2 2 2 2 2 5 3" xfId="6500" xr:uid="{00000000-0005-0000-0000-0000071C0000}"/>
    <cellStyle name="Normal 8 2 2 2 2 2 5 3 2" xfId="24273" xr:uid="{91A9CDD5-66FF-4177-9CBD-BB693F61AC5F}"/>
    <cellStyle name="Normal 8 2 2 2 2 2 5 3 2 2" xfId="41167" xr:uid="{5404F77E-627B-4098-89B1-71E7B0A713E9}"/>
    <cellStyle name="Normal 8 2 2 2 2 2 5 3 3" xfId="15826" xr:uid="{CBBF6A04-494B-4251-92CD-428C7D20CF79}"/>
    <cellStyle name="Normal 8 2 2 2 2 2 5 3 4" xfId="32720" xr:uid="{BEDD74BA-2241-47FD-9FD9-EE1E219024A5}"/>
    <cellStyle name="Normal 8 2 2 2 2 2 5 4" xfId="20056" xr:uid="{6CE8EE03-8D6E-47AF-91DC-5FEEB9C8E6C9}"/>
    <cellStyle name="Normal 8 2 2 2 2 2 5 4 2" xfId="36950" xr:uid="{ED1A6EE0-4AA8-4972-9132-69B7FE7450C8}"/>
    <cellStyle name="Normal 8 2 2 2 2 2 5 5" xfId="11609" xr:uid="{6289EDE5-9D6E-4B7A-B0A2-918498CBD4FE}"/>
    <cellStyle name="Normal 8 2 2 2 2 2 5 6" xfId="28503" xr:uid="{CFDD2175-24C5-4090-A6FC-9281DEF1086C}"/>
    <cellStyle name="Normal 8 2 2 2 2 2 6" xfId="2630" xr:uid="{00000000-0005-0000-0000-0000081C0000}"/>
    <cellStyle name="Normal 8 2 2 2 2 2 6 2" xfId="6913" xr:uid="{00000000-0005-0000-0000-0000091C0000}"/>
    <cellStyle name="Normal 8 2 2 2 2 2 6 2 2" xfId="24686" xr:uid="{128EE1A9-D89B-4325-B165-911C41AD7EFF}"/>
    <cellStyle name="Normal 8 2 2 2 2 2 6 2 2 2" xfId="41580" xr:uid="{2E7354B6-1F33-4344-BB35-510A7208E022}"/>
    <cellStyle name="Normal 8 2 2 2 2 2 6 2 3" xfId="16239" xr:uid="{66A9DE50-C81A-4CA8-95BD-C7D731DFCB6D}"/>
    <cellStyle name="Normal 8 2 2 2 2 2 6 2 4" xfId="33133" xr:uid="{F453E066-0E36-42F3-AF8E-1CA7E3EB8D28}"/>
    <cellStyle name="Normal 8 2 2 2 2 2 6 3" xfId="20469" xr:uid="{996BED4D-FF4F-4752-AB7A-D7C9F58C6537}"/>
    <cellStyle name="Normal 8 2 2 2 2 2 6 3 2" xfId="37363" xr:uid="{A982B36B-DCE8-4CA8-91EA-07A18316E166}"/>
    <cellStyle name="Normal 8 2 2 2 2 2 6 4" xfId="12022" xr:uid="{5FBA1E7A-E77D-4596-9C65-1997633CC641}"/>
    <cellStyle name="Normal 8 2 2 2 2 2 6 5" xfId="28916" xr:uid="{AEA840B2-EDAF-4E13-8F31-FFD1CDD1B852}"/>
    <cellStyle name="Normal 8 2 2 2 2 2 7" xfId="4848" xr:uid="{00000000-0005-0000-0000-00000A1C0000}"/>
    <cellStyle name="Normal 8 2 2 2 2 2 7 2" xfId="22621" xr:uid="{4C5D5BBD-8BA2-46C9-8A73-071207530C7C}"/>
    <cellStyle name="Normal 8 2 2 2 2 2 7 2 2" xfId="39515" xr:uid="{47FCF4CC-31EA-4F95-B00F-22D25761DAAE}"/>
    <cellStyle name="Normal 8 2 2 2 2 2 7 3" xfId="14174" xr:uid="{E05AF343-0381-4418-A143-D5EE3838B2C6}"/>
    <cellStyle name="Normal 8 2 2 2 2 2 7 4" xfId="31068" xr:uid="{179E9C11-7E9F-4816-936B-1910BBDE6AF6}"/>
    <cellStyle name="Normal 8 2 2 2 2 2 8" xfId="9146" xr:uid="{0E570703-055D-406D-8BD9-575AF6037A75}"/>
    <cellStyle name="Normal 8 2 2 2 2 2 8 2" xfId="18404" xr:uid="{18A4D812-2D42-4DF6-A992-3B6F979C24B6}"/>
    <cellStyle name="Normal 8 2 2 2 2 2 8 3" xfId="35298" xr:uid="{9076C476-4E30-4E65-B44C-F6885BC9062B}"/>
    <cellStyle name="Normal 8 2 2 2 2 2 9" xfId="9957" xr:uid="{115C3EB8-B501-47DF-AB92-FBC3EBEA248D}"/>
    <cellStyle name="Normal 8 2 2 2 2 3" xfId="949" xr:uid="{00000000-0005-0000-0000-00000B1C0000}"/>
    <cellStyle name="Normal 8 2 2 2 2 3 2" xfId="3183" xr:uid="{00000000-0005-0000-0000-00000C1C0000}"/>
    <cellStyle name="Normal 8 2 2 2 2 3 2 2" xfId="7405" xr:uid="{00000000-0005-0000-0000-00000D1C0000}"/>
    <cellStyle name="Normal 8 2 2 2 2 3 2 2 2" xfId="25178" xr:uid="{79BD3B7E-D7D2-47AC-8BD0-CD2D4F24CD47}"/>
    <cellStyle name="Normal 8 2 2 2 2 3 2 2 2 2" xfId="42072" xr:uid="{93BF6FAE-258B-4293-8AFA-88B524B08EDD}"/>
    <cellStyle name="Normal 8 2 2 2 2 3 2 2 3" xfId="16731" xr:uid="{5FA6CAD7-001F-4ECA-9EF3-3AB1FE5E3F0D}"/>
    <cellStyle name="Normal 8 2 2 2 2 3 2 2 4" xfId="33625" xr:uid="{791542E4-C35F-43C5-9DDE-123628E5C5BF}"/>
    <cellStyle name="Normal 8 2 2 2 2 3 2 3" xfId="20961" xr:uid="{611B3604-4F10-40C0-96C5-C9067EFA326B}"/>
    <cellStyle name="Normal 8 2 2 2 2 3 2 3 2" xfId="37855" xr:uid="{FF8C4E4F-ECB0-4AB5-8D10-9CBCB91D70CF}"/>
    <cellStyle name="Normal 8 2 2 2 2 3 2 4" xfId="12514" xr:uid="{6B74912F-95BE-4355-871E-F56A184D2BE6}"/>
    <cellStyle name="Normal 8 2 2 2 2 3 2 5" xfId="29408" xr:uid="{A1ABE281-CBCF-4503-8301-8742FBEC2B57}"/>
    <cellStyle name="Normal 8 2 2 2 2 3 3" xfId="5260" xr:uid="{00000000-0005-0000-0000-00000E1C0000}"/>
    <cellStyle name="Normal 8 2 2 2 2 3 3 2" xfId="23033" xr:uid="{D7949783-3105-488E-B92E-F9BCB6B24F6F}"/>
    <cellStyle name="Normal 8 2 2 2 2 3 3 2 2" xfId="39927" xr:uid="{390E4F24-1BDF-4AEF-8F20-C0F6BDC127E5}"/>
    <cellStyle name="Normal 8 2 2 2 2 3 3 3" xfId="14586" xr:uid="{39175317-6C93-4B52-843F-FC4DA0E70689}"/>
    <cellStyle name="Normal 8 2 2 2 2 3 3 4" xfId="31480" xr:uid="{029078E8-F77F-4F5B-8D83-9DD0327023DB}"/>
    <cellStyle name="Normal 8 2 2 2 2 3 4" xfId="9364" xr:uid="{21426B7C-FC96-483C-B560-AC4767107497}"/>
    <cellStyle name="Normal 8 2 2 2 2 3 4 2" xfId="18816" xr:uid="{7553A238-EC21-410C-A683-6CE6739C0B8C}"/>
    <cellStyle name="Normal 8 2 2 2 2 3 4 3" xfId="35710" xr:uid="{48E98C7E-FC0A-401C-83FC-041C46CFDE09}"/>
    <cellStyle name="Normal 8 2 2 2 2 3 5" xfId="10369" xr:uid="{AC4EBE9A-5627-436A-900D-B72439C8CF5A}"/>
    <cellStyle name="Normal 8 2 2 2 2 3 6" xfId="27263" xr:uid="{21E29C7F-5BD9-46F1-8A70-9DB41386853C}"/>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2 2 2" xfId="25591" xr:uid="{650A91F8-8F2C-4D09-A541-866205812831}"/>
    <cellStyle name="Normal 8 2 2 2 2 4 2 2 2 2" xfId="42485" xr:uid="{759747FE-9532-4F34-AAA9-F9C2791BBA82}"/>
    <cellStyle name="Normal 8 2 2 2 2 4 2 2 3" xfId="17144" xr:uid="{4A2C09A8-9FC5-497E-8DEB-F9B0D17733E9}"/>
    <cellStyle name="Normal 8 2 2 2 2 4 2 2 4" xfId="34038" xr:uid="{837CA7DC-BAB6-4DD0-9EB9-BC0E5D160183}"/>
    <cellStyle name="Normal 8 2 2 2 2 4 2 3" xfId="21374" xr:uid="{8B5FC6AC-DA4E-426D-9B5B-538C91E6CC7F}"/>
    <cellStyle name="Normal 8 2 2 2 2 4 2 3 2" xfId="38268" xr:uid="{D9CE5566-67F8-4EA4-9B1E-A2E9CA0E0E27}"/>
    <cellStyle name="Normal 8 2 2 2 2 4 2 4" xfId="12927" xr:uid="{F0F78032-7A76-45C7-AC36-FAD19C11DF90}"/>
    <cellStyle name="Normal 8 2 2 2 2 4 2 5" xfId="29821" xr:uid="{22323CA1-B47B-4555-9699-013990D3625F}"/>
    <cellStyle name="Normal 8 2 2 2 2 4 3" xfId="5673" xr:uid="{00000000-0005-0000-0000-0000121C0000}"/>
    <cellStyle name="Normal 8 2 2 2 2 4 3 2" xfId="23446" xr:uid="{E5C31963-FB52-49C1-836A-C38D3443435E}"/>
    <cellStyle name="Normal 8 2 2 2 2 4 3 2 2" xfId="40340" xr:uid="{6542ECE0-EE03-4180-A486-A85B8372F5B4}"/>
    <cellStyle name="Normal 8 2 2 2 2 4 3 3" xfId="14999" xr:uid="{D1810E57-FC27-4B56-8122-389DA73514E4}"/>
    <cellStyle name="Normal 8 2 2 2 2 4 3 4" xfId="31893" xr:uid="{91BCE82A-0B22-464D-8EE9-CD84A8B55157}"/>
    <cellStyle name="Normal 8 2 2 2 2 4 4" xfId="19229" xr:uid="{57375520-C8C2-4FA5-8C2B-4FAD0BED73D4}"/>
    <cellStyle name="Normal 8 2 2 2 2 4 4 2" xfId="36123" xr:uid="{844F5550-EFBB-4AF8-B82C-50CFBDA7D50E}"/>
    <cellStyle name="Normal 8 2 2 2 2 4 5" xfId="10782" xr:uid="{02F6BCB5-4AC1-4298-B9EC-842AC992D5E7}"/>
    <cellStyle name="Normal 8 2 2 2 2 4 6" xfId="27676" xr:uid="{A6564375-D883-42A2-B13A-6EC1FE2EF8E7}"/>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2 2 2" xfId="26004" xr:uid="{126E63D9-B9B8-44A9-9CDD-B3DCA1E887F5}"/>
    <cellStyle name="Normal 8 2 2 2 2 5 2 2 2 2" xfId="42898" xr:uid="{15663F54-C5F0-4B6E-8B32-B5800977FFD3}"/>
    <cellStyle name="Normal 8 2 2 2 2 5 2 2 3" xfId="17557" xr:uid="{6C02D249-DD11-4731-A538-8FD75CB51F8E}"/>
    <cellStyle name="Normal 8 2 2 2 2 5 2 2 4" xfId="34451" xr:uid="{20EFE39B-D4B9-4100-A200-166114246E4E}"/>
    <cellStyle name="Normal 8 2 2 2 2 5 2 3" xfId="21787" xr:uid="{EF133B78-B3A9-41DA-87FF-5FE5500F4C88}"/>
    <cellStyle name="Normal 8 2 2 2 2 5 2 3 2" xfId="38681" xr:uid="{52CD929B-6F4A-46B7-9BD1-1B0A0C96E03A}"/>
    <cellStyle name="Normal 8 2 2 2 2 5 2 4" xfId="13340" xr:uid="{90AF31BC-CBDF-4815-8997-F5C074B711A9}"/>
    <cellStyle name="Normal 8 2 2 2 2 5 2 5" xfId="30234" xr:uid="{0EE20E9F-B8A9-4862-9048-30BCBD7A0FCA}"/>
    <cellStyle name="Normal 8 2 2 2 2 5 3" xfId="6086" xr:uid="{00000000-0005-0000-0000-0000161C0000}"/>
    <cellStyle name="Normal 8 2 2 2 2 5 3 2" xfId="23859" xr:uid="{5DC92645-0D4E-47FE-A59D-1302F20E7ABD}"/>
    <cellStyle name="Normal 8 2 2 2 2 5 3 2 2" xfId="40753" xr:uid="{915F74A7-C319-4471-A197-8CBA426D3900}"/>
    <cellStyle name="Normal 8 2 2 2 2 5 3 3" xfId="15412" xr:uid="{88AC7E48-FAB1-4DA1-BE1D-6C3B4602D859}"/>
    <cellStyle name="Normal 8 2 2 2 2 5 3 4" xfId="32306" xr:uid="{0C7E7D94-3A26-4F82-B949-FADB45027E28}"/>
    <cellStyle name="Normal 8 2 2 2 2 5 4" xfId="19642" xr:uid="{6649072B-1F6B-4C73-B4A7-59412690A156}"/>
    <cellStyle name="Normal 8 2 2 2 2 5 4 2" xfId="36536" xr:uid="{703B5B1E-47BE-4311-9593-3A472B013A59}"/>
    <cellStyle name="Normal 8 2 2 2 2 5 5" xfId="11195" xr:uid="{7713BC72-5328-48EE-A9C9-B1497050A01E}"/>
    <cellStyle name="Normal 8 2 2 2 2 5 6" xfId="28089" xr:uid="{DDB759E6-1929-41AE-BFC1-802EFB5A7ED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2 2 2" xfId="26417" xr:uid="{C0D4DD0C-C1EE-4920-9C22-E0A4854574AF}"/>
    <cellStyle name="Normal 8 2 2 2 2 6 2 2 2 2" xfId="43311" xr:uid="{E073C862-65F6-41E3-BDB5-86491EA3B127}"/>
    <cellStyle name="Normal 8 2 2 2 2 6 2 2 3" xfId="17970" xr:uid="{9A9D9E97-5BBF-42A1-B913-F2ADE1EE27DF}"/>
    <cellStyle name="Normal 8 2 2 2 2 6 2 2 4" xfId="34864" xr:uid="{C5E3895F-39DC-435A-9108-8F348F4B6297}"/>
    <cellStyle name="Normal 8 2 2 2 2 6 2 3" xfId="22200" xr:uid="{D8C7DA5D-D882-404B-96D5-2C0FEFDC85C5}"/>
    <cellStyle name="Normal 8 2 2 2 2 6 2 3 2" xfId="39094" xr:uid="{534C2177-9EF2-414B-B6A0-D58E6B779578}"/>
    <cellStyle name="Normal 8 2 2 2 2 6 2 4" xfId="13753" xr:uid="{20F332EA-B55C-46D4-A70D-FE9BF4ACE465}"/>
    <cellStyle name="Normal 8 2 2 2 2 6 2 5" xfId="30647" xr:uid="{31CE71BA-DA79-4EAE-9B75-CCBF1240B262}"/>
    <cellStyle name="Normal 8 2 2 2 2 6 3" xfId="6499" xr:uid="{00000000-0005-0000-0000-00001A1C0000}"/>
    <cellStyle name="Normal 8 2 2 2 2 6 3 2" xfId="24272" xr:uid="{79DA55A2-22B4-4909-BFF5-B96E752F09B9}"/>
    <cellStyle name="Normal 8 2 2 2 2 6 3 2 2" xfId="41166" xr:uid="{F13BAA41-5321-4EEB-B676-1C0BBE4DCD36}"/>
    <cellStyle name="Normal 8 2 2 2 2 6 3 3" xfId="15825" xr:uid="{5CED020D-7CA2-48C5-AEC2-B6C2D4485E60}"/>
    <cellStyle name="Normal 8 2 2 2 2 6 3 4" xfId="32719" xr:uid="{5AF28F70-2A20-48B4-A687-6793B4BF0C45}"/>
    <cellStyle name="Normal 8 2 2 2 2 6 4" xfId="20055" xr:uid="{0CB9CB7E-A0F8-4E9B-B0B1-59CEB18118BE}"/>
    <cellStyle name="Normal 8 2 2 2 2 6 4 2" xfId="36949" xr:uid="{E05088A1-7D4A-42C2-AC9B-3DAA46CB90D3}"/>
    <cellStyle name="Normal 8 2 2 2 2 6 5" xfId="11608" xr:uid="{1BB11597-CFAF-4DC6-9106-2AB6303C8E0A}"/>
    <cellStyle name="Normal 8 2 2 2 2 6 6" xfId="28502" xr:uid="{FD2A66FB-7E13-4A25-B8F9-8E9D82234CD4}"/>
    <cellStyle name="Normal 8 2 2 2 2 7" xfId="2629" xr:uid="{00000000-0005-0000-0000-00001B1C0000}"/>
    <cellStyle name="Normal 8 2 2 2 2 7 2" xfId="6912" xr:uid="{00000000-0005-0000-0000-00001C1C0000}"/>
    <cellStyle name="Normal 8 2 2 2 2 7 2 2" xfId="24685" xr:uid="{9925F078-5F1A-427F-985E-4520D81ADD58}"/>
    <cellStyle name="Normal 8 2 2 2 2 7 2 2 2" xfId="41579" xr:uid="{A22F4B67-7886-458A-88B9-8381F53F1ED5}"/>
    <cellStyle name="Normal 8 2 2 2 2 7 2 3" xfId="16238" xr:uid="{68D31D2E-596D-4A92-B235-23056AAF838A}"/>
    <cellStyle name="Normal 8 2 2 2 2 7 2 4" xfId="33132" xr:uid="{6A8C5261-7146-47E0-82F6-A31D4E5E4231}"/>
    <cellStyle name="Normal 8 2 2 2 2 7 3" xfId="20468" xr:uid="{6BEE16B7-1DE0-4CE0-BB66-9D14494416E5}"/>
    <cellStyle name="Normal 8 2 2 2 2 7 3 2" xfId="37362" xr:uid="{8B81B7A9-0B89-4E26-B857-E12703F87C03}"/>
    <cellStyle name="Normal 8 2 2 2 2 7 4" xfId="12021" xr:uid="{A0FACAE7-77CB-442D-AF5D-D5C36F08DF00}"/>
    <cellStyle name="Normal 8 2 2 2 2 7 5" xfId="28915" xr:uid="{39D2AD38-695B-42F7-ABDD-5ACD8DDA0A8A}"/>
    <cellStyle name="Normal 8 2 2 2 2 8" xfId="4847" xr:uid="{00000000-0005-0000-0000-00001D1C0000}"/>
    <cellStyle name="Normal 8 2 2 2 2 8 2" xfId="22620" xr:uid="{67C54CFD-4192-4914-8DF0-F1438B5C1442}"/>
    <cellStyle name="Normal 8 2 2 2 2 8 2 2" xfId="39514" xr:uid="{76706CF7-CEFF-44CB-A97D-3126C0A17CFF}"/>
    <cellStyle name="Normal 8 2 2 2 2 8 3" xfId="14173" xr:uid="{B91FD0E3-48AD-4BD0-93C3-5BFB89EABB36}"/>
    <cellStyle name="Normal 8 2 2 2 2 8 4" xfId="31067" xr:uid="{0FF3652D-A147-4F9C-B638-F8C2FCD60A0D}"/>
    <cellStyle name="Normal 8 2 2 2 2 9" xfId="8939" xr:uid="{385BAC75-25D1-414A-8E33-9B6DCCA130DE}"/>
    <cellStyle name="Normal 8 2 2 2 2 9 2" xfId="18403" xr:uid="{133748FA-5B83-41B2-80E9-8A79DC68FF92}"/>
    <cellStyle name="Normal 8 2 2 2 2 9 3" xfId="35297" xr:uid="{C5EBBE3E-CC75-4D41-A26F-9FF86E474F93}"/>
    <cellStyle name="Normal 8 2 2 2 3" xfId="484" xr:uid="{00000000-0005-0000-0000-00001E1C0000}"/>
    <cellStyle name="Normal 8 2 2 2 3 10" xfId="26852" xr:uid="{1C4509A0-4C82-47D7-B1A6-84F5C67E8EE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2 2 2" xfId="25180" xr:uid="{FBB32C49-1F80-4647-8E17-EE98EE25F1A8}"/>
    <cellStyle name="Normal 8 2 2 2 3 2 2 2 2 2" xfId="42074" xr:uid="{E76F5FA4-6481-41E8-8891-1FFDE00CBAB3}"/>
    <cellStyle name="Normal 8 2 2 2 3 2 2 2 3" xfId="16733" xr:uid="{B938055A-1BCF-43CD-B4B2-5F92B90D0F25}"/>
    <cellStyle name="Normal 8 2 2 2 3 2 2 2 4" xfId="33627" xr:uid="{38B92A0C-3D8E-43FB-A2E5-EBD652451C5C}"/>
    <cellStyle name="Normal 8 2 2 2 3 2 2 3" xfId="20963" xr:uid="{7FE128D6-CFF0-403E-9B69-3DCB2BF731BF}"/>
    <cellStyle name="Normal 8 2 2 2 3 2 2 3 2" xfId="37857" xr:uid="{8A777E46-044E-4AE1-A3FB-DD1BBC63BCDB}"/>
    <cellStyle name="Normal 8 2 2 2 3 2 2 4" xfId="12516" xr:uid="{B41E766C-A23D-415C-B15E-47BF1C5EDD9A}"/>
    <cellStyle name="Normal 8 2 2 2 3 2 2 5" xfId="29410" xr:uid="{E751AC9D-000E-4839-B3BB-E29026A8C5D6}"/>
    <cellStyle name="Normal 8 2 2 2 3 2 3" xfId="5262" xr:uid="{00000000-0005-0000-0000-0000221C0000}"/>
    <cellStyle name="Normal 8 2 2 2 3 2 3 2" xfId="23035" xr:uid="{7BA55542-1EDA-4086-BC0E-CA37785301B2}"/>
    <cellStyle name="Normal 8 2 2 2 3 2 3 2 2" xfId="39929" xr:uid="{0A16C8F5-C4B4-412A-B50A-A7CC0701AA68}"/>
    <cellStyle name="Normal 8 2 2 2 3 2 3 3" xfId="14588" xr:uid="{1C8ED48E-9026-41C5-A01E-D5EB3F5A31F9}"/>
    <cellStyle name="Normal 8 2 2 2 3 2 3 4" xfId="31482" xr:uid="{09FCF1D7-01C6-41BA-90A0-C37A73CDCAD1}"/>
    <cellStyle name="Normal 8 2 2 2 3 2 4" xfId="9468" xr:uid="{8CC4AD0E-72B4-4935-8967-B171D7B5EF8D}"/>
    <cellStyle name="Normal 8 2 2 2 3 2 4 2" xfId="18818" xr:uid="{E4FBC25C-FF51-41EF-9323-9256990214E7}"/>
    <cellStyle name="Normal 8 2 2 2 3 2 4 3" xfId="35712" xr:uid="{BC745092-3511-4490-BADC-1074A59D8F7E}"/>
    <cellStyle name="Normal 8 2 2 2 3 2 5" xfId="10371" xr:uid="{49DA192A-92CC-44FE-8AF6-D7590752417C}"/>
    <cellStyle name="Normal 8 2 2 2 3 2 6" xfId="27265" xr:uid="{73267CBC-F1A1-477D-BD64-4B9D51CBC594}"/>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2 2 2" xfId="25593" xr:uid="{5BC5B8EE-3599-4FAF-BBB8-F7B6567423E9}"/>
    <cellStyle name="Normal 8 2 2 2 3 3 2 2 2 2" xfId="42487" xr:uid="{B7BB69D7-9425-4A17-BEA7-E017EE222360}"/>
    <cellStyle name="Normal 8 2 2 2 3 3 2 2 3" xfId="17146" xr:uid="{DA2E35C0-C769-4AF2-AA4A-282783BD6F0E}"/>
    <cellStyle name="Normal 8 2 2 2 3 3 2 2 4" xfId="34040" xr:uid="{01E3BC7B-1A4C-42A6-A99E-35C156A68BB0}"/>
    <cellStyle name="Normal 8 2 2 2 3 3 2 3" xfId="21376" xr:uid="{5E4FC487-62A8-4CD9-A832-FF86FF86E6A8}"/>
    <cellStyle name="Normal 8 2 2 2 3 3 2 3 2" xfId="38270" xr:uid="{76E2BBFE-B7D0-4E38-89B0-22B1656CCE3D}"/>
    <cellStyle name="Normal 8 2 2 2 3 3 2 4" xfId="12929" xr:uid="{76F918D5-E08F-4E83-BED7-A133CE68FE82}"/>
    <cellStyle name="Normal 8 2 2 2 3 3 2 5" xfId="29823" xr:uid="{82699D15-479E-4376-AC48-31C94113A1D1}"/>
    <cellStyle name="Normal 8 2 2 2 3 3 3" xfId="5675" xr:uid="{00000000-0005-0000-0000-0000261C0000}"/>
    <cellStyle name="Normal 8 2 2 2 3 3 3 2" xfId="23448" xr:uid="{5614620B-D817-44F1-855B-1B573EE7B571}"/>
    <cellStyle name="Normal 8 2 2 2 3 3 3 2 2" xfId="40342" xr:uid="{4C82F214-0D29-4C7F-8A4F-5EC6CF9E79AA}"/>
    <cellStyle name="Normal 8 2 2 2 3 3 3 3" xfId="15001" xr:uid="{8F59E496-B452-47F2-9681-9D53A4EBDD6A}"/>
    <cellStyle name="Normal 8 2 2 2 3 3 3 4" xfId="31895" xr:uid="{44B68EAD-3A48-4CCC-AB01-C112A47A9268}"/>
    <cellStyle name="Normal 8 2 2 2 3 3 4" xfId="19231" xr:uid="{E75687DD-2710-4C49-9250-1C3EEDFAD5BF}"/>
    <cellStyle name="Normal 8 2 2 2 3 3 4 2" xfId="36125" xr:uid="{25FE8F71-986B-4B8C-B9C5-57ED1E11C3F9}"/>
    <cellStyle name="Normal 8 2 2 2 3 3 5" xfId="10784" xr:uid="{3439A8C8-F5DB-44B9-A0DA-6EC0DFBA36A6}"/>
    <cellStyle name="Normal 8 2 2 2 3 3 6" xfId="27678" xr:uid="{8D303B05-B7B9-4273-9023-CBCC651475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2 2 2" xfId="26006" xr:uid="{9B8CD444-DBBA-4062-A586-00A9CAF66B91}"/>
    <cellStyle name="Normal 8 2 2 2 3 4 2 2 2 2" xfId="42900" xr:uid="{DD20AB2F-0793-4ED1-A70F-FF57610C964F}"/>
    <cellStyle name="Normal 8 2 2 2 3 4 2 2 3" xfId="17559" xr:uid="{AAA94D3A-313B-4C6C-AF6F-200E96133E9D}"/>
    <cellStyle name="Normal 8 2 2 2 3 4 2 2 4" xfId="34453" xr:uid="{FFA593D2-BD43-416C-94F1-8B9280EC823B}"/>
    <cellStyle name="Normal 8 2 2 2 3 4 2 3" xfId="21789" xr:uid="{E4A7B25A-5DF7-4F2A-BCBF-56606FA37FB2}"/>
    <cellStyle name="Normal 8 2 2 2 3 4 2 3 2" xfId="38683" xr:uid="{CB01CB06-15D5-47A4-84DD-D967B198CF8E}"/>
    <cellStyle name="Normal 8 2 2 2 3 4 2 4" xfId="13342" xr:uid="{DFD65CE2-063F-4BDC-93B1-8110A8A002F1}"/>
    <cellStyle name="Normal 8 2 2 2 3 4 2 5" xfId="30236" xr:uid="{456F6607-8832-42B5-9237-31E2DB3272C7}"/>
    <cellStyle name="Normal 8 2 2 2 3 4 3" xfId="6088" xr:uid="{00000000-0005-0000-0000-00002A1C0000}"/>
    <cellStyle name="Normal 8 2 2 2 3 4 3 2" xfId="23861" xr:uid="{1C02814C-0EE4-40E9-B644-C3097752CE84}"/>
    <cellStyle name="Normal 8 2 2 2 3 4 3 2 2" xfId="40755" xr:uid="{3316DB52-8CBB-4AF1-B379-C8B4969E9180}"/>
    <cellStyle name="Normal 8 2 2 2 3 4 3 3" xfId="15414" xr:uid="{61432784-3B21-462B-89E5-A02E5C203E4C}"/>
    <cellStyle name="Normal 8 2 2 2 3 4 3 4" xfId="32308" xr:uid="{805173C6-AF55-4D81-87D4-E530A39F7ED1}"/>
    <cellStyle name="Normal 8 2 2 2 3 4 4" xfId="19644" xr:uid="{3F2A058E-BCAE-43E2-8869-59AA1BEE3590}"/>
    <cellStyle name="Normal 8 2 2 2 3 4 4 2" xfId="36538" xr:uid="{739B0EA9-B93F-4694-A9FE-BCE7F2DE0DA9}"/>
    <cellStyle name="Normal 8 2 2 2 3 4 5" xfId="11197" xr:uid="{4B3071FD-15EB-4676-95F9-054FD79EBFD3}"/>
    <cellStyle name="Normal 8 2 2 2 3 4 6" xfId="28091" xr:uid="{63CEC0E8-DBA1-4269-9494-C9DEEA5DF67C}"/>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2 2 2" xfId="26419" xr:uid="{C4523D30-8913-4B3B-92CB-A1D846F252A0}"/>
    <cellStyle name="Normal 8 2 2 2 3 5 2 2 2 2" xfId="43313" xr:uid="{F890FC39-5E71-4D0E-A8DA-2A57EB5AC370}"/>
    <cellStyle name="Normal 8 2 2 2 3 5 2 2 3" xfId="17972" xr:uid="{910762B8-6F70-4903-B9DA-9FC196A3A65B}"/>
    <cellStyle name="Normal 8 2 2 2 3 5 2 2 4" xfId="34866" xr:uid="{AD31408D-90A2-4550-9D5A-FB8E836CBEA0}"/>
    <cellStyle name="Normal 8 2 2 2 3 5 2 3" xfId="22202" xr:uid="{C057187B-97D5-4966-AE1B-D0325C59F142}"/>
    <cellStyle name="Normal 8 2 2 2 3 5 2 3 2" xfId="39096" xr:uid="{FCE800B9-77DF-4078-804C-3404016FCDAC}"/>
    <cellStyle name="Normal 8 2 2 2 3 5 2 4" xfId="13755" xr:uid="{BD47955A-A529-4475-90A8-4D640420631E}"/>
    <cellStyle name="Normal 8 2 2 2 3 5 2 5" xfId="30649" xr:uid="{08435376-4E94-416F-8B01-E8E37CB8F11D}"/>
    <cellStyle name="Normal 8 2 2 2 3 5 3" xfId="6501" xr:uid="{00000000-0005-0000-0000-00002E1C0000}"/>
    <cellStyle name="Normal 8 2 2 2 3 5 3 2" xfId="24274" xr:uid="{28800501-4288-4422-8056-86980526619E}"/>
    <cellStyle name="Normal 8 2 2 2 3 5 3 2 2" xfId="41168" xr:uid="{911B0C2F-5D03-4202-B672-4C498B76BA43}"/>
    <cellStyle name="Normal 8 2 2 2 3 5 3 3" xfId="15827" xr:uid="{2C750257-77C8-4F78-AB95-6A40F0CBE08F}"/>
    <cellStyle name="Normal 8 2 2 2 3 5 3 4" xfId="32721" xr:uid="{13DF3847-D64A-4C90-8560-5954F4B9EB28}"/>
    <cellStyle name="Normal 8 2 2 2 3 5 4" xfId="20057" xr:uid="{7FC53682-D420-4AAB-A914-A283441DCEEB}"/>
    <cellStyle name="Normal 8 2 2 2 3 5 4 2" xfId="36951" xr:uid="{E1C5B13C-B1F1-4C55-98E4-95E30C6DB97C}"/>
    <cellStyle name="Normal 8 2 2 2 3 5 5" xfId="11610" xr:uid="{A5168B83-14AF-4F76-AF5E-1B92BD3EE230}"/>
    <cellStyle name="Normal 8 2 2 2 3 5 6" xfId="28504" xr:uid="{A2BB6031-CEAD-4B09-B90E-1CD9F73B4D4D}"/>
    <cellStyle name="Normal 8 2 2 2 3 6" xfId="2631" xr:uid="{00000000-0005-0000-0000-00002F1C0000}"/>
    <cellStyle name="Normal 8 2 2 2 3 6 2" xfId="6914" xr:uid="{00000000-0005-0000-0000-0000301C0000}"/>
    <cellStyle name="Normal 8 2 2 2 3 6 2 2" xfId="24687" xr:uid="{5E0352C0-0BD1-4A58-8110-517B5528B38A}"/>
    <cellStyle name="Normal 8 2 2 2 3 6 2 2 2" xfId="41581" xr:uid="{B45E0246-189C-4192-8B6E-06200965226C}"/>
    <cellStyle name="Normal 8 2 2 2 3 6 2 3" xfId="16240" xr:uid="{5E9AA30D-D398-4DE0-90F4-2026D79EE560}"/>
    <cellStyle name="Normal 8 2 2 2 3 6 2 4" xfId="33134" xr:uid="{460A2141-28F4-47F9-82A2-ADD2CD5D8FC5}"/>
    <cellStyle name="Normal 8 2 2 2 3 6 3" xfId="20470" xr:uid="{E2FE361A-C104-4019-8746-6FFCFB651ECE}"/>
    <cellStyle name="Normal 8 2 2 2 3 6 3 2" xfId="37364" xr:uid="{FBBEB040-C1ED-410B-B57B-D87B716345FC}"/>
    <cellStyle name="Normal 8 2 2 2 3 6 4" xfId="12023" xr:uid="{193ED792-63B7-4855-BCE6-163B7C0227D8}"/>
    <cellStyle name="Normal 8 2 2 2 3 6 5" xfId="28917" xr:uid="{28A9B23D-292B-4D4F-8154-02994401E6E4}"/>
    <cellStyle name="Normal 8 2 2 2 3 7" xfId="4849" xr:uid="{00000000-0005-0000-0000-0000311C0000}"/>
    <cellStyle name="Normal 8 2 2 2 3 7 2" xfId="22622" xr:uid="{F9FD74CA-DEB5-4F1E-95D0-9D55E235FAC4}"/>
    <cellStyle name="Normal 8 2 2 2 3 7 2 2" xfId="39516" xr:uid="{AD92B7E4-0FF9-4D70-BD11-E0F38A0502E2}"/>
    <cellStyle name="Normal 8 2 2 2 3 7 3" xfId="14175" xr:uid="{75776713-7349-459A-84CC-083E1917EFEA}"/>
    <cellStyle name="Normal 8 2 2 2 3 7 4" xfId="31069" xr:uid="{D68D775D-8B5D-4525-8EDA-F97E4B9F49A0}"/>
    <cellStyle name="Normal 8 2 2 2 3 8" xfId="9043" xr:uid="{BAC463DF-40A7-4F07-ADD3-7274E57F505C}"/>
    <cellStyle name="Normal 8 2 2 2 3 8 2" xfId="18405" xr:uid="{267AC915-71B8-484E-9785-A525DBE9D1F7}"/>
    <cellStyle name="Normal 8 2 2 2 3 8 3" xfId="35299" xr:uid="{C55477A9-BBD1-44E3-A492-98EBAF952E5D}"/>
    <cellStyle name="Normal 8 2 2 2 3 9" xfId="9958" xr:uid="{D225D3A6-A1CD-47A7-80CE-52FB72461BC7}"/>
    <cellStyle name="Normal 8 2 2 2 4" xfId="948" xr:uid="{00000000-0005-0000-0000-0000321C0000}"/>
    <cellStyle name="Normal 8 2 2 2 4 2" xfId="3182" xr:uid="{00000000-0005-0000-0000-0000331C0000}"/>
    <cellStyle name="Normal 8 2 2 2 4 2 2" xfId="7404" xr:uid="{00000000-0005-0000-0000-0000341C0000}"/>
    <cellStyle name="Normal 8 2 2 2 4 2 2 2" xfId="25177" xr:uid="{E084026C-6346-4A2B-AF64-84B2C35DF33B}"/>
    <cellStyle name="Normal 8 2 2 2 4 2 2 2 2" xfId="42071" xr:uid="{55EE00F1-2A20-44A7-B48F-81711B513624}"/>
    <cellStyle name="Normal 8 2 2 2 4 2 2 3" xfId="16730" xr:uid="{03279813-816E-4FDD-BF8A-672A9E44C337}"/>
    <cellStyle name="Normal 8 2 2 2 4 2 2 4" xfId="33624" xr:uid="{F992AAE8-91C5-4E10-8885-F352040B8FCD}"/>
    <cellStyle name="Normal 8 2 2 2 4 2 3" xfId="20960" xr:uid="{48B11857-E56A-4BDF-A69F-B015DC856BA4}"/>
    <cellStyle name="Normal 8 2 2 2 4 2 3 2" xfId="37854" xr:uid="{3D863E90-C584-4A73-AEC3-56ACBD4F4016}"/>
    <cellStyle name="Normal 8 2 2 2 4 2 4" xfId="12513" xr:uid="{8AB16758-0C9C-42C9-8007-D0F66FA5DEE3}"/>
    <cellStyle name="Normal 8 2 2 2 4 2 5" xfId="29407" xr:uid="{DA96E28E-984A-4E1B-8A38-1E153E27309D}"/>
    <cellStyle name="Normal 8 2 2 2 4 3" xfId="5259" xr:uid="{00000000-0005-0000-0000-0000351C0000}"/>
    <cellStyle name="Normal 8 2 2 2 4 3 2" xfId="23032" xr:uid="{96884947-029C-43B1-AFEA-8C22E55AE7B4}"/>
    <cellStyle name="Normal 8 2 2 2 4 3 2 2" xfId="39926" xr:uid="{7D2F3E03-63EC-46DD-9175-C964BE1A695E}"/>
    <cellStyle name="Normal 8 2 2 2 4 3 3" xfId="14585" xr:uid="{F52DECF5-EABD-4B31-85F0-E825ACB198E8}"/>
    <cellStyle name="Normal 8 2 2 2 4 3 4" xfId="31479" xr:uid="{79DEBCBC-8407-4B3B-8858-358FF2CD7976}"/>
    <cellStyle name="Normal 8 2 2 2 4 4" xfId="9261" xr:uid="{70C29865-A6DE-4682-9EB1-83E4E07FD0A7}"/>
    <cellStyle name="Normal 8 2 2 2 4 4 2" xfId="18815" xr:uid="{FA64DEC7-51E8-4DFA-9283-500F5AB3C90E}"/>
    <cellStyle name="Normal 8 2 2 2 4 4 3" xfId="35709" xr:uid="{0C3039F1-B36C-4D58-B914-7566889215A4}"/>
    <cellStyle name="Normal 8 2 2 2 4 5" xfId="10368" xr:uid="{1EDD3E24-2383-43F9-A5CC-06A562A301F1}"/>
    <cellStyle name="Normal 8 2 2 2 4 6" xfId="27262" xr:uid="{2E07A8DF-B9D3-47B0-BBE6-1778F8E7C188}"/>
    <cellStyle name="Normal 8 2 2 2 5" xfId="1365" xr:uid="{00000000-0005-0000-0000-0000361C0000}"/>
    <cellStyle name="Normal 8 2 2 2 5 2" xfId="3595" xr:uid="{00000000-0005-0000-0000-0000371C0000}"/>
    <cellStyle name="Normal 8 2 2 2 5 2 2" xfId="7817" xr:uid="{00000000-0005-0000-0000-0000381C0000}"/>
    <cellStyle name="Normal 8 2 2 2 5 2 2 2" xfId="25590" xr:uid="{BFB93E00-BC3A-4F48-B824-63E9E6B12E1F}"/>
    <cellStyle name="Normal 8 2 2 2 5 2 2 2 2" xfId="42484" xr:uid="{0445EC7E-DBFD-47A9-822A-438B5F1B3AB8}"/>
    <cellStyle name="Normal 8 2 2 2 5 2 2 3" xfId="17143" xr:uid="{34500F48-10C1-4AD6-92FE-4A7A0F6EF9E9}"/>
    <cellStyle name="Normal 8 2 2 2 5 2 2 4" xfId="34037" xr:uid="{F6B0FF51-2372-4157-A1DA-CC456047DF58}"/>
    <cellStyle name="Normal 8 2 2 2 5 2 3" xfId="21373" xr:uid="{4F295740-B3F8-42C8-9D70-9CD9BCAFE885}"/>
    <cellStyle name="Normal 8 2 2 2 5 2 3 2" xfId="38267" xr:uid="{15A81FB0-EE0E-449C-9265-62F64549F082}"/>
    <cellStyle name="Normal 8 2 2 2 5 2 4" xfId="12926" xr:uid="{20635414-00DB-4C69-8442-560C679B9AE7}"/>
    <cellStyle name="Normal 8 2 2 2 5 2 5" xfId="29820" xr:uid="{7CD0366A-14A0-4B24-95DF-799EA5AEDDD8}"/>
    <cellStyle name="Normal 8 2 2 2 5 3" xfId="5672" xr:uid="{00000000-0005-0000-0000-0000391C0000}"/>
    <cellStyle name="Normal 8 2 2 2 5 3 2" xfId="23445" xr:uid="{158DC075-1BE3-43D1-A04C-1DC7B98D3DF4}"/>
    <cellStyle name="Normal 8 2 2 2 5 3 2 2" xfId="40339" xr:uid="{CEA31D47-57FB-4C4B-90C3-14A06745DED5}"/>
    <cellStyle name="Normal 8 2 2 2 5 3 3" xfId="14998" xr:uid="{18A043B5-850E-41BA-99D1-3206DCA3FABC}"/>
    <cellStyle name="Normal 8 2 2 2 5 3 4" xfId="31892" xr:uid="{54C66590-1D9A-472A-B86E-5230E8214A0A}"/>
    <cellStyle name="Normal 8 2 2 2 5 4" xfId="19228" xr:uid="{5977B187-2144-41E8-9F9F-AC647559572B}"/>
    <cellStyle name="Normal 8 2 2 2 5 4 2" xfId="36122" xr:uid="{3A2478B6-0F9E-47A7-881D-1EA0EEE4DB8D}"/>
    <cellStyle name="Normal 8 2 2 2 5 5" xfId="10781" xr:uid="{C06B4AB7-AE4F-4E87-BB6D-57A6DDC4BB82}"/>
    <cellStyle name="Normal 8 2 2 2 5 6" xfId="27675" xr:uid="{B47517BA-3F31-47FE-9BE9-4571D3754F80}"/>
    <cellStyle name="Normal 8 2 2 2 6" xfId="1778" xr:uid="{00000000-0005-0000-0000-00003A1C0000}"/>
    <cellStyle name="Normal 8 2 2 2 6 2" xfId="4008" xr:uid="{00000000-0005-0000-0000-00003B1C0000}"/>
    <cellStyle name="Normal 8 2 2 2 6 2 2" xfId="8230" xr:uid="{00000000-0005-0000-0000-00003C1C0000}"/>
    <cellStyle name="Normal 8 2 2 2 6 2 2 2" xfId="26003" xr:uid="{82273CD3-B92D-4698-865D-2C0542F192A7}"/>
    <cellStyle name="Normal 8 2 2 2 6 2 2 2 2" xfId="42897" xr:uid="{723847D6-306E-4DDB-9540-9B806B888D02}"/>
    <cellStyle name="Normal 8 2 2 2 6 2 2 3" xfId="17556" xr:uid="{A5874864-F132-4540-A360-C37902923BA8}"/>
    <cellStyle name="Normal 8 2 2 2 6 2 2 4" xfId="34450" xr:uid="{301E28EA-C4AA-46AF-B8B7-6C9918ACE71A}"/>
    <cellStyle name="Normal 8 2 2 2 6 2 3" xfId="21786" xr:uid="{6021F3F8-F1F1-4897-B6E7-E87EDF48047C}"/>
    <cellStyle name="Normal 8 2 2 2 6 2 3 2" xfId="38680" xr:uid="{A7942232-7EA1-4A7F-8CF3-6367E4BD9333}"/>
    <cellStyle name="Normal 8 2 2 2 6 2 4" xfId="13339" xr:uid="{34E4A1D3-317D-473B-9F48-CCDD63AAEBDA}"/>
    <cellStyle name="Normal 8 2 2 2 6 2 5" xfId="30233" xr:uid="{03F9570F-0ADF-4108-943C-24EAA48FBFA1}"/>
    <cellStyle name="Normal 8 2 2 2 6 3" xfId="6085" xr:uid="{00000000-0005-0000-0000-00003D1C0000}"/>
    <cellStyle name="Normal 8 2 2 2 6 3 2" xfId="23858" xr:uid="{2A6FBFAF-0A72-4AB6-980E-0F06F66A4105}"/>
    <cellStyle name="Normal 8 2 2 2 6 3 2 2" xfId="40752" xr:uid="{D690DBD5-CEED-42C8-B684-2B2F06DEC071}"/>
    <cellStyle name="Normal 8 2 2 2 6 3 3" xfId="15411" xr:uid="{2B25318D-FF28-40B3-A91B-BC048BADE9E9}"/>
    <cellStyle name="Normal 8 2 2 2 6 3 4" xfId="32305" xr:uid="{438C51BB-FC94-4848-91C6-0BCE1C185936}"/>
    <cellStyle name="Normal 8 2 2 2 6 4" xfId="19641" xr:uid="{676047FB-4214-4485-82FF-C63D019A65B2}"/>
    <cellStyle name="Normal 8 2 2 2 6 4 2" xfId="36535" xr:uid="{4B984A37-5348-41CE-B4AD-75F1514913E7}"/>
    <cellStyle name="Normal 8 2 2 2 6 5" xfId="11194" xr:uid="{83ED511D-F9BF-4243-865C-AF346D1D47B4}"/>
    <cellStyle name="Normal 8 2 2 2 6 6" xfId="28088" xr:uid="{C4ACFA7D-8A36-40B2-9058-3B90642572A3}"/>
    <cellStyle name="Normal 8 2 2 2 7" xfId="2192" xr:uid="{00000000-0005-0000-0000-00003E1C0000}"/>
    <cellStyle name="Normal 8 2 2 2 7 2" xfId="4421" xr:uid="{00000000-0005-0000-0000-00003F1C0000}"/>
    <cellStyle name="Normal 8 2 2 2 7 2 2" xfId="8643" xr:uid="{00000000-0005-0000-0000-0000401C0000}"/>
    <cellStyle name="Normal 8 2 2 2 7 2 2 2" xfId="26416" xr:uid="{5E80B973-C6B4-4C3A-816B-95210EEC1BCA}"/>
    <cellStyle name="Normal 8 2 2 2 7 2 2 2 2" xfId="43310" xr:uid="{63595651-D444-43B3-B1BC-C2F2B75483FF}"/>
    <cellStyle name="Normal 8 2 2 2 7 2 2 3" xfId="17969" xr:uid="{DAEF7B21-0E94-46CC-950D-FDDB7DC60CD3}"/>
    <cellStyle name="Normal 8 2 2 2 7 2 2 4" xfId="34863" xr:uid="{6A00E3E8-395C-438C-9DBC-9CB86FD11621}"/>
    <cellStyle name="Normal 8 2 2 2 7 2 3" xfId="22199" xr:uid="{5E351A4D-CDB2-4C34-94A3-756623AF962E}"/>
    <cellStyle name="Normal 8 2 2 2 7 2 3 2" xfId="39093" xr:uid="{4E6C18AC-3A73-42B6-A05E-7B08D1D5F830}"/>
    <cellStyle name="Normal 8 2 2 2 7 2 4" xfId="13752" xr:uid="{E265E608-4672-4DF0-BF42-743121D1FA60}"/>
    <cellStyle name="Normal 8 2 2 2 7 2 5" xfId="30646" xr:uid="{6D4006B1-B70E-4A53-9ED2-EAE45BFE58CF}"/>
    <cellStyle name="Normal 8 2 2 2 7 3" xfId="6498" xr:uid="{00000000-0005-0000-0000-0000411C0000}"/>
    <cellStyle name="Normal 8 2 2 2 7 3 2" xfId="24271" xr:uid="{BC91B4B8-E6E8-46CE-9EB2-984EAA09FD52}"/>
    <cellStyle name="Normal 8 2 2 2 7 3 2 2" xfId="41165" xr:uid="{D94E8F59-17C8-47BA-8AEB-E72CA1DB5680}"/>
    <cellStyle name="Normal 8 2 2 2 7 3 3" xfId="15824" xr:uid="{9A7D23A9-7749-43C5-A4F9-AA789F0249EC}"/>
    <cellStyle name="Normal 8 2 2 2 7 3 4" xfId="32718" xr:uid="{54CD69F5-05E2-4C73-9C57-1D457369D1C0}"/>
    <cellStyle name="Normal 8 2 2 2 7 4" xfId="20054" xr:uid="{85D18967-0A65-4B4B-BD8C-1F0CCDB490C6}"/>
    <cellStyle name="Normal 8 2 2 2 7 4 2" xfId="36948" xr:uid="{35C140C5-99AA-4701-8363-CF8ACF118354}"/>
    <cellStyle name="Normal 8 2 2 2 7 5" xfId="11607" xr:uid="{5207C7AD-B11F-40DF-AD5E-CCF4EA97848B}"/>
    <cellStyle name="Normal 8 2 2 2 7 6" xfId="28501" xr:uid="{0764B061-DE0B-4D49-85FB-45D744E7C54F}"/>
    <cellStyle name="Normal 8 2 2 2 8" xfId="2628" xr:uid="{00000000-0005-0000-0000-0000421C0000}"/>
    <cellStyle name="Normal 8 2 2 2 8 2" xfId="6911" xr:uid="{00000000-0005-0000-0000-0000431C0000}"/>
    <cellStyle name="Normal 8 2 2 2 8 2 2" xfId="24684" xr:uid="{53411F14-AD7F-4F79-94FD-E4180204E156}"/>
    <cellStyle name="Normal 8 2 2 2 8 2 2 2" xfId="41578" xr:uid="{E358B4D4-C12F-4723-8B3D-421D0D207F21}"/>
    <cellStyle name="Normal 8 2 2 2 8 2 3" xfId="16237" xr:uid="{3C6BEB56-4291-4E3B-8E39-BE528BC27C5C}"/>
    <cellStyle name="Normal 8 2 2 2 8 2 4" xfId="33131" xr:uid="{78C3058E-5C72-4320-B84A-C012B2058966}"/>
    <cellStyle name="Normal 8 2 2 2 8 3" xfId="20467" xr:uid="{33F2F3F2-E4EB-49DB-8BAF-BBD617EBF25D}"/>
    <cellStyle name="Normal 8 2 2 2 8 3 2" xfId="37361" xr:uid="{33049898-C1D1-448A-97A0-E8492B230D2F}"/>
    <cellStyle name="Normal 8 2 2 2 8 4" xfId="12020" xr:uid="{EFF0658C-753B-4919-90C2-EC18E1FBCB80}"/>
    <cellStyle name="Normal 8 2 2 2 8 5" xfId="28914" xr:uid="{5F36ED5C-CC09-498B-AEFE-24B29B935D58}"/>
    <cellStyle name="Normal 8 2 2 2 9" xfId="4846" xr:uid="{00000000-0005-0000-0000-0000441C0000}"/>
    <cellStyle name="Normal 8 2 2 2 9 2" xfId="22619" xr:uid="{02BC6552-12A7-49C1-AA0F-4ADCBD1B0375}"/>
    <cellStyle name="Normal 8 2 2 2 9 2 2" xfId="39513" xr:uid="{FE573ED9-8DD2-475C-9B59-370C6F70F224}"/>
    <cellStyle name="Normal 8 2 2 2 9 3" xfId="14172" xr:uid="{5C8DDD7A-E8CB-478A-B095-DA52DC3784A0}"/>
    <cellStyle name="Normal 8 2 2 2 9 4" xfId="31066" xr:uid="{CB38A623-0BBC-426E-98D6-C73D66B6A353}"/>
    <cellStyle name="Normal 8 2 2 3" xfId="485" xr:uid="{00000000-0005-0000-0000-0000451C0000}"/>
    <cellStyle name="Normal 8 2 2 3 10" xfId="9959" xr:uid="{8999B032-172B-48A8-8CC8-658B2723214F}"/>
    <cellStyle name="Normal 8 2 2 3 11" xfId="26853" xr:uid="{33AC6469-25C7-412B-90D0-9691366A67E9}"/>
    <cellStyle name="Normal 8 2 2 3 2" xfId="486" xr:uid="{00000000-0005-0000-0000-0000461C0000}"/>
    <cellStyle name="Normal 8 2 2 3 2 10" xfId="26854" xr:uid="{F430B5DD-FA44-4CD0-96D1-A0EF03A8D97B}"/>
    <cellStyle name="Normal 8 2 2 3 2 2" xfId="953" xr:uid="{00000000-0005-0000-0000-0000471C0000}"/>
    <cellStyle name="Normal 8 2 2 3 2 2 2" xfId="3187" xr:uid="{00000000-0005-0000-0000-0000481C0000}"/>
    <cellStyle name="Normal 8 2 2 3 2 2 2 2" xfId="7409" xr:uid="{00000000-0005-0000-0000-0000491C0000}"/>
    <cellStyle name="Normal 8 2 2 3 2 2 2 2 2" xfId="25182" xr:uid="{1659A717-B99D-47B5-AA65-61575671BCBF}"/>
    <cellStyle name="Normal 8 2 2 3 2 2 2 2 2 2" xfId="42076" xr:uid="{5EE41896-FC41-4FCA-95BA-496103495AC0}"/>
    <cellStyle name="Normal 8 2 2 3 2 2 2 2 3" xfId="16735" xr:uid="{A0F2DFF5-9C1C-481F-943E-760D246F57D5}"/>
    <cellStyle name="Normal 8 2 2 3 2 2 2 2 4" xfId="33629" xr:uid="{071DCA1A-D69C-413D-AB4D-110029CB3051}"/>
    <cellStyle name="Normal 8 2 2 3 2 2 2 3" xfId="20965" xr:uid="{81FAC7E7-0AAD-4C02-834B-C736AF7D9916}"/>
    <cellStyle name="Normal 8 2 2 3 2 2 2 3 2" xfId="37859" xr:uid="{17858ECD-2959-49F3-9FAB-A036CFF4DA9F}"/>
    <cellStyle name="Normal 8 2 2 3 2 2 2 4" xfId="12518" xr:uid="{660F942E-5F64-48F1-AC9A-BD15FD5EDB21}"/>
    <cellStyle name="Normal 8 2 2 3 2 2 2 5" xfId="29412" xr:uid="{9A795D9E-F498-4007-AA6C-D316C6C033E3}"/>
    <cellStyle name="Normal 8 2 2 3 2 2 3" xfId="5264" xr:uid="{00000000-0005-0000-0000-00004A1C0000}"/>
    <cellStyle name="Normal 8 2 2 3 2 2 3 2" xfId="23037" xr:uid="{19625D64-A46C-4EFC-B3B6-85C2FF162A92}"/>
    <cellStyle name="Normal 8 2 2 3 2 2 3 2 2" xfId="39931" xr:uid="{0E5AE9FB-4D14-459D-B87E-8E312D9A919F}"/>
    <cellStyle name="Normal 8 2 2 3 2 2 3 3" xfId="14590" xr:uid="{3E07D36E-5863-4A06-92B7-D32B274EEE36}"/>
    <cellStyle name="Normal 8 2 2 3 2 2 3 4" xfId="31484" xr:uid="{433EDB4C-578C-4483-96E5-42879FC037BA}"/>
    <cellStyle name="Normal 8 2 2 3 2 2 4" xfId="9518" xr:uid="{FDE93D5E-A6D1-456B-8726-FC2AB8FD16A4}"/>
    <cellStyle name="Normal 8 2 2 3 2 2 4 2" xfId="18820" xr:uid="{97997208-38CF-413F-AB89-780D07CEACB3}"/>
    <cellStyle name="Normal 8 2 2 3 2 2 4 3" xfId="35714" xr:uid="{CD88AA89-AAF8-459D-8765-076B7E65B056}"/>
    <cellStyle name="Normal 8 2 2 3 2 2 5" xfId="10373" xr:uid="{17160C32-194B-4D43-B3ED-7D2A1092CB4D}"/>
    <cellStyle name="Normal 8 2 2 3 2 2 6" xfId="27267" xr:uid="{C9686B0E-0897-43A5-8848-C1AD6E80E673}"/>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2 2 2" xfId="25595" xr:uid="{C06B1077-AF13-4AE7-BF77-36F1BFC47F0C}"/>
    <cellStyle name="Normal 8 2 2 3 2 3 2 2 2 2" xfId="42489" xr:uid="{75DC7897-8362-4E35-98A7-15466CF7F5E7}"/>
    <cellStyle name="Normal 8 2 2 3 2 3 2 2 3" xfId="17148" xr:uid="{0FF83997-13D6-432F-BB51-E19BA40E216E}"/>
    <cellStyle name="Normal 8 2 2 3 2 3 2 2 4" xfId="34042" xr:uid="{93D3D660-8580-45E5-AD64-67A1A3184B89}"/>
    <cellStyle name="Normal 8 2 2 3 2 3 2 3" xfId="21378" xr:uid="{1C4C66D1-1F3C-4EEE-898A-42AA03CFEFC5}"/>
    <cellStyle name="Normal 8 2 2 3 2 3 2 3 2" xfId="38272" xr:uid="{F664545A-458F-46E6-9DCD-AEB6A73B73FB}"/>
    <cellStyle name="Normal 8 2 2 3 2 3 2 4" xfId="12931" xr:uid="{BFE43433-7F71-44F8-B2E4-680AB9E34151}"/>
    <cellStyle name="Normal 8 2 2 3 2 3 2 5" xfId="29825" xr:uid="{23B9AD49-1E28-444D-9E9A-F0883616873B}"/>
    <cellStyle name="Normal 8 2 2 3 2 3 3" xfId="5677" xr:uid="{00000000-0005-0000-0000-00004E1C0000}"/>
    <cellStyle name="Normal 8 2 2 3 2 3 3 2" xfId="23450" xr:uid="{A5A9B7AB-24A4-4F93-BBC9-3BE261D34082}"/>
    <cellStyle name="Normal 8 2 2 3 2 3 3 2 2" xfId="40344" xr:uid="{2016FE3D-33C8-45F1-AC43-FDE01837C863}"/>
    <cellStyle name="Normal 8 2 2 3 2 3 3 3" xfId="15003" xr:uid="{31E549C7-CC24-4724-8639-58D3FDBE2C74}"/>
    <cellStyle name="Normal 8 2 2 3 2 3 3 4" xfId="31897" xr:uid="{5384542E-DD0D-4FFB-9ED4-DDFBA6EE4129}"/>
    <cellStyle name="Normal 8 2 2 3 2 3 4" xfId="19233" xr:uid="{D21ADCE8-3A96-4FFE-A2B2-6498DEB1A2BA}"/>
    <cellStyle name="Normal 8 2 2 3 2 3 4 2" xfId="36127" xr:uid="{B2EC6288-3C50-448A-A5C2-D3034C66AF12}"/>
    <cellStyle name="Normal 8 2 2 3 2 3 5" xfId="10786" xr:uid="{5C12F1FB-F503-4CD4-ABBE-CB34C8C83278}"/>
    <cellStyle name="Normal 8 2 2 3 2 3 6" xfId="27680" xr:uid="{E44D17CE-6F7E-4261-ADB9-D05B20A5BB08}"/>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2 2 2" xfId="26008" xr:uid="{9D892AA3-10E1-496D-9D09-E28E3370396B}"/>
    <cellStyle name="Normal 8 2 2 3 2 4 2 2 2 2" xfId="42902" xr:uid="{1886F103-0F2E-4463-ABF4-4F41AD310E38}"/>
    <cellStyle name="Normal 8 2 2 3 2 4 2 2 3" xfId="17561" xr:uid="{9BA56EBE-C4D5-44BD-88E5-C3F7CE14053E}"/>
    <cellStyle name="Normal 8 2 2 3 2 4 2 2 4" xfId="34455" xr:uid="{61310B4F-4AB4-4750-9425-B8C536D7186B}"/>
    <cellStyle name="Normal 8 2 2 3 2 4 2 3" xfId="21791" xr:uid="{0F380080-B2D4-4060-91C2-2F310BCCCD8A}"/>
    <cellStyle name="Normal 8 2 2 3 2 4 2 3 2" xfId="38685" xr:uid="{A73361B3-CCDF-4193-A6B2-D8C018733460}"/>
    <cellStyle name="Normal 8 2 2 3 2 4 2 4" xfId="13344" xr:uid="{10B2C2B6-C85B-4BFE-8518-FE789B1728D0}"/>
    <cellStyle name="Normal 8 2 2 3 2 4 2 5" xfId="30238" xr:uid="{2BF06D9C-D758-436D-B84E-BFCC86EFAFC1}"/>
    <cellStyle name="Normal 8 2 2 3 2 4 3" xfId="6090" xr:uid="{00000000-0005-0000-0000-0000521C0000}"/>
    <cellStyle name="Normal 8 2 2 3 2 4 3 2" xfId="23863" xr:uid="{9E4837A1-06CB-43EE-A327-69E7105AF1EA}"/>
    <cellStyle name="Normal 8 2 2 3 2 4 3 2 2" xfId="40757" xr:uid="{51D3C0A4-1DCA-4693-9865-E9959754883E}"/>
    <cellStyle name="Normal 8 2 2 3 2 4 3 3" xfId="15416" xr:uid="{ECE1A95D-257E-40F2-9672-78C0DE7A92CD}"/>
    <cellStyle name="Normal 8 2 2 3 2 4 3 4" xfId="32310" xr:uid="{7F7404E9-AF42-48FE-9278-835533F64CB1}"/>
    <cellStyle name="Normal 8 2 2 3 2 4 4" xfId="19646" xr:uid="{997180BE-5283-4779-8B12-21DA40FAD46C}"/>
    <cellStyle name="Normal 8 2 2 3 2 4 4 2" xfId="36540" xr:uid="{FDC85161-4AA2-4B06-9583-28D9CEEB6296}"/>
    <cellStyle name="Normal 8 2 2 3 2 4 5" xfId="11199" xr:uid="{F23E0B9B-FFB0-4DFA-AE27-1B18F08557C2}"/>
    <cellStyle name="Normal 8 2 2 3 2 4 6" xfId="28093" xr:uid="{789778C5-EF75-4B1A-9388-6E52EC7114ED}"/>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2 2 2" xfId="26421" xr:uid="{2F30B52A-A056-4F3E-8966-A51C87EF9804}"/>
    <cellStyle name="Normal 8 2 2 3 2 5 2 2 2 2" xfId="43315" xr:uid="{72E95122-9B48-4250-B610-88C842D15AB2}"/>
    <cellStyle name="Normal 8 2 2 3 2 5 2 2 3" xfId="17974" xr:uid="{805D398A-0040-43A7-8359-94AD890B4FF2}"/>
    <cellStyle name="Normal 8 2 2 3 2 5 2 2 4" xfId="34868" xr:uid="{951DEBA5-D687-4080-82C6-8CCA0BC053F8}"/>
    <cellStyle name="Normal 8 2 2 3 2 5 2 3" xfId="22204" xr:uid="{C4401524-11CC-4686-BAD8-EBD6B565DF72}"/>
    <cellStyle name="Normal 8 2 2 3 2 5 2 3 2" xfId="39098" xr:uid="{E1C69B3F-5D59-430B-BA03-6643C0EDDBF5}"/>
    <cellStyle name="Normal 8 2 2 3 2 5 2 4" xfId="13757" xr:uid="{1B2D2BC5-7AB5-4515-B90A-10A7E5BD971F}"/>
    <cellStyle name="Normal 8 2 2 3 2 5 2 5" xfId="30651" xr:uid="{29CDC6F4-D661-4E86-8909-6D554D20DCF1}"/>
    <cellStyle name="Normal 8 2 2 3 2 5 3" xfId="6503" xr:uid="{00000000-0005-0000-0000-0000561C0000}"/>
    <cellStyle name="Normal 8 2 2 3 2 5 3 2" xfId="24276" xr:uid="{EF70B189-ADEF-4D57-A718-6A5A0D41D440}"/>
    <cellStyle name="Normal 8 2 2 3 2 5 3 2 2" xfId="41170" xr:uid="{F4220721-AD8F-453C-8474-903ED5D917B9}"/>
    <cellStyle name="Normal 8 2 2 3 2 5 3 3" xfId="15829" xr:uid="{253D941C-8B87-4536-8858-6BFC04AE8F3E}"/>
    <cellStyle name="Normal 8 2 2 3 2 5 3 4" xfId="32723" xr:uid="{9C7ABC33-539B-45C8-A235-BB7421472146}"/>
    <cellStyle name="Normal 8 2 2 3 2 5 4" xfId="20059" xr:uid="{4C063F28-F967-40AF-B557-3EC1B99A52CD}"/>
    <cellStyle name="Normal 8 2 2 3 2 5 4 2" xfId="36953" xr:uid="{B96784D7-A449-41C0-B308-F7EFFB831FB4}"/>
    <cellStyle name="Normal 8 2 2 3 2 5 5" xfId="11612" xr:uid="{4F26C459-5B63-4518-88D6-7B7061194973}"/>
    <cellStyle name="Normal 8 2 2 3 2 5 6" xfId="28506" xr:uid="{6749734A-5DD3-418F-9EA3-3019825514D2}"/>
    <cellStyle name="Normal 8 2 2 3 2 6" xfId="2633" xr:uid="{00000000-0005-0000-0000-0000571C0000}"/>
    <cellStyle name="Normal 8 2 2 3 2 6 2" xfId="6916" xr:uid="{00000000-0005-0000-0000-0000581C0000}"/>
    <cellStyle name="Normal 8 2 2 3 2 6 2 2" xfId="24689" xr:uid="{2C409404-58A3-49C0-8F66-61DFAB24DEC3}"/>
    <cellStyle name="Normal 8 2 2 3 2 6 2 2 2" xfId="41583" xr:uid="{93549400-20FD-4420-86C6-7E37CD390375}"/>
    <cellStyle name="Normal 8 2 2 3 2 6 2 3" xfId="16242" xr:uid="{3A039C46-F7B2-43BE-883D-D08262EE9054}"/>
    <cellStyle name="Normal 8 2 2 3 2 6 2 4" xfId="33136" xr:uid="{1330224A-E53E-4DB3-BA02-621403D85C3A}"/>
    <cellStyle name="Normal 8 2 2 3 2 6 3" xfId="20472" xr:uid="{6FC55A29-56F8-4840-A9A0-45B624CBD4F3}"/>
    <cellStyle name="Normal 8 2 2 3 2 6 3 2" xfId="37366" xr:uid="{96C9C038-4AE0-4EE8-A205-0CE8C0526E40}"/>
    <cellStyle name="Normal 8 2 2 3 2 6 4" xfId="12025" xr:uid="{31CC96D5-CCCC-4C01-8F37-0FEF08814B67}"/>
    <cellStyle name="Normal 8 2 2 3 2 6 5" xfId="28919" xr:uid="{AF050829-674B-4CFD-8F8E-5B09DF01248D}"/>
    <cellStyle name="Normal 8 2 2 3 2 7" xfId="4851" xr:uid="{00000000-0005-0000-0000-0000591C0000}"/>
    <cellStyle name="Normal 8 2 2 3 2 7 2" xfId="22624" xr:uid="{CB8F47FE-0EFE-43C3-9CA8-C5FC27AB48FD}"/>
    <cellStyle name="Normal 8 2 2 3 2 7 2 2" xfId="39518" xr:uid="{1F7D16C1-B519-42A3-8690-F82D2E9427C7}"/>
    <cellStyle name="Normal 8 2 2 3 2 7 3" xfId="14177" xr:uid="{9052E36D-82F3-4077-ACC3-A1AC8CA4406C}"/>
    <cellStyle name="Normal 8 2 2 3 2 7 4" xfId="31071" xr:uid="{0D2519AD-A23C-4609-96A6-4DCF6AD511FB}"/>
    <cellStyle name="Normal 8 2 2 3 2 8" xfId="9093" xr:uid="{ADE34C72-BCCB-477C-B66A-BE7159CEB281}"/>
    <cellStyle name="Normal 8 2 2 3 2 8 2" xfId="18407" xr:uid="{F9DAB97B-005B-4A43-BA47-6D39DC90D91B}"/>
    <cellStyle name="Normal 8 2 2 3 2 8 3" xfId="35301" xr:uid="{E6F62CCB-2B1B-4356-919E-1017F2B385E6}"/>
    <cellStyle name="Normal 8 2 2 3 2 9" xfId="9960" xr:uid="{0870C686-7E8C-4203-A978-6D8E6EBC2BE1}"/>
    <cellStyle name="Normal 8 2 2 3 3" xfId="952" xr:uid="{00000000-0005-0000-0000-00005A1C0000}"/>
    <cellStyle name="Normal 8 2 2 3 3 2" xfId="3186" xr:uid="{00000000-0005-0000-0000-00005B1C0000}"/>
    <cellStyle name="Normal 8 2 2 3 3 2 2" xfId="7408" xr:uid="{00000000-0005-0000-0000-00005C1C0000}"/>
    <cellStyle name="Normal 8 2 2 3 3 2 2 2" xfId="25181" xr:uid="{C45FF023-7AD3-48E6-A53E-FF8B533616EB}"/>
    <cellStyle name="Normal 8 2 2 3 3 2 2 2 2" xfId="42075" xr:uid="{839D5054-438C-4BB9-806C-1755234D9002}"/>
    <cellStyle name="Normal 8 2 2 3 3 2 2 3" xfId="16734" xr:uid="{C063A39D-0AC2-413C-B5A7-8D53BF10328A}"/>
    <cellStyle name="Normal 8 2 2 3 3 2 2 4" xfId="33628" xr:uid="{16E2872F-FFD2-400F-BB3F-8818795CFDD7}"/>
    <cellStyle name="Normal 8 2 2 3 3 2 3" xfId="20964" xr:uid="{250A8E8C-DAD8-4413-B4DA-738485985F0F}"/>
    <cellStyle name="Normal 8 2 2 3 3 2 3 2" xfId="37858" xr:uid="{463B283A-9643-484C-BE2F-BCC6896AD20D}"/>
    <cellStyle name="Normal 8 2 2 3 3 2 4" xfId="12517" xr:uid="{9EF08EB4-CAC4-49D6-A4C3-459CB53F4A9A}"/>
    <cellStyle name="Normal 8 2 2 3 3 2 5" xfId="29411" xr:uid="{4067E8B2-8E62-43B6-934F-CF0466602738}"/>
    <cellStyle name="Normal 8 2 2 3 3 3" xfId="5263" xr:uid="{00000000-0005-0000-0000-00005D1C0000}"/>
    <cellStyle name="Normal 8 2 2 3 3 3 2" xfId="23036" xr:uid="{7724C1D6-D1D5-4571-8674-253392AD6083}"/>
    <cellStyle name="Normal 8 2 2 3 3 3 2 2" xfId="39930" xr:uid="{9471A815-E9CA-4FC4-95FA-383072AEC68C}"/>
    <cellStyle name="Normal 8 2 2 3 3 3 3" xfId="14589" xr:uid="{4AD25664-23C2-4E50-8424-8F5B7EECF4BF}"/>
    <cellStyle name="Normal 8 2 2 3 3 3 4" xfId="31483" xr:uid="{31867065-4CD2-4F5E-8134-BD294BB0362A}"/>
    <cellStyle name="Normal 8 2 2 3 3 4" xfId="9311" xr:uid="{F4618F1E-1235-4269-B5C6-B09BE5034F6C}"/>
    <cellStyle name="Normal 8 2 2 3 3 4 2" xfId="18819" xr:uid="{586D46F3-6185-41F9-B204-4C5F96A87F1B}"/>
    <cellStyle name="Normal 8 2 2 3 3 4 3" xfId="35713" xr:uid="{44D15652-DC61-4487-A8EF-C006978298F3}"/>
    <cellStyle name="Normal 8 2 2 3 3 5" xfId="10372" xr:uid="{D723960F-93AF-418D-B8F4-FEC10651D6C9}"/>
    <cellStyle name="Normal 8 2 2 3 3 6" xfId="27266" xr:uid="{A2030310-FF70-41AD-9542-E2106B20D6AA}"/>
    <cellStyle name="Normal 8 2 2 3 4" xfId="1369" xr:uid="{00000000-0005-0000-0000-00005E1C0000}"/>
    <cellStyle name="Normal 8 2 2 3 4 2" xfId="3599" xr:uid="{00000000-0005-0000-0000-00005F1C0000}"/>
    <cellStyle name="Normal 8 2 2 3 4 2 2" xfId="7821" xr:uid="{00000000-0005-0000-0000-0000601C0000}"/>
    <cellStyle name="Normal 8 2 2 3 4 2 2 2" xfId="25594" xr:uid="{B2F982DB-2DC6-4DB2-9349-EDC2816220B0}"/>
    <cellStyle name="Normal 8 2 2 3 4 2 2 2 2" xfId="42488" xr:uid="{55A1DB17-E644-4522-BFFD-BA8F3370DC1E}"/>
    <cellStyle name="Normal 8 2 2 3 4 2 2 3" xfId="17147" xr:uid="{F05D46E1-8656-4061-8382-9904B2434B47}"/>
    <cellStyle name="Normal 8 2 2 3 4 2 2 4" xfId="34041" xr:uid="{F927E69D-0A95-49D9-A9B4-42AEE51D761A}"/>
    <cellStyle name="Normal 8 2 2 3 4 2 3" xfId="21377" xr:uid="{E579FBB6-91D3-4340-A622-B72D0F5F79C8}"/>
    <cellStyle name="Normal 8 2 2 3 4 2 3 2" xfId="38271" xr:uid="{5571495B-AFBF-47A4-8A2F-EA447C952D31}"/>
    <cellStyle name="Normal 8 2 2 3 4 2 4" xfId="12930" xr:uid="{C4BD48FA-04F2-440C-ADAB-B5F20E98B742}"/>
    <cellStyle name="Normal 8 2 2 3 4 2 5" xfId="29824" xr:uid="{D8B609C1-E4B2-45E0-8CDA-655811EBA4A0}"/>
    <cellStyle name="Normal 8 2 2 3 4 3" xfId="5676" xr:uid="{00000000-0005-0000-0000-0000611C0000}"/>
    <cellStyle name="Normal 8 2 2 3 4 3 2" xfId="23449" xr:uid="{FBA406AF-A2B0-4982-8B58-5CF2EB26FC5A}"/>
    <cellStyle name="Normal 8 2 2 3 4 3 2 2" xfId="40343" xr:uid="{A626D50A-8827-4162-A27E-598FB6DBBF07}"/>
    <cellStyle name="Normal 8 2 2 3 4 3 3" xfId="15002" xr:uid="{5F619F7F-C7D3-491C-8930-0FF2491ABA1A}"/>
    <cellStyle name="Normal 8 2 2 3 4 3 4" xfId="31896" xr:uid="{53414A75-047D-48D5-98A5-E748D0E7EEB8}"/>
    <cellStyle name="Normal 8 2 2 3 4 4" xfId="19232" xr:uid="{897EE7ED-9A71-488E-B47D-D758D1187CC0}"/>
    <cellStyle name="Normal 8 2 2 3 4 4 2" xfId="36126" xr:uid="{B12B06C9-A0C8-4AC4-8B66-2E6E8F28BDB7}"/>
    <cellStyle name="Normal 8 2 2 3 4 5" xfId="10785" xr:uid="{56361ED5-C86A-4A88-9FD3-994BC68696CC}"/>
    <cellStyle name="Normal 8 2 2 3 4 6" xfId="27679" xr:uid="{D994F903-E02D-42FA-9926-AB555B873C8E}"/>
    <cellStyle name="Normal 8 2 2 3 5" xfId="1782" xr:uid="{00000000-0005-0000-0000-0000621C0000}"/>
    <cellStyle name="Normal 8 2 2 3 5 2" xfId="4012" xr:uid="{00000000-0005-0000-0000-0000631C0000}"/>
    <cellStyle name="Normal 8 2 2 3 5 2 2" xfId="8234" xr:uid="{00000000-0005-0000-0000-0000641C0000}"/>
    <cellStyle name="Normal 8 2 2 3 5 2 2 2" xfId="26007" xr:uid="{390C6C64-47DA-41F4-A99E-5E489E31D5F9}"/>
    <cellStyle name="Normal 8 2 2 3 5 2 2 2 2" xfId="42901" xr:uid="{864645F0-2320-4D32-B44B-5E6E1FE10949}"/>
    <cellStyle name="Normal 8 2 2 3 5 2 2 3" xfId="17560" xr:uid="{8C1ACC14-B6E6-4E42-B305-4663D4B5601A}"/>
    <cellStyle name="Normal 8 2 2 3 5 2 2 4" xfId="34454" xr:uid="{48B759B6-9E66-4BC9-929A-A43946BFE874}"/>
    <cellStyle name="Normal 8 2 2 3 5 2 3" xfId="21790" xr:uid="{8DB9D5BB-91AD-4854-B594-075F1B645DC5}"/>
    <cellStyle name="Normal 8 2 2 3 5 2 3 2" xfId="38684" xr:uid="{789228BC-6F70-46A3-9E3D-503DF32A945D}"/>
    <cellStyle name="Normal 8 2 2 3 5 2 4" xfId="13343" xr:uid="{6689C136-65D9-4461-A5C1-9585E2079E09}"/>
    <cellStyle name="Normal 8 2 2 3 5 2 5" xfId="30237" xr:uid="{08AB93A7-E2C3-4804-ACA0-DA637F362619}"/>
    <cellStyle name="Normal 8 2 2 3 5 3" xfId="6089" xr:uid="{00000000-0005-0000-0000-0000651C0000}"/>
    <cellStyle name="Normal 8 2 2 3 5 3 2" xfId="23862" xr:uid="{F071050E-13B7-4392-AA11-C19B103A3C65}"/>
    <cellStyle name="Normal 8 2 2 3 5 3 2 2" xfId="40756" xr:uid="{93993AF5-4AB3-47B9-A21C-8964CB6B2156}"/>
    <cellStyle name="Normal 8 2 2 3 5 3 3" xfId="15415" xr:uid="{1B7DB2E6-F8F6-45C0-BE54-AD09789827A7}"/>
    <cellStyle name="Normal 8 2 2 3 5 3 4" xfId="32309" xr:uid="{C4E2649C-2979-4369-BC60-D30F970D68EC}"/>
    <cellStyle name="Normal 8 2 2 3 5 4" xfId="19645" xr:uid="{A026C76C-B956-46D5-A540-327B88A9ACA0}"/>
    <cellStyle name="Normal 8 2 2 3 5 4 2" xfId="36539" xr:uid="{895C7E3B-0960-48B1-B25B-845A17309612}"/>
    <cellStyle name="Normal 8 2 2 3 5 5" xfId="11198" xr:uid="{CC62A4AA-0FD4-4A1F-8478-8BC6484F2886}"/>
    <cellStyle name="Normal 8 2 2 3 5 6" xfId="28092" xr:uid="{0854FEDA-52E4-42DD-BAC6-F9D86DE8A166}"/>
    <cellStyle name="Normal 8 2 2 3 6" xfId="2196" xr:uid="{00000000-0005-0000-0000-0000661C0000}"/>
    <cellStyle name="Normal 8 2 2 3 6 2" xfId="4425" xr:uid="{00000000-0005-0000-0000-0000671C0000}"/>
    <cellStyle name="Normal 8 2 2 3 6 2 2" xfId="8647" xr:uid="{00000000-0005-0000-0000-0000681C0000}"/>
    <cellStyle name="Normal 8 2 2 3 6 2 2 2" xfId="26420" xr:uid="{058CD8D4-0D8B-47AE-ADED-6724254D77E0}"/>
    <cellStyle name="Normal 8 2 2 3 6 2 2 2 2" xfId="43314" xr:uid="{D18E8B95-8D15-4192-8F46-66C06A2697D9}"/>
    <cellStyle name="Normal 8 2 2 3 6 2 2 3" xfId="17973" xr:uid="{B955C681-DD71-4E57-A8BF-82F74595D31E}"/>
    <cellStyle name="Normal 8 2 2 3 6 2 2 4" xfId="34867" xr:uid="{CB16D5DB-E5CD-4A8F-9838-701C79644563}"/>
    <cellStyle name="Normal 8 2 2 3 6 2 3" xfId="22203" xr:uid="{23C7652A-DE9D-44CA-BDD1-E5355EE92BEC}"/>
    <cellStyle name="Normal 8 2 2 3 6 2 3 2" xfId="39097" xr:uid="{7064B180-DA7F-4F72-A501-097E9805C9AB}"/>
    <cellStyle name="Normal 8 2 2 3 6 2 4" xfId="13756" xr:uid="{B2EE86A9-0227-4E71-8EE3-CD61CEAC3133}"/>
    <cellStyle name="Normal 8 2 2 3 6 2 5" xfId="30650" xr:uid="{540D47C6-3858-4CA7-A75B-43EB259AFD5A}"/>
    <cellStyle name="Normal 8 2 2 3 6 3" xfId="6502" xr:uid="{00000000-0005-0000-0000-0000691C0000}"/>
    <cellStyle name="Normal 8 2 2 3 6 3 2" xfId="24275" xr:uid="{4078F132-C426-4C5B-9CB4-AD509BCA219A}"/>
    <cellStyle name="Normal 8 2 2 3 6 3 2 2" xfId="41169" xr:uid="{70891286-1214-409A-8972-FEA9DF51B8B8}"/>
    <cellStyle name="Normal 8 2 2 3 6 3 3" xfId="15828" xr:uid="{11B4A90D-BAA8-4EC6-B2C7-74FC3C6A84FE}"/>
    <cellStyle name="Normal 8 2 2 3 6 3 4" xfId="32722" xr:uid="{8132AA52-1C0A-45DC-8AFF-87E42D4F48A3}"/>
    <cellStyle name="Normal 8 2 2 3 6 4" xfId="20058" xr:uid="{69ADA998-FD8D-45F9-83A3-4EAE3572D57C}"/>
    <cellStyle name="Normal 8 2 2 3 6 4 2" xfId="36952" xr:uid="{29570547-3713-44B9-884C-C6B501798D9A}"/>
    <cellStyle name="Normal 8 2 2 3 6 5" xfId="11611" xr:uid="{908DF65C-8396-4AC8-AA7F-A902348C8A39}"/>
    <cellStyle name="Normal 8 2 2 3 6 6" xfId="28505" xr:uid="{2AC125CC-FEE4-4DC2-8A66-7E55F6FBDDDC}"/>
    <cellStyle name="Normal 8 2 2 3 7" xfId="2632" xr:uid="{00000000-0005-0000-0000-00006A1C0000}"/>
    <cellStyle name="Normal 8 2 2 3 7 2" xfId="6915" xr:uid="{00000000-0005-0000-0000-00006B1C0000}"/>
    <cellStyle name="Normal 8 2 2 3 7 2 2" xfId="24688" xr:uid="{DBDE7688-BFE8-4679-B0BD-FC679BBBB781}"/>
    <cellStyle name="Normal 8 2 2 3 7 2 2 2" xfId="41582" xr:uid="{58874748-EC6C-4C1B-A19C-EEA2AAC7CE16}"/>
    <cellStyle name="Normal 8 2 2 3 7 2 3" xfId="16241" xr:uid="{149976DB-B2FE-4DAB-AC2A-0EACDC86BCC2}"/>
    <cellStyle name="Normal 8 2 2 3 7 2 4" xfId="33135" xr:uid="{3EE30FF1-1C4F-4F49-91FA-29D1A33AF035}"/>
    <cellStyle name="Normal 8 2 2 3 7 3" xfId="20471" xr:uid="{7C749679-53BE-4FED-8821-CAD8757B12D1}"/>
    <cellStyle name="Normal 8 2 2 3 7 3 2" xfId="37365" xr:uid="{E676A790-761F-4065-9205-7059C5F52B99}"/>
    <cellStyle name="Normal 8 2 2 3 7 4" xfId="12024" xr:uid="{EFDDCCAD-F0DD-4A0F-B684-15A439813D29}"/>
    <cellStyle name="Normal 8 2 2 3 7 5" xfId="28918" xr:uid="{F6220F40-CA3E-4A89-8386-FB31D7B2E2B0}"/>
    <cellStyle name="Normal 8 2 2 3 8" xfId="4850" xr:uid="{00000000-0005-0000-0000-00006C1C0000}"/>
    <cellStyle name="Normal 8 2 2 3 8 2" xfId="22623" xr:uid="{D0278037-0369-4EF1-9AC6-4D7E9A6720EC}"/>
    <cellStyle name="Normal 8 2 2 3 8 2 2" xfId="39517" xr:uid="{3AA6893A-929D-4A86-B292-A3CD421DF85F}"/>
    <cellStyle name="Normal 8 2 2 3 8 3" xfId="14176" xr:uid="{766BFCB0-E0AB-4FD7-B98B-E302F2A70B09}"/>
    <cellStyle name="Normal 8 2 2 3 8 4" xfId="31070" xr:uid="{422C1281-3099-48E9-B848-ECC64E0A2940}"/>
    <cellStyle name="Normal 8 2 2 3 9" xfId="8886" xr:uid="{B2A45ACA-2377-4A40-A818-E7106AD46E30}"/>
    <cellStyle name="Normal 8 2 2 3 9 2" xfId="18406" xr:uid="{326D30BE-8C77-4919-82EF-D65BC3454629}"/>
    <cellStyle name="Normal 8 2 2 3 9 3" xfId="35300" xr:uid="{DCD7BA81-7FD0-436A-880F-F8A6FC929287}"/>
    <cellStyle name="Normal 8 2 2 4" xfId="487" xr:uid="{00000000-0005-0000-0000-00006D1C0000}"/>
    <cellStyle name="Normal 8 2 2 4 10" xfId="26855" xr:uid="{E10FB714-40F6-4256-B7E7-8CA2BFCE0F75}"/>
    <cellStyle name="Normal 8 2 2 4 2" xfId="954" xr:uid="{00000000-0005-0000-0000-00006E1C0000}"/>
    <cellStyle name="Normal 8 2 2 4 2 2" xfId="3188" xr:uid="{00000000-0005-0000-0000-00006F1C0000}"/>
    <cellStyle name="Normal 8 2 2 4 2 2 2" xfId="7410" xr:uid="{00000000-0005-0000-0000-0000701C0000}"/>
    <cellStyle name="Normal 8 2 2 4 2 2 2 2" xfId="25183" xr:uid="{1B3FE5E2-0C5C-4AF2-A89A-DDAB38099F7D}"/>
    <cellStyle name="Normal 8 2 2 4 2 2 2 2 2" xfId="42077" xr:uid="{FD4773C5-2A42-4835-BDD4-5F5E855EC63E}"/>
    <cellStyle name="Normal 8 2 2 4 2 2 2 3" xfId="16736" xr:uid="{52DCD866-8C41-4B02-87D5-01F2A49E8EEC}"/>
    <cellStyle name="Normal 8 2 2 4 2 2 2 4" xfId="33630" xr:uid="{A7809096-6AA6-497E-818B-E1F96B41D0D2}"/>
    <cellStyle name="Normal 8 2 2 4 2 2 3" xfId="20966" xr:uid="{65B2AAD1-9420-43F5-8CCA-3C3BD391E6D1}"/>
    <cellStyle name="Normal 8 2 2 4 2 2 3 2" xfId="37860" xr:uid="{87CC297A-1584-437A-8E04-DB12BBF22F6B}"/>
    <cellStyle name="Normal 8 2 2 4 2 2 4" xfId="12519" xr:uid="{F47713C9-F424-4312-ADCB-0432B219C4EE}"/>
    <cellStyle name="Normal 8 2 2 4 2 2 5" xfId="29413" xr:uid="{720F1583-6578-43E9-A2C3-0A76561530B7}"/>
    <cellStyle name="Normal 8 2 2 4 2 3" xfId="5265" xr:uid="{00000000-0005-0000-0000-0000711C0000}"/>
    <cellStyle name="Normal 8 2 2 4 2 3 2" xfId="23038" xr:uid="{F4A84E5B-6722-47CD-A887-275E52DE5770}"/>
    <cellStyle name="Normal 8 2 2 4 2 3 2 2" xfId="39932" xr:uid="{BB18E22A-C7E4-4985-93A6-3724DB88BDF0}"/>
    <cellStyle name="Normal 8 2 2 4 2 3 3" xfId="14591" xr:uid="{7F5195A1-2516-42C6-BD6B-5473CD592893}"/>
    <cellStyle name="Normal 8 2 2 4 2 3 4" xfId="31485" xr:uid="{71CA5FEC-9AD6-45FB-8C39-B6E77B7C5EEF}"/>
    <cellStyle name="Normal 8 2 2 4 2 4" xfId="9415" xr:uid="{88D7FF95-DEA9-4369-BE01-487FC7B2B7E8}"/>
    <cellStyle name="Normal 8 2 2 4 2 4 2" xfId="18821" xr:uid="{F7A8889C-5DA5-4AC9-A9B5-8FE229994B40}"/>
    <cellStyle name="Normal 8 2 2 4 2 4 3" xfId="35715" xr:uid="{91538AD9-F8F2-4BEE-944C-BA999C554F58}"/>
    <cellStyle name="Normal 8 2 2 4 2 5" xfId="10374" xr:uid="{30631C26-5D7E-47C8-8335-3DE02662BB29}"/>
    <cellStyle name="Normal 8 2 2 4 2 6" xfId="27268" xr:uid="{F67CF27F-8D50-4173-9455-0455152F4528}"/>
    <cellStyle name="Normal 8 2 2 4 3" xfId="1371" xr:uid="{00000000-0005-0000-0000-0000721C0000}"/>
    <cellStyle name="Normal 8 2 2 4 3 2" xfId="3601" xr:uid="{00000000-0005-0000-0000-0000731C0000}"/>
    <cellStyle name="Normal 8 2 2 4 3 2 2" xfId="7823" xr:uid="{00000000-0005-0000-0000-0000741C0000}"/>
    <cellStyle name="Normal 8 2 2 4 3 2 2 2" xfId="25596" xr:uid="{2C9897BB-1A28-4779-94D5-343228C17201}"/>
    <cellStyle name="Normal 8 2 2 4 3 2 2 2 2" xfId="42490" xr:uid="{13EA7747-09C3-496A-809B-EEE2810F0E55}"/>
    <cellStyle name="Normal 8 2 2 4 3 2 2 3" xfId="17149" xr:uid="{FE110093-C5EA-45B6-9C59-D82FE996A0FA}"/>
    <cellStyle name="Normal 8 2 2 4 3 2 2 4" xfId="34043" xr:uid="{69706D06-B9C2-4431-B8C0-36FD48B1D2EE}"/>
    <cellStyle name="Normal 8 2 2 4 3 2 3" xfId="21379" xr:uid="{5C5BD40C-5261-4ADA-9988-0B1C1A77A0EA}"/>
    <cellStyle name="Normal 8 2 2 4 3 2 3 2" xfId="38273" xr:uid="{2957741B-6370-4FD3-BB1B-D8D6CF05BA77}"/>
    <cellStyle name="Normal 8 2 2 4 3 2 4" xfId="12932" xr:uid="{633B465F-11B5-4C44-A67F-B0E28C13CEC3}"/>
    <cellStyle name="Normal 8 2 2 4 3 2 5" xfId="29826" xr:uid="{52CB2E72-946A-4696-AF95-37626B309135}"/>
    <cellStyle name="Normal 8 2 2 4 3 3" xfId="5678" xr:uid="{00000000-0005-0000-0000-0000751C0000}"/>
    <cellStyle name="Normal 8 2 2 4 3 3 2" xfId="23451" xr:uid="{849AA356-97BE-4E57-8ADE-23B4853630A1}"/>
    <cellStyle name="Normal 8 2 2 4 3 3 2 2" xfId="40345" xr:uid="{8C15A3F6-BBEA-4163-A48F-ED065AEDDFF2}"/>
    <cellStyle name="Normal 8 2 2 4 3 3 3" xfId="15004" xr:uid="{8C4A3A09-1892-460B-A5A1-941A004919CD}"/>
    <cellStyle name="Normal 8 2 2 4 3 3 4" xfId="31898" xr:uid="{A14511CC-9A3D-47CE-9DE6-0ACEF64C75DA}"/>
    <cellStyle name="Normal 8 2 2 4 3 4" xfId="19234" xr:uid="{4ED6E460-5380-48B9-8AE1-5DD0656A7363}"/>
    <cellStyle name="Normal 8 2 2 4 3 4 2" xfId="36128" xr:uid="{68D85F67-902A-42AC-A92C-9DB69FCBD2E9}"/>
    <cellStyle name="Normal 8 2 2 4 3 5" xfId="10787" xr:uid="{00F0F939-AACD-4C0D-BF8A-0F26CD3C1582}"/>
    <cellStyle name="Normal 8 2 2 4 3 6" xfId="27681" xr:uid="{20E86061-47E2-4472-9087-CEB69750F2FA}"/>
    <cellStyle name="Normal 8 2 2 4 4" xfId="1784" xr:uid="{00000000-0005-0000-0000-0000761C0000}"/>
    <cellStyle name="Normal 8 2 2 4 4 2" xfId="4014" xr:uid="{00000000-0005-0000-0000-0000771C0000}"/>
    <cellStyle name="Normal 8 2 2 4 4 2 2" xfId="8236" xr:uid="{00000000-0005-0000-0000-0000781C0000}"/>
    <cellStyle name="Normal 8 2 2 4 4 2 2 2" xfId="26009" xr:uid="{DE9954F3-49E3-495C-93FE-3F6197408745}"/>
    <cellStyle name="Normal 8 2 2 4 4 2 2 2 2" xfId="42903" xr:uid="{E6E8F9C1-0CE3-4C44-B33A-EA5B95E6732D}"/>
    <cellStyle name="Normal 8 2 2 4 4 2 2 3" xfId="17562" xr:uid="{CF263603-3DD7-49B5-9AF3-B74EADC19DA0}"/>
    <cellStyle name="Normal 8 2 2 4 4 2 2 4" xfId="34456" xr:uid="{EC355366-CE82-4528-B4DC-1AEAC4914E84}"/>
    <cellStyle name="Normal 8 2 2 4 4 2 3" xfId="21792" xr:uid="{9B6C8A91-65B4-4BEC-B490-21FE650AA98A}"/>
    <cellStyle name="Normal 8 2 2 4 4 2 3 2" xfId="38686" xr:uid="{590228DD-1677-43B0-A505-D0CE376611ED}"/>
    <cellStyle name="Normal 8 2 2 4 4 2 4" xfId="13345" xr:uid="{3F164753-353B-4C8B-A37C-47AB0425BACC}"/>
    <cellStyle name="Normal 8 2 2 4 4 2 5" xfId="30239" xr:uid="{3957F875-B386-4F09-A181-762378BA8E7C}"/>
    <cellStyle name="Normal 8 2 2 4 4 3" xfId="6091" xr:uid="{00000000-0005-0000-0000-0000791C0000}"/>
    <cellStyle name="Normal 8 2 2 4 4 3 2" xfId="23864" xr:uid="{854FFD42-9AEB-497E-8EC5-A6EA3CA22D5D}"/>
    <cellStyle name="Normal 8 2 2 4 4 3 2 2" xfId="40758" xr:uid="{7841667E-6FAE-4A0E-852F-5410B9602B91}"/>
    <cellStyle name="Normal 8 2 2 4 4 3 3" xfId="15417" xr:uid="{D06770B2-2AFC-4448-8A64-92DE9A426F49}"/>
    <cellStyle name="Normal 8 2 2 4 4 3 4" xfId="32311" xr:uid="{03CBFDFF-7AA9-4BAA-9F42-4DAF3963FEC5}"/>
    <cellStyle name="Normal 8 2 2 4 4 4" xfId="19647" xr:uid="{93F12215-5977-466B-8F97-F8FB30605C74}"/>
    <cellStyle name="Normal 8 2 2 4 4 4 2" xfId="36541" xr:uid="{6FC26DD2-14F6-443B-B057-029A3CD8F8C4}"/>
    <cellStyle name="Normal 8 2 2 4 4 5" xfId="11200" xr:uid="{1ABF5B93-D0B7-4E66-9411-BB403D186B8C}"/>
    <cellStyle name="Normal 8 2 2 4 4 6" xfId="28094" xr:uid="{13E484AA-ED24-4A9C-A52D-5B6314334843}"/>
    <cellStyle name="Normal 8 2 2 4 5" xfId="2198" xr:uid="{00000000-0005-0000-0000-00007A1C0000}"/>
    <cellStyle name="Normal 8 2 2 4 5 2" xfId="4427" xr:uid="{00000000-0005-0000-0000-00007B1C0000}"/>
    <cellStyle name="Normal 8 2 2 4 5 2 2" xfId="8649" xr:uid="{00000000-0005-0000-0000-00007C1C0000}"/>
    <cellStyle name="Normal 8 2 2 4 5 2 2 2" xfId="26422" xr:uid="{D61F92D5-F235-4E56-AD5F-BFBE6782072B}"/>
    <cellStyle name="Normal 8 2 2 4 5 2 2 2 2" xfId="43316" xr:uid="{93BF4471-6BC5-4854-ADA3-A4CE242828FC}"/>
    <cellStyle name="Normal 8 2 2 4 5 2 2 3" xfId="17975" xr:uid="{DD7DCB88-8CA2-4D4D-AF31-F1FC5317CCF4}"/>
    <cellStyle name="Normal 8 2 2 4 5 2 2 4" xfId="34869" xr:uid="{0CB5DBAF-D1F8-4957-9B92-D2A72ED80535}"/>
    <cellStyle name="Normal 8 2 2 4 5 2 3" xfId="22205" xr:uid="{20C3814E-92DC-4F98-993B-188F49C7DE99}"/>
    <cellStyle name="Normal 8 2 2 4 5 2 3 2" xfId="39099" xr:uid="{E125A141-D04F-40C5-8084-5905A006F259}"/>
    <cellStyle name="Normal 8 2 2 4 5 2 4" xfId="13758" xr:uid="{FEB5E683-8DC1-4A0C-84B5-3B3F8955C0F6}"/>
    <cellStyle name="Normal 8 2 2 4 5 2 5" xfId="30652" xr:uid="{3319074C-6741-4001-AF3C-4A49F4B6A9A6}"/>
    <cellStyle name="Normal 8 2 2 4 5 3" xfId="6504" xr:uid="{00000000-0005-0000-0000-00007D1C0000}"/>
    <cellStyle name="Normal 8 2 2 4 5 3 2" xfId="24277" xr:uid="{7DBF176D-A198-4D27-B91F-11EF185320DE}"/>
    <cellStyle name="Normal 8 2 2 4 5 3 2 2" xfId="41171" xr:uid="{780F6208-0783-45D9-999B-AE1BF8239CD1}"/>
    <cellStyle name="Normal 8 2 2 4 5 3 3" xfId="15830" xr:uid="{A7177A09-F212-47F6-9B62-40E12D2999CE}"/>
    <cellStyle name="Normal 8 2 2 4 5 3 4" xfId="32724" xr:uid="{44999E1B-82AA-4393-8634-5FF32F88ED34}"/>
    <cellStyle name="Normal 8 2 2 4 5 4" xfId="20060" xr:uid="{8C25DE5E-F246-4437-ABB9-072D35399D78}"/>
    <cellStyle name="Normal 8 2 2 4 5 4 2" xfId="36954" xr:uid="{F212C235-658D-49AB-A8A4-83A34DF3E203}"/>
    <cellStyle name="Normal 8 2 2 4 5 5" xfId="11613" xr:uid="{B3335467-7780-45AA-B565-2E80DF35482A}"/>
    <cellStyle name="Normal 8 2 2 4 5 6" xfId="28507" xr:uid="{1C8D9709-1A61-4B68-AF09-28D2498BA6BE}"/>
    <cellStyle name="Normal 8 2 2 4 6" xfId="2634" xr:uid="{00000000-0005-0000-0000-00007E1C0000}"/>
    <cellStyle name="Normal 8 2 2 4 6 2" xfId="6917" xr:uid="{00000000-0005-0000-0000-00007F1C0000}"/>
    <cellStyle name="Normal 8 2 2 4 6 2 2" xfId="24690" xr:uid="{C4AA886A-79F3-43EA-8F13-F5CA044C442A}"/>
    <cellStyle name="Normal 8 2 2 4 6 2 2 2" xfId="41584" xr:uid="{FB5B63C7-EECC-4199-BE0B-E73B6EA2F7D2}"/>
    <cellStyle name="Normal 8 2 2 4 6 2 3" xfId="16243" xr:uid="{1D904C9C-25FC-4095-846B-53BD79E283BC}"/>
    <cellStyle name="Normal 8 2 2 4 6 2 4" xfId="33137" xr:uid="{8C38871B-9EE8-4F34-ACB8-EE23B0C5EB79}"/>
    <cellStyle name="Normal 8 2 2 4 6 3" xfId="20473" xr:uid="{29B4A967-38DE-440D-B346-411805A78B6C}"/>
    <cellStyle name="Normal 8 2 2 4 6 3 2" xfId="37367" xr:uid="{BEFE8B89-048E-43B8-8B09-3F66896379F9}"/>
    <cellStyle name="Normal 8 2 2 4 6 4" xfId="12026" xr:uid="{50A99C12-4ED6-46B8-BCAF-3DD971C530A8}"/>
    <cellStyle name="Normal 8 2 2 4 6 5" xfId="28920" xr:uid="{3315C8B7-2ED5-4A9E-85C5-02B3BF2DED44}"/>
    <cellStyle name="Normal 8 2 2 4 7" xfId="4852" xr:uid="{00000000-0005-0000-0000-0000801C0000}"/>
    <cellStyle name="Normal 8 2 2 4 7 2" xfId="22625" xr:uid="{84302973-3EF6-4242-968B-B5608FA16AB5}"/>
    <cellStyle name="Normal 8 2 2 4 7 2 2" xfId="39519" xr:uid="{38FE86AE-EFA8-4A5B-8B00-231CC71F38C3}"/>
    <cellStyle name="Normal 8 2 2 4 7 3" xfId="14178" xr:uid="{9FF14584-6D7F-4535-A83C-D295D01A114A}"/>
    <cellStyle name="Normal 8 2 2 4 7 4" xfId="31072" xr:uid="{A16D198E-D0EF-4F01-8120-A8A2A9E28D8A}"/>
    <cellStyle name="Normal 8 2 2 4 8" xfId="8990" xr:uid="{F08D85C9-EB04-4227-BEA0-1B51DDB63DFA}"/>
    <cellStyle name="Normal 8 2 2 4 8 2" xfId="18408" xr:uid="{7197041E-D30A-42D0-A7E7-3BB5EB7C3CF5}"/>
    <cellStyle name="Normal 8 2 2 4 8 3" xfId="35302" xr:uid="{BA0290B8-4DB2-498A-AB2B-F3E9B496451A}"/>
    <cellStyle name="Normal 8 2 2 4 9" xfId="9961" xr:uid="{AC00786C-4BF3-4608-BCDD-9BE950839E31}"/>
    <cellStyle name="Normal 8 2 2 5" xfId="947" xr:uid="{00000000-0005-0000-0000-0000811C0000}"/>
    <cellStyle name="Normal 8 2 2 5 2" xfId="3181" xr:uid="{00000000-0005-0000-0000-0000821C0000}"/>
    <cellStyle name="Normal 8 2 2 5 2 2" xfId="7403" xr:uid="{00000000-0005-0000-0000-0000831C0000}"/>
    <cellStyle name="Normal 8 2 2 5 2 2 2" xfId="25176" xr:uid="{FE23B97B-E4E3-4124-8D92-646CE4B3D8B3}"/>
    <cellStyle name="Normal 8 2 2 5 2 2 2 2" xfId="42070" xr:uid="{FAC0A040-6312-4859-94F4-D3988AA2BDA9}"/>
    <cellStyle name="Normal 8 2 2 5 2 2 3" xfId="16729" xr:uid="{F3DC1ED5-1351-4DBB-AEF1-AEF0591DDB5F}"/>
    <cellStyle name="Normal 8 2 2 5 2 2 4" xfId="33623" xr:uid="{0897577A-6819-4A3F-88E6-C172101302D5}"/>
    <cellStyle name="Normal 8 2 2 5 2 3" xfId="20959" xr:uid="{6B642D9F-E131-4988-BF61-EE5CCD2DB1F7}"/>
    <cellStyle name="Normal 8 2 2 5 2 3 2" xfId="37853" xr:uid="{01BDCECC-1C7C-43DA-9E62-03552519734F}"/>
    <cellStyle name="Normal 8 2 2 5 2 4" xfId="12512" xr:uid="{F65C1A81-3E08-4AC9-AB71-0A399CF4F238}"/>
    <cellStyle name="Normal 8 2 2 5 2 5" xfId="29406" xr:uid="{F3C0F4C3-AEBA-4978-99DC-35810AB52271}"/>
    <cellStyle name="Normal 8 2 2 5 3" xfId="5258" xr:uid="{00000000-0005-0000-0000-0000841C0000}"/>
    <cellStyle name="Normal 8 2 2 5 3 2" xfId="23031" xr:uid="{FF636E04-6E1A-45A3-BAE0-031FE43AB911}"/>
    <cellStyle name="Normal 8 2 2 5 3 2 2" xfId="39925" xr:uid="{58D44020-7A40-45D0-A45C-29DF61B9A8DA}"/>
    <cellStyle name="Normal 8 2 2 5 3 3" xfId="14584" xr:uid="{7FA095B9-C54E-4349-8A7F-E34FDA3410F3}"/>
    <cellStyle name="Normal 8 2 2 5 3 4" xfId="31478" xr:uid="{CAF3FAEF-04C9-416C-9E2A-6C59E9EAAAB4}"/>
    <cellStyle name="Normal 8 2 2 5 4" xfId="9207" xr:uid="{D4CDC4D2-5794-400F-B850-1B259D26C1FE}"/>
    <cellStyle name="Normal 8 2 2 5 4 2" xfId="18814" xr:uid="{2C8BF263-A980-45A8-9EBF-78EC0FA28FD1}"/>
    <cellStyle name="Normal 8 2 2 5 4 3" xfId="35708" xr:uid="{0B4B3E44-971B-4C2F-AE9E-13E59BECD8EF}"/>
    <cellStyle name="Normal 8 2 2 5 5" xfId="10367" xr:uid="{89ED80F9-B23E-4D6E-B755-34DF9E2CD4D4}"/>
    <cellStyle name="Normal 8 2 2 5 6" xfId="27261" xr:uid="{522CADEA-764D-4C3B-8DB3-4145D963B0A3}"/>
    <cellStyle name="Normal 8 2 2 6" xfId="1364" xr:uid="{00000000-0005-0000-0000-0000851C0000}"/>
    <cellStyle name="Normal 8 2 2 6 2" xfId="3594" xr:uid="{00000000-0005-0000-0000-0000861C0000}"/>
    <cellStyle name="Normal 8 2 2 6 2 2" xfId="7816" xr:uid="{00000000-0005-0000-0000-0000871C0000}"/>
    <cellStyle name="Normal 8 2 2 6 2 2 2" xfId="25589" xr:uid="{0F3F2D67-3CDF-455E-B9A0-DF5F2CCBE26B}"/>
    <cellStyle name="Normal 8 2 2 6 2 2 2 2" xfId="42483" xr:uid="{13658CC9-23A7-4F1E-8C4E-9B50D3504B6B}"/>
    <cellStyle name="Normal 8 2 2 6 2 2 3" xfId="17142" xr:uid="{208452B1-73E6-48DE-824C-8BC81AB6BE0E}"/>
    <cellStyle name="Normal 8 2 2 6 2 2 4" xfId="34036" xr:uid="{030CBB8E-6144-4997-8B2C-45AF56D509B1}"/>
    <cellStyle name="Normal 8 2 2 6 2 3" xfId="21372" xr:uid="{B0070762-C727-4336-8AED-A39BE7082693}"/>
    <cellStyle name="Normal 8 2 2 6 2 3 2" xfId="38266" xr:uid="{617B5F9F-F562-4271-87E5-07FC80EA69D0}"/>
    <cellStyle name="Normal 8 2 2 6 2 4" xfId="12925" xr:uid="{B45FFBD3-F6E0-46D1-91FC-44C0CB01D474}"/>
    <cellStyle name="Normal 8 2 2 6 2 5" xfId="29819" xr:uid="{2838808B-5FBE-4739-B83D-90F221DA363C}"/>
    <cellStyle name="Normal 8 2 2 6 3" xfId="5671" xr:uid="{00000000-0005-0000-0000-0000881C0000}"/>
    <cellStyle name="Normal 8 2 2 6 3 2" xfId="23444" xr:uid="{F89106DD-EF88-4C22-A7EC-B258698CD664}"/>
    <cellStyle name="Normal 8 2 2 6 3 2 2" xfId="40338" xr:uid="{33DB76AA-243B-49AA-9FCE-F77D1E6E6269}"/>
    <cellStyle name="Normal 8 2 2 6 3 3" xfId="14997" xr:uid="{8C395A64-BFD3-4533-AC8F-AE4236005494}"/>
    <cellStyle name="Normal 8 2 2 6 3 4" xfId="31891" xr:uid="{FBD9AC4D-7E9A-4E10-BFC8-E460DFD16022}"/>
    <cellStyle name="Normal 8 2 2 6 4" xfId="19227" xr:uid="{A2D19D5D-8CC2-4E8A-BDDF-3FEA3C32434E}"/>
    <cellStyle name="Normal 8 2 2 6 4 2" xfId="36121" xr:uid="{D6E41AA8-C07E-4F2C-9C35-8DED4AF357F0}"/>
    <cellStyle name="Normal 8 2 2 6 5" xfId="10780" xr:uid="{64084221-2060-4F25-AEAD-2995C5E548A6}"/>
    <cellStyle name="Normal 8 2 2 6 6" xfId="27674" xr:uid="{D7AC0274-D2ED-4807-93B7-3688D3718D85}"/>
    <cellStyle name="Normal 8 2 2 7" xfId="1777" xr:uid="{00000000-0005-0000-0000-0000891C0000}"/>
    <cellStyle name="Normal 8 2 2 7 2" xfId="4007" xr:uid="{00000000-0005-0000-0000-00008A1C0000}"/>
    <cellStyle name="Normal 8 2 2 7 2 2" xfId="8229" xr:uid="{00000000-0005-0000-0000-00008B1C0000}"/>
    <cellStyle name="Normal 8 2 2 7 2 2 2" xfId="26002" xr:uid="{C7F30E00-3445-43F2-88F3-E0352630962D}"/>
    <cellStyle name="Normal 8 2 2 7 2 2 2 2" xfId="42896" xr:uid="{3D5085CE-DC60-4318-B0E4-8574D7046020}"/>
    <cellStyle name="Normal 8 2 2 7 2 2 3" xfId="17555" xr:uid="{4BF60EC2-5D58-4715-B436-B582614552E7}"/>
    <cellStyle name="Normal 8 2 2 7 2 2 4" xfId="34449" xr:uid="{35A2017B-99F4-47B5-9B22-9349EDC46292}"/>
    <cellStyle name="Normal 8 2 2 7 2 3" xfId="21785" xr:uid="{2B499BE9-06D3-4FB2-B8A3-126244B15650}"/>
    <cellStyle name="Normal 8 2 2 7 2 3 2" xfId="38679" xr:uid="{D8F74544-BD17-4EEE-8632-F66BD18F9C0D}"/>
    <cellStyle name="Normal 8 2 2 7 2 4" xfId="13338" xr:uid="{0A95A909-90D5-40C2-9139-0E8F1E2CAC14}"/>
    <cellStyle name="Normal 8 2 2 7 2 5" xfId="30232" xr:uid="{79B2A316-F5F5-462A-9B5F-3CB7C1425724}"/>
    <cellStyle name="Normal 8 2 2 7 3" xfId="6084" xr:uid="{00000000-0005-0000-0000-00008C1C0000}"/>
    <cellStyle name="Normal 8 2 2 7 3 2" xfId="23857" xr:uid="{9DBC5797-7487-435A-97C2-74D08516B7B6}"/>
    <cellStyle name="Normal 8 2 2 7 3 2 2" xfId="40751" xr:uid="{48BD0682-B032-4292-BA50-E7EE243550A8}"/>
    <cellStyle name="Normal 8 2 2 7 3 3" xfId="15410" xr:uid="{F260F5AC-F073-4DAD-A959-F090D52E4BCB}"/>
    <cellStyle name="Normal 8 2 2 7 3 4" xfId="32304" xr:uid="{BA0384D1-202F-462A-835C-DF92DDAABF6A}"/>
    <cellStyle name="Normal 8 2 2 7 4" xfId="19640" xr:uid="{16D8D942-51E3-4F35-827D-B19E031F48E4}"/>
    <cellStyle name="Normal 8 2 2 7 4 2" xfId="36534" xr:uid="{9B318A8E-55AD-462E-92CA-3DD515B7BCCC}"/>
    <cellStyle name="Normal 8 2 2 7 5" xfId="11193" xr:uid="{101112B7-CCDB-470F-AD38-4F5E96A99241}"/>
    <cellStyle name="Normal 8 2 2 7 6" xfId="28087" xr:uid="{7469512A-033D-4AE6-BA50-32289385CA2B}"/>
    <cellStyle name="Normal 8 2 2 8" xfId="2191" xr:uid="{00000000-0005-0000-0000-00008D1C0000}"/>
    <cellStyle name="Normal 8 2 2 8 2" xfId="4420" xr:uid="{00000000-0005-0000-0000-00008E1C0000}"/>
    <cellStyle name="Normal 8 2 2 8 2 2" xfId="8642" xr:uid="{00000000-0005-0000-0000-00008F1C0000}"/>
    <cellStyle name="Normal 8 2 2 8 2 2 2" xfId="26415" xr:uid="{41319493-2805-4B9E-B4AA-16DEAB1544EE}"/>
    <cellStyle name="Normal 8 2 2 8 2 2 2 2" xfId="43309" xr:uid="{689E21E6-2A60-4433-A7D4-11FCF8865C26}"/>
    <cellStyle name="Normal 8 2 2 8 2 2 3" xfId="17968" xr:uid="{937B2BF0-75B9-4F06-AB31-5DBA69F5EE0B}"/>
    <cellStyle name="Normal 8 2 2 8 2 2 4" xfId="34862" xr:uid="{83622D2D-2ABF-4B27-A7CF-73C936BF0327}"/>
    <cellStyle name="Normal 8 2 2 8 2 3" xfId="22198" xr:uid="{AA6350D0-3753-4E3F-A1A7-644798362BE4}"/>
    <cellStyle name="Normal 8 2 2 8 2 3 2" xfId="39092" xr:uid="{27C80975-6DED-463D-ADF5-07312B57F1FA}"/>
    <cellStyle name="Normal 8 2 2 8 2 4" xfId="13751" xr:uid="{7C6C29B0-702E-4C51-A401-796D6F31FA09}"/>
    <cellStyle name="Normal 8 2 2 8 2 5" xfId="30645" xr:uid="{59CE3099-8906-42EA-87B2-23AC515913CF}"/>
    <cellStyle name="Normal 8 2 2 8 3" xfId="6497" xr:uid="{00000000-0005-0000-0000-0000901C0000}"/>
    <cellStyle name="Normal 8 2 2 8 3 2" xfId="24270" xr:uid="{09F76C8C-BB64-4AC7-9A39-DB9921F31802}"/>
    <cellStyle name="Normal 8 2 2 8 3 2 2" xfId="41164" xr:uid="{CEE127F4-7F40-4A1D-914A-2D4C2CD63B72}"/>
    <cellStyle name="Normal 8 2 2 8 3 3" xfId="15823" xr:uid="{54762202-7D8C-4C34-92E0-DF104E2CB1F3}"/>
    <cellStyle name="Normal 8 2 2 8 3 4" xfId="32717" xr:uid="{49C4C2C6-7FEF-4362-9156-71C23CE63D08}"/>
    <cellStyle name="Normal 8 2 2 8 4" xfId="20053" xr:uid="{115C03C8-D1C5-4FC8-816F-34848A104390}"/>
    <cellStyle name="Normal 8 2 2 8 4 2" xfId="36947" xr:uid="{2A5F1BEC-A096-4C2C-AC48-F5CBDFBD0D6D}"/>
    <cellStyle name="Normal 8 2 2 8 5" xfId="11606" xr:uid="{A359F6D3-2DE0-4B89-9D52-CBDC74813F6F}"/>
    <cellStyle name="Normal 8 2 2 8 6" xfId="28500" xr:uid="{7B8F862C-4FC5-4602-ACFA-98EA8F3C2A66}"/>
    <cellStyle name="Normal 8 2 2 9" xfId="2627" xr:uid="{00000000-0005-0000-0000-0000911C0000}"/>
    <cellStyle name="Normal 8 2 2 9 2" xfId="6910" xr:uid="{00000000-0005-0000-0000-0000921C0000}"/>
    <cellStyle name="Normal 8 2 2 9 2 2" xfId="24683" xr:uid="{2B72BE70-E4FC-4CBF-90BF-B0128DB66F96}"/>
    <cellStyle name="Normal 8 2 2 9 2 2 2" xfId="41577" xr:uid="{284F0240-6F5E-4559-896F-2C4ED7168E00}"/>
    <cellStyle name="Normal 8 2 2 9 2 3" xfId="16236" xr:uid="{C62EE35D-ACDA-4FB2-AE61-386F79FA2952}"/>
    <cellStyle name="Normal 8 2 2 9 2 4" xfId="33130" xr:uid="{419362CA-0B5F-4DF9-9F1A-BEBCD50BA42A}"/>
    <cellStyle name="Normal 8 2 2 9 3" xfId="20466" xr:uid="{71DF9CDB-187A-428D-A229-338437B5AA50}"/>
    <cellStyle name="Normal 8 2 2 9 3 2" xfId="37360" xr:uid="{BC2FDB50-BA78-4301-B0F7-F5E5E901D1C9}"/>
    <cellStyle name="Normal 8 2 2 9 4" xfId="12019" xr:uid="{FC66065F-9FD7-4E6F-A0A5-F5C40C3503C4}"/>
    <cellStyle name="Normal 8 2 2 9 5" xfId="28913" xr:uid="{494D4E18-8860-465A-B9C1-70E07FE4D234}"/>
    <cellStyle name="Normal 8 2 3" xfId="488" xr:uid="{00000000-0005-0000-0000-0000931C0000}"/>
    <cellStyle name="Normal 8 2 3 10" xfId="8835" xr:uid="{2F0FB8B3-D08B-41EB-93AB-2D83A1BD6036}"/>
    <cellStyle name="Normal 8 2 3 10 2" xfId="18409" xr:uid="{A00A2E94-4976-4F91-8A6F-35A113CD17A9}"/>
    <cellStyle name="Normal 8 2 3 10 3" xfId="35303" xr:uid="{6D8A224F-8D6E-49CB-B707-49C14981EBA0}"/>
    <cellStyle name="Normal 8 2 3 11" xfId="9962" xr:uid="{477218AA-9A0E-4C7A-8B9A-A12581C10246}"/>
    <cellStyle name="Normal 8 2 3 12" xfId="26856" xr:uid="{A0161F53-2D60-48B0-B950-F085CB54D495}"/>
    <cellStyle name="Normal 8 2 3 2" xfId="489" xr:uid="{00000000-0005-0000-0000-0000941C0000}"/>
    <cellStyle name="Normal 8 2 3 2 10" xfId="9963" xr:uid="{4AF56396-83C3-4C45-8718-DB7F028FA508}"/>
    <cellStyle name="Normal 8 2 3 2 11" xfId="26857" xr:uid="{FD5E39F7-FAE9-4936-86AF-C3DF27369EAD}"/>
    <cellStyle name="Normal 8 2 3 2 2" xfId="490" xr:uid="{00000000-0005-0000-0000-0000951C0000}"/>
    <cellStyle name="Normal 8 2 3 2 2 10" xfId="26858" xr:uid="{F94EE660-FF8A-4F51-8161-771C061921AC}"/>
    <cellStyle name="Normal 8 2 3 2 2 2" xfId="957" xr:uid="{00000000-0005-0000-0000-0000961C0000}"/>
    <cellStyle name="Normal 8 2 3 2 2 2 2" xfId="3191" xr:uid="{00000000-0005-0000-0000-0000971C0000}"/>
    <cellStyle name="Normal 8 2 3 2 2 2 2 2" xfId="7413" xr:uid="{00000000-0005-0000-0000-0000981C0000}"/>
    <cellStyle name="Normal 8 2 3 2 2 2 2 2 2" xfId="25186" xr:uid="{A2BF76EF-FAD4-468D-9418-0A568F4AA245}"/>
    <cellStyle name="Normal 8 2 3 2 2 2 2 2 2 2" xfId="42080" xr:uid="{0C631070-6E85-47BE-A027-CD87A0FFFEBB}"/>
    <cellStyle name="Normal 8 2 3 2 2 2 2 2 3" xfId="16739" xr:uid="{A0F5F9CA-8646-4DB2-88B2-88A34B193B25}"/>
    <cellStyle name="Normal 8 2 3 2 2 2 2 2 4" xfId="33633" xr:uid="{CD83FD7F-4E10-417B-BA9C-A5FCDB4BE052}"/>
    <cellStyle name="Normal 8 2 3 2 2 2 2 3" xfId="20969" xr:uid="{024BB09B-A0B5-40EE-9637-883414FA9BE0}"/>
    <cellStyle name="Normal 8 2 3 2 2 2 2 3 2" xfId="37863" xr:uid="{4739507B-A0BB-42E2-A799-9FBF59AEBD54}"/>
    <cellStyle name="Normal 8 2 3 2 2 2 2 4" xfId="12522" xr:uid="{0C6F2985-2DD4-4CE6-B628-52BD2C7CEE44}"/>
    <cellStyle name="Normal 8 2 3 2 2 2 2 5" xfId="29416" xr:uid="{4DE405B7-2F2B-469E-94BC-EF60A0910850}"/>
    <cellStyle name="Normal 8 2 3 2 2 2 3" xfId="5268" xr:uid="{00000000-0005-0000-0000-0000991C0000}"/>
    <cellStyle name="Normal 8 2 3 2 2 2 3 2" xfId="23041" xr:uid="{A3D09C98-4644-4FA8-ACCF-2281F120B67E}"/>
    <cellStyle name="Normal 8 2 3 2 2 2 3 2 2" xfId="39935" xr:uid="{3A1B5128-F457-466A-BB4C-8C4DC9A3D64C}"/>
    <cellStyle name="Normal 8 2 3 2 2 2 3 3" xfId="14594" xr:uid="{07939D9B-5F22-424E-9AB2-B0F8B8CE53D9}"/>
    <cellStyle name="Normal 8 2 3 2 2 2 3 4" xfId="31488" xr:uid="{12C7FE97-364C-4013-9D30-DB5AA6EA39E0}"/>
    <cellStyle name="Normal 8 2 3 2 2 2 4" xfId="9570" xr:uid="{BA9732E0-D9E4-47DB-882D-D871A821FA55}"/>
    <cellStyle name="Normal 8 2 3 2 2 2 4 2" xfId="18824" xr:uid="{CE1CC0E4-11A2-4C96-B168-61C3E0B0EA80}"/>
    <cellStyle name="Normal 8 2 3 2 2 2 4 3" xfId="35718" xr:uid="{89503D82-F373-45E6-B53C-60364A4FF3D4}"/>
    <cellStyle name="Normal 8 2 3 2 2 2 5" xfId="10377" xr:uid="{8E086B8C-697C-4150-9F97-8A107876089A}"/>
    <cellStyle name="Normal 8 2 3 2 2 2 6" xfId="27271" xr:uid="{046A3A54-FADB-4506-B754-6E49C70897D9}"/>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2 2 2" xfId="25599" xr:uid="{FC8138BF-CB18-46B2-9F19-252791E238E7}"/>
    <cellStyle name="Normal 8 2 3 2 2 3 2 2 2 2" xfId="42493" xr:uid="{C2ED1B09-F285-4A37-B8AF-36B7FE62AC18}"/>
    <cellStyle name="Normal 8 2 3 2 2 3 2 2 3" xfId="17152" xr:uid="{053C6F7E-DA55-4DBC-ABAE-8161327FE468}"/>
    <cellStyle name="Normal 8 2 3 2 2 3 2 2 4" xfId="34046" xr:uid="{9DB26E3B-F516-4764-9419-440BABFA78A2}"/>
    <cellStyle name="Normal 8 2 3 2 2 3 2 3" xfId="21382" xr:uid="{E02F7F4B-EC37-4E99-B822-1CF59D7D8465}"/>
    <cellStyle name="Normal 8 2 3 2 2 3 2 3 2" xfId="38276" xr:uid="{95F29A8A-9284-49E9-AB05-08DA5E8C41E5}"/>
    <cellStyle name="Normal 8 2 3 2 2 3 2 4" xfId="12935" xr:uid="{4A23CA7D-5DE8-47DC-9C02-E81AA74A5667}"/>
    <cellStyle name="Normal 8 2 3 2 2 3 2 5" xfId="29829" xr:uid="{E382DDB3-25EC-4E18-84EC-989AFF0EC72E}"/>
    <cellStyle name="Normal 8 2 3 2 2 3 3" xfId="5681" xr:uid="{00000000-0005-0000-0000-00009D1C0000}"/>
    <cellStyle name="Normal 8 2 3 2 2 3 3 2" xfId="23454" xr:uid="{F103F5D1-4A10-4C38-AA1C-050F253C7AA6}"/>
    <cellStyle name="Normal 8 2 3 2 2 3 3 2 2" xfId="40348" xr:uid="{F93BA407-439C-464B-BCD3-F79017DEB0C5}"/>
    <cellStyle name="Normal 8 2 3 2 2 3 3 3" xfId="15007" xr:uid="{7F5E421E-A4FB-4624-9FCB-909EF7BA452B}"/>
    <cellStyle name="Normal 8 2 3 2 2 3 3 4" xfId="31901" xr:uid="{D4E592B7-3BF6-40C0-AAFC-B6A350DEC1CB}"/>
    <cellStyle name="Normal 8 2 3 2 2 3 4" xfId="19237" xr:uid="{243F399D-BB49-4666-AE28-8B8972AC12AD}"/>
    <cellStyle name="Normal 8 2 3 2 2 3 4 2" xfId="36131" xr:uid="{35F8E945-AC40-4D10-AD42-3E31699ADE08}"/>
    <cellStyle name="Normal 8 2 3 2 2 3 5" xfId="10790" xr:uid="{A4F8E612-5E06-4696-8831-BE8B61610ED8}"/>
    <cellStyle name="Normal 8 2 3 2 2 3 6" xfId="27684" xr:uid="{119426FA-85DD-4115-BAF0-56ECD47C8314}"/>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2 2 2" xfId="26012" xr:uid="{9E265EF1-80AA-4CCE-BF40-F2A5E133EFB8}"/>
    <cellStyle name="Normal 8 2 3 2 2 4 2 2 2 2" xfId="42906" xr:uid="{E45B1405-3322-4CBF-BBB5-2DBBC827C62C}"/>
    <cellStyle name="Normal 8 2 3 2 2 4 2 2 3" xfId="17565" xr:uid="{2A8106FF-0168-4FFE-8CBB-46D6DF13CC2D}"/>
    <cellStyle name="Normal 8 2 3 2 2 4 2 2 4" xfId="34459" xr:uid="{50614538-5CB8-4287-B18A-6FE97FF2F7C3}"/>
    <cellStyle name="Normal 8 2 3 2 2 4 2 3" xfId="21795" xr:uid="{4AFB9497-D642-481F-8A99-62BF98A8A062}"/>
    <cellStyle name="Normal 8 2 3 2 2 4 2 3 2" xfId="38689" xr:uid="{1D96484B-CAAB-4EE8-861D-089545D3F326}"/>
    <cellStyle name="Normal 8 2 3 2 2 4 2 4" xfId="13348" xr:uid="{5590274B-B9F4-40B8-89FF-61210D5EF43A}"/>
    <cellStyle name="Normal 8 2 3 2 2 4 2 5" xfId="30242" xr:uid="{F2723DF9-3182-45F8-B222-A41A58568BBC}"/>
    <cellStyle name="Normal 8 2 3 2 2 4 3" xfId="6094" xr:uid="{00000000-0005-0000-0000-0000A11C0000}"/>
    <cellStyle name="Normal 8 2 3 2 2 4 3 2" xfId="23867" xr:uid="{858A3ABB-9F25-4AF9-80C0-4F733A586CBB}"/>
    <cellStyle name="Normal 8 2 3 2 2 4 3 2 2" xfId="40761" xr:uid="{C122D483-2CDB-4378-B5EA-223E063B731C}"/>
    <cellStyle name="Normal 8 2 3 2 2 4 3 3" xfId="15420" xr:uid="{F56C91FE-F9D9-49FB-84E7-D85F7E7898BC}"/>
    <cellStyle name="Normal 8 2 3 2 2 4 3 4" xfId="32314" xr:uid="{CB9E8863-9B23-4262-8EC8-CA32D5D577F7}"/>
    <cellStyle name="Normal 8 2 3 2 2 4 4" xfId="19650" xr:uid="{B03BF8FC-3ECD-4B0F-A4A1-06C6009769C3}"/>
    <cellStyle name="Normal 8 2 3 2 2 4 4 2" xfId="36544" xr:uid="{15A156BD-BE4F-461C-8AFE-349D8604C09C}"/>
    <cellStyle name="Normal 8 2 3 2 2 4 5" xfId="11203" xr:uid="{6B2420B0-061B-40B0-84EA-7882D9FE29E7}"/>
    <cellStyle name="Normal 8 2 3 2 2 4 6" xfId="28097" xr:uid="{A54709D9-4FCD-40AF-BB4A-C47A784FC2B9}"/>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2 2 2" xfId="26425" xr:uid="{3AE94BE0-C2A4-4F60-B2F2-65C6FEACB5C0}"/>
    <cellStyle name="Normal 8 2 3 2 2 5 2 2 2 2" xfId="43319" xr:uid="{2145E815-B480-4F6F-94F5-174D0EC8B84C}"/>
    <cellStyle name="Normal 8 2 3 2 2 5 2 2 3" xfId="17978" xr:uid="{2DCE01DB-AE02-44FB-9FE5-7EDE12A99D00}"/>
    <cellStyle name="Normal 8 2 3 2 2 5 2 2 4" xfId="34872" xr:uid="{24F43690-317C-4DA9-8CE2-C74394A62989}"/>
    <cellStyle name="Normal 8 2 3 2 2 5 2 3" xfId="22208" xr:uid="{3F237F7A-A060-4882-8A1F-67435AAF8DCB}"/>
    <cellStyle name="Normal 8 2 3 2 2 5 2 3 2" xfId="39102" xr:uid="{62527EF5-6331-4E64-A8EB-DC41D5E04496}"/>
    <cellStyle name="Normal 8 2 3 2 2 5 2 4" xfId="13761" xr:uid="{7BEB66DA-94B5-44A4-967D-36AC33D676C5}"/>
    <cellStyle name="Normal 8 2 3 2 2 5 2 5" xfId="30655" xr:uid="{DB244FED-E8B7-47F6-9B69-7DC91CEC9F5E}"/>
    <cellStyle name="Normal 8 2 3 2 2 5 3" xfId="6507" xr:uid="{00000000-0005-0000-0000-0000A51C0000}"/>
    <cellStyle name="Normal 8 2 3 2 2 5 3 2" xfId="24280" xr:uid="{FC618827-7455-4271-BE1B-2A96CFEB32EF}"/>
    <cellStyle name="Normal 8 2 3 2 2 5 3 2 2" xfId="41174" xr:uid="{3853F111-802F-4BF7-A83F-AEAC118BB0DC}"/>
    <cellStyle name="Normal 8 2 3 2 2 5 3 3" xfId="15833" xr:uid="{15C3EAF1-4DD4-4FE2-8D37-32C076D57025}"/>
    <cellStyle name="Normal 8 2 3 2 2 5 3 4" xfId="32727" xr:uid="{649BE87C-F001-488C-AD0C-6D92D76A4F5B}"/>
    <cellStyle name="Normal 8 2 3 2 2 5 4" xfId="20063" xr:uid="{34A41E73-E6FD-4587-8957-C7E5B86CF9D5}"/>
    <cellStyle name="Normal 8 2 3 2 2 5 4 2" xfId="36957" xr:uid="{5350C76D-B850-4ADC-96E2-CCB6A9D4BD33}"/>
    <cellStyle name="Normal 8 2 3 2 2 5 5" xfId="11616" xr:uid="{E464EB08-909F-4B6F-8726-C2EB1175C071}"/>
    <cellStyle name="Normal 8 2 3 2 2 5 6" xfId="28510" xr:uid="{0A14AAE5-BDD4-4B45-8D0C-BC0527F3AC22}"/>
    <cellStyle name="Normal 8 2 3 2 2 6" xfId="2637" xr:uid="{00000000-0005-0000-0000-0000A61C0000}"/>
    <cellStyle name="Normal 8 2 3 2 2 6 2" xfId="6920" xr:uid="{00000000-0005-0000-0000-0000A71C0000}"/>
    <cellStyle name="Normal 8 2 3 2 2 6 2 2" xfId="24693" xr:uid="{E92CFAC2-E52F-4980-A022-CBD90CDEB5B1}"/>
    <cellStyle name="Normal 8 2 3 2 2 6 2 2 2" xfId="41587" xr:uid="{AD39C6F2-3E15-4B4C-BB1D-6C58039B6D56}"/>
    <cellStyle name="Normal 8 2 3 2 2 6 2 3" xfId="16246" xr:uid="{AE412C81-52F6-42B5-9286-F68FFF3EF500}"/>
    <cellStyle name="Normal 8 2 3 2 2 6 2 4" xfId="33140" xr:uid="{339FB1BC-6635-47E4-B27F-5F920835E6C2}"/>
    <cellStyle name="Normal 8 2 3 2 2 6 3" xfId="20476" xr:uid="{15B009B1-6ADF-4490-A249-EEECED2935B5}"/>
    <cellStyle name="Normal 8 2 3 2 2 6 3 2" xfId="37370" xr:uid="{02D04419-DFEB-46BE-99D5-0EE3A6D01129}"/>
    <cellStyle name="Normal 8 2 3 2 2 6 4" xfId="12029" xr:uid="{7C7B7AC5-098E-45A9-B253-2AFB3C94F78E}"/>
    <cellStyle name="Normal 8 2 3 2 2 6 5" xfId="28923" xr:uid="{2FAB588E-716A-4213-A595-B374305E5E14}"/>
    <cellStyle name="Normal 8 2 3 2 2 7" xfId="4855" xr:uid="{00000000-0005-0000-0000-0000A81C0000}"/>
    <cellStyle name="Normal 8 2 3 2 2 7 2" xfId="22628" xr:uid="{57EB0142-EBA6-465F-9FA9-3B2206D68067}"/>
    <cellStyle name="Normal 8 2 3 2 2 7 2 2" xfId="39522" xr:uid="{ED146823-8F34-420D-B362-A679355A1B10}"/>
    <cellStyle name="Normal 8 2 3 2 2 7 3" xfId="14181" xr:uid="{BF7AEA46-EE63-4864-93A5-7C4CB9C4F231}"/>
    <cellStyle name="Normal 8 2 3 2 2 7 4" xfId="31075" xr:uid="{464C16DD-C377-4ACF-828D-225E0DB63CB9}"/>
    <cellStyle name="Normal 8 2 3 2 2 8" xfId="9145" xr:uid="{C71E6005-187D-4837-92B4-619AF06B3A3B}"/>
    <cellStyle name="Normal 8 2 3 2 2 8 2" xfId="18411" xr:uid="{049F3497-E3E2-4980-AFAB-258ADE260072}"/>
    <cellStyle name="Normal 8 2 3 2 2 8 3" xfId="35305" xr:uid="{2DCFDCF8-8F04-4E47-804D-E2852B8E26E7}"/>
    <cellStyle name="Normal 8 2 3 2 2 9" xfId="9964" xr:uid="{0C9ADED7-056F-43D0-8F64-2600042F656A}"/>
    <cellStyle name="Normal 8 2 3 2 3" xfId="956" xr:uid="{00000000-0005-0000-0000-0000A91C0000}"/>
    <cellStyle name="Normal 8 2 3 2 3 2" xfId="3190" xr:uid="{00000000-0005-0000-0000-0000AA1C0000}"/>
    <cellStyle name="Normal 8 2 3 2 3 2 2" xfId="7412" xr:uid="{00000000-0005-0000-0000-0000AB1C0000}"/>
    <cellStyle name="Normal 8 2 3 2 3 2 2 2" xfId="25185" xr:uid="{A7B41FC5-5813-4453-BABF-B926B13DB212}"/>
    <cellStyle name="Normal 8 2 3 2 3 2 2 2 2" xfId="42079" xr:uid="{1357513F-682A-4243-A669-E45CFB3C2108}"/>
    <cellStyle name="Normal 8 2 3 2 3 2 2 3" xfId="16738" xr:uid="{573BC772-22DB-4CF0-94DB-95D5A05310A5}"/>
    <cellStyle name="Normal 8 2 3 2 3 2 2 4" xfId="33632" xr:uid="{E5AD8FB7-81BE-4811-B671-DA116B1581CD}"/>
    <cellStyle name="Normal 8 2 3 2 3 2 3" xfId="20968" xr:uid="{B6002E50-77AD-4DCE-A348-2E7FEDB260B9}"/>
    <cellStyle name="Normal 8 2 3 2 3 2 3 2" xfId="37862" xr:uid="{8D3F7466-CCDB-4FC1-AB8C-36B221A9863E}"/>
    <cellStyle name="Normal 8 2 3 2 3 2 4" xfId="12521" xr:uid="{EF036B3E-4EFB-4C2F-B433-DAC8006FEEAE}"/>
    <cellStyle name="Normal 8 2 3 2 3 2 5" xfId="29415" xr:uid="{71C851B9-A5BB-4624-8F4E-04515591BE50}"/>
    <cellStyle name="Normal 8 2 3 2 3 3" xfId="5267" xr:uid="{00000000-0005-0000-0000-0000AC1C0000}"/>
    <cellStyle name="Normal 8 2 3 2 3 3 2" xfId="23040" xr:uid="{A58AA721-279A-4788-8C3C-70C2070B2312}"/>
    <cellStyle name="Normal 8 2 3 2 3 3 2 2" xfId="39934" xr:uid="{4459AA8C-7901-4899-8775-7A9805DD9CC7}"/>
    <cellStyle name="Normal 8 2 3 2 3 3 3" xfId="14593" xr:uid="{8876EF45-5A05-444A-A8B2-85E0E2A981DF}"/>
    <cellStyle name="Normal 8 2 3 2 3 3 4" xfId="31487" xr:uid="{81009AA7-14D9-4B17-BAE1-CD6D927BC505}"/>
    <cellStyle name="Normal 8 2 3 2 3 4" xfId="9363" xr:uid="{C94C6C98-A8BC-4AC9-B084-0D2219E89AA8}"/>
    <cellStyle name="Normal 8 2 3 2 3 4 2" xfId="18823" xr:uid="{6F641AAA-400A-42ED-A736-9E77FB6F1113}"/>
    <cellStyle name="Normal 8 2 3 2 3 4 3" xfId="35717" xr:uid="{FC1485BA-DED3-452F-B1F9-BFF77EEDB554}"/>
    <cellStyle name="Normal 8 2 3 2 3 5" xfId="10376" xr:uid="{100EC387-1E24-4EB5-94D8-4E10B1378C82}"/>
    <cellStyle name="Normal 8 2 3 2 3 6" xfId="27270" xr:uid="{D785BC00-7D84-4CB9-A9A1-B5E0277782DB}"/>
    <cellStyle name="Normal 8 2 3 2 4" xfId="1373" xr:uid="{00000000-0005-0000-0000-0000AD1C0000}"/>
    <cellStyle name="Normal 8 2 3 2 4 2" xfId="3603" xr:uid="{00000000-0005-0000-0000-0000AE1C0000}"/>
    <cellStyle name="Normal 8 2 3 2 4 2 2" xfId="7825" xr:uid="{00000000-0005-0000-0000-0000AF1C0000}"/>
    <cellStyle name="Normal 8 2 3 2 4 2 2 2" xfId="25598" xr:uid="{FD2F65A5-13FD-46C2-8953-CA9DE670DCC7}"/>
    <cellStyle name="Normal 8 2 3 2 4 2 2 2 2" xfId="42492" xr:uid="{E6EAD002-EC9E-4CA5-90B9-DC166E7A994E}"/>
    <cellStyle name="Normal 8 2 3 2 4 2 2 3" xfId="17151" xr:uid="{F1D7C428-BC0F-4F01-8597-93526DA954FC}"/>
    <cellStyle name="Normal 8 2 3 2 4 2 2 4" xfId="34045" xr:uid="{1CFA2865-ACD3-4038-97D7-4750DAFE0CFC}"/>
    <cellStyle name="Normal 8 2 3 2 4 2 3" xfId="21381" xr:uid="{131042F0-DC2B-4D29-8F2C-5F5E92CE8EF0}"/>
    <cellStyle name="Normal 8 2 3 2 4 2 3 2" xfId="38275" xr:uid="{53122235-53D2-4FD8-85BE-4B783290E78F}"/>
    <cellStyle name="Normal 8 2 3 2 4 2 4" xfId="12934" xr:uid="{C184B38D-CCA2-4E90-84C4-EFA7F1AED56D}"/>
    <cellStyle name="Normal 8 2 3 2 4 2 5" xfId="29828" xr:uid="{39C147B1-4547-4E83-96F9-3FA76CA275D6}"/>
    <cellStyle name="Normal 8 2 3 2 4 3" xfId="5680" xr:uid="{00000000-0005-0000-0000-0000B01C0000}"/>
    <cellStyle name="Normal 8 2 3 2 4 3 2" xfId="23453" xr:uid="{7DB4B8D4-54FC-4B32-B24D-9B882CB6F14D}"/>
    <cellStyle name="Normal 8 2 3 2 4 3 2 2" xfId="40347" xr:uid="{431AE6C9-65C8-4ECA-A0F5-65739BA87915}"/>
    <cellStyle name="Normal 8 2 3 2 4 3 3" xfId="15006" xr:uid="{22591B7F-37B1-45D2-B845-030323FB22CF}"/>
    <cellStyle name="Normal 8 2 3 2 4 3 4" xfId="31900" xr:uid="{82610B43-13F6-47A5-B27F-586707769F77}"/>
    <cellStyle name="Normal 8 2 3 2 4 4" xfId="19236" xr:uid="{59FB211B-F208-47DC-B8D0-2E0B609AF713}"/>
    <cellStyle name="Normal 8 2 3 2 4 4 2" xfId="36130" xr:uid="{ECD71FAF-3D57-44E6-95DD-AF79D6878754}"/>
    <cellStyle name="Normal 8 2 3 2 4 5" xfId="10789" xr:uid="{74DDE1E6-CF7E-436B-92A2-44CA4FE37FE2}"/>
    <cellStyle name="Normal 8 2 3 2 4 6" xfId="27683" xr:uid="{E9F53679-989C-481D-8F77-09B54127C873}"/>
    <cellStyle name="Normal 8 2 3 2 5" xfId="1786" xr:uid="{00000000-0005-0000-0000-0000B11C0000}"/>
    <cellStyle name="Normal 8 2 3 2 5 2" xfId="4016" xr:uid="{00000000-0005-0000-0000-0000B21C0000}"/>
    <cellStyle name="Normal 8 2 3 2 5 2 2" xfId="8238" xr:uid="{00000000-0005-0000-0000-0000B31C0000}"/>
    <cellStyle name="Normal 8 2 3 2 5 2 2 2" xfId="26011" xr:uid="{055215EB-7062-4AE9-AD53-C6B7BA136C58}"/>
    <cellStyle name="Normal 8 2 3 2 5 2 2 2 2" xfId="42905" xr:uid="{2CF4910F-06B6-4F36-AAFB-FBCEACE484DB}"/>
    <cellStyle name="Normal 8 2 3 2 5 2 2 3" xfId="17564" xr:uid="{7AC33770-DBC5-4AD2-B152-F928518323A2}"/>
    <cellStyle name="Normal 8 2 3 2 5 2 2 4" xfId="34458" xr:uid="{131D2E54-5956-4D38-BC43-44610EA9EF52}"/>
    <cellStyle name="Normal 8 2 3 2 5 2 3" xfId="21794" xr:uid="{97EA33DB-EF65-4D4B-8F18-C6ACD1EE9B06}"/>
    <cellStyle name="Normal 8 2 3 2 5 2 3 2" xfId="38688" xr:uid="{86B5F161-C599-440B-AF4A-880DFBCC7EDF}"/>
    <cellStyle name="Normal 8 2 3 2 5 2 4" xfId="13347" xr:uid="{89032E7E-F895-462A-B972-613A864C09D9}"/>
    <cellStyle name="Normal 8 2 3 2 5 2 5" xfId="30241" xr:uid="{C18AED2E-E9CA-40E6-B227-2822C8857B13}"/>
    <cellStyle name="Normal 8 2 3 2 5 3" xfId="6093" xr:uid="{00000000-0005-0000-0000-0000B41C0000}"/>
    <cellStyle name="Normal 8 2 3 2 5 3 2" xfId="23866" xr:uid="{A2D960A8-9920-4417-928C-44D158A8945E}"/>
    <cellStyle name="Normal 8 2 3 2 5 3 2 2" xfId="40760" xr:uid="{C76CFC91-A9C6-4737-AE97-3BC3333830F9}"/>
    <cellStyle name="Normal 8 2 3 2 5 3 3" xfId="15419" xr:uid="{1DEEE77A-CAD1-4FD8-9505-55DB608FE239}"/>
    <cellStyle name="Normal 8 2 3 2 5 3 4" xfId="32313" xr:uid="{5650C0A8-E9DB-403E-B8F0-DE271D40E6D7}"/>
    <cellStyle name="Normal 8 2 3 2 5 4" xfId="19649" xr:uid="{0619AC18-4247-4255-A9D9-98E6B7A60DCA}"/>
    <cellStyle name="Normal 8 2 3 2 5 4 2" xfId="36543" xr:uid="{640FBE52-704A-4221-9C9A-746D7A191DE6}"/>
    <cellStyle name="Normal 8 2 3 2 5 5" xfId="11202" xr:uid="{1155BD8D-D1E2-4047-9434-A3D1AE888802}"/>
    <cellStyle name="Normal 8 2 3 2 5 6" xfId="28096" xr:uid="{FC1A3F58-4305-47C3-860B-04AA4FF4E83C}"/>
    <cellStyle name="Normal 8 2 3 2 6" xfId="2200" xr:uid="{00000000-0005-0000-0000-0000B51C0000}"/>
    <cellStyle name="Normal 8 2 3 2 6 2" xfId="4429" xr:uid="{00000000-0005-0000-0000-0000B61C0000}"/>
    <cellStyle name="Normal 8 2 3 2 6 2 2" xfId="8651" xr:uid="{00000000-0005-0000-0000-0000B71C0000}"/>
    <cellStyle name="Normal 8 2 3 2 6 2 2 2" xfId="26424" xr:uid="{1BA92761-F257-43EF-90C0-E501A9174984}"/>
    <cellStyle name="Normal 8 2 3 2 6 2 2 2 2" xfId="43318" xr:uid="{256A9406-C307-463A-B432-B23A92BA0147}"/>
    <cellStyle name="Normal 8 2 3 2 6 2 2 3" xfId="17977" xr:uid="{EE967C42-1850-459A-90B8-FF7483F0152E}"/>
    <cellStyle name="Normal 8 2 3 2 6 2 2 4" xfId="34871" xr:uid="{C1531AF2-42C3-4FCF-AC05-2F358A01F858}"/>
    <cellStyle name="Normal 8 2 3 2 6 2 3" xfId="22207" xr:uid="{27B1A5A6-0A14-4536-927A-19380A85533D}"/>
    <cellStyle name="Normal 8 2 3 2 6 2 3 2" xfId="39101" xr:uid="{16715F35-1361-417C-A5E7-0E8FD7DF14A5}"/>
    <cellStyle name="Normal 8 2 3 2 6 2 4" xfId="13760" xr:uid="{8E1A80B4-F8C2-4A3F-BFAA-4AD37C5613C8}"/>
    <cellStyle name="Normal 8 2 3 2 6 2 5" xfId="30654" xr:uid="{0AE39EC3-36FE-4162-91A1-81BB7D38B0AA}"/>
    <cellStyle name="Normal 8 2 3 2 6 3" xfId="6506" xr:uid="{00000000-0005-0000-0000-0000B81C0000}"/>
    <cellStyle name="Normal 8 2 3 2 6 3 2" xfId="24279" xr:uid="{071B6E44-658E-494A-82FD-519A04C81FE4}"/>
    <cellStyle name="Normal 8 2 3 2 6 3 2 2" xfId="41173" xr:uid="{982213EA-C7DD-4856-B57F-DDF342973B38}"/>
    <cellStyle name="Normal 8 2 3 2 6 3 3" xfId="15832" xr:uid="{31201C2D-D11E-4349-BB03-4D71C811046F}"/>
    <cellStyle name="Normal 8 2 3 2 6 3 4" xfId="32726" xr:uid="{A023ACC5-5338-4E54-96CF-57142865D821}"/>
    <cellStyle name="Normal 8 2 3 2 6 4" xfId="20062" xr:uid="{8382B9DF-6CFB-41F0-877E-70FD990DD806}"/>
    <cellStyle name="Normal 8 2 3 2 6 4 2" xfId="36956" xr:uid="{4429BF53-AC4D-4330-BCDC-F37FED415BFB}"/>
    <cellStyle name="Normal 8 2 3 2 6 5" xfId="11615" xr:uid="{BAE72E02-83E4-40C0-98CD-1CA257B3527D}"/>
    <cellStyle name="Normal 8 2 3 2 6 6" xfId="28509" xr:uid="{3D3FCAC8-E9C3-48FD-99BD-25B8613669F6}"/>
    <cellStyle name="Normal 8 2 3 2 7" xfId="2636" xr:uid="{00000000-0005-0000-0000-0000B91C0000}"/>
    <cellStyle name="Normal 8 2 3 2 7 2" xfId="6919" xr:uid="{00000000-0005-0000-0000-0000BA1C0000}"/>
    <cellStyle name="Normal 8 2 3 2 7 2 2" xfId="24692" xr:uid="{73C5FECC-5C02-489C-9B59-7803916D8EBF}"/>
    <cellStyle name="Normal 8 2 3 2 7 2 2 2" xfId="41586" xr:uid="{038EF45D-19B6-4B9C-9D7E-686EEE3E5F61}"/>
    <cellStyle name="Normal 8 2 3 2 7 2 3" xfId="16245" xr:uid="{AA1B31E9-4BCC-4E07-83AA-50CC78222036}"/>
    <cellStyle name="Normal 8 2 3 2 7 2 4" xfId="33139" xr:uid="{97C95EC1-43E9-4959-A75B-CC6F2C969601}"/>
    <cellStyle name="Normal 8 2 3 2 7 3" xfId="20475" xr:uid="{82ABACA7-56E8-42CC-B9F8-7BF91DCD59C0}"/>
    <cellStyle name="Normal 8 2 3 2 7 3 2" xfId="37369" xr:uid="{243CEF84-6B41-4B7C-88D6-06D18CFD976A}"/>
    <cellStyle name="Normal 8 2 3 2 7 4" xfId="12028" xr:uid="{8B31E72B-1421-4614-AF88-297FAB222097}"/>
    <cellStyle name="Normal 8 2 3 2 7 5" xfId="28922" xr:uid="{ACFBD706-5D8C-4378-B7E2-256C739F794E}"/>
    <cellStyle name="Normal 8 2 3 2 8" xfId="4854" xr:uid="{00000000-0005-0000-0000-0000BB1C0000}"/>
    <cellStyle name="Normal 8 2 3 2 8 2" xfId="22627" xr:uid="{AC963CFB-FD7C-422A-8927-C9F5261DD5F2}"/>
    <cellStyle name="Normal 8 2 3 2 8 2 2" xfId="39521" xr:uid="{A92AAD20-D5E0-468E-8FC1-F565377D55AF}"/>
    <cellStyle name="Normal 8 2 3 2 8 3" xfId="14180" xr:uid="{8950B9DA-8EFC-4D36-B7F3-C97FF4592B64}"/>
    <cellStyle name="Normal 8 2 3 2 8 4" xfId="31074" xr:uid="{8075EFD9-97E7-40C2-BD80-2E0A8C305876}"/>
    <cellStyle name="Normal 8 2 3 2 9" xfId="8938" xr:uid="{1EAF77CE-4DC3-40DC-AA9D-31320D478EE9}"/>
    <cellStyle name="Normal 8 2 3 2 9 2" xfId="18410" xr:uid="{0DDE921F-0278-486F-94CF-5B9E42C04D6F}"/>
    <cellStyle name="Normal 8 2 3 2 9 3" xfId="35304" xr:uid="{1F1F6F2E-1655-4009-B2FA-20169FDF4BC4}"/>
    <cellStyle name="Normal 8 2 3 3" xfId="491" xr:uid="{00000000-0005-0000-0000-0000BC1C0000}"/>
    <cellStyle name="Normal 8 2 3 3 10" xfId="26859" xr:uid="{7EB72EB5-B14B-4B72-8FC1-BA95DB06BB63}"/>
    <cellStyle name="Normal 8 2 3 3 2" xfId="958" xr:uid="{00000000-0005-0000-0000-0000BD1C0000}"/>
    <cellStyle name="Normal 8 2 3 3 2 2" xfId="3192" xr:uid="{00000000-0005-0000-0000-0000BE1C0000}"/>
    <cellStyle name="Normal 8 2 3 3 2 2 2" xfId="7414" xr:uid="{00000000-0005-0000-0000-0000BF1C0000}"/>
    <cellStyle name="Normal 8 2 3 3 2 2 2 2" xfId="25187" xr:uid="{CDFECFD5-91C5-49BB-94F5-600CE36A8B82}"/>
    <cellStyle name="Normal 8 2 3 3 2 2 2 2 2" xfId="42081" xr:uid="{15AA57B2-E37A-47EF-923A-13A1CF2F4D79}"/>
    <cellStyle name="Normal 8 2 3 3 2 2 2 3" xfId="16740" xr:uid="{FB12EA5C-9337-48FA-B905-CE6EEC1C2D83}"/>
    <cellStyle name="Normal 8 2 3 3 2 2 2 4" xfId="33634" xr:uid="{09B97271-D633-4BBE-A271-949BB0AEDCF6}"/>
    <cellStyle name="Normal 8 2 3 3 2 2 3" xfId="20970" xr:uid="{D2868F13-B89D-44D5-9544-00FDEDD28C6E}"/>
    <cellStyle name="Normal 8 2 3 3 2 2 3 2" xfId="37864" xr:uid="{5543933B-AA8E-4B2F-A23B-A88FFB28666F}"/>
    <cellStyle name="Normal 8 2 3 3 2 2 4" xfId="12523" xr:uid="{2B6E75C9-0A36-4C55-BF31-E935ABD2833E}"/>
    <cellStyle name="Normal 8 2 3 3 2 2 5" xfId="29417" xr:uid="{8F5BFC28-4E4B-4456-9292-38B7E81807D4}"/>
    <cellStyle name="Normal 8 2 3 3 2 3" xfId="5269" xr:uid="{00000000-0005-0000-0000-0000C01C0000}"/>
    <cellStyle name="Normal 8 2 3 3 2 3 2" xfId="23042" xr:uid="{CEBC82C1-0F96-45F3-BF3E-4A6152317AB9}"/>
    <cellStyle name="Normal 8 2 3 3 2 3 2 2" xfId="39936" xr:uid="{FBD0BC48-3BBB-4111-8FE6-FDADA4EDDBF5}"/>
    <cellStyle name="Normal 8 2 3 3 2 3 3" xfId="14595" xr:uid="{C95648B4-7E12-45BA-A37F-3C04A26A3C1E}"/>
    <cellStyle name="Normal 8 2 3 3 2 3 4" xfId="31489" xr:uid="{BFE7A22C-8D22-4146-B212-F5A424F25870}"/>
    <cellStyle name="Normal 8 2 3 3 2 4" xfId="9467" xr:uid="{C16001D7-8508-4511-808F-E990F8EA0FE3}"/>
    <cellStyle name="Normal 8 2 3 3 2 4 2" xfId="18825" xr:uid="{06DD6BAF-8453-4FD5-9FD5-9F7575955044}"/>
    <cellStyle name="Normal 8 2 3 3 2 4 3" xfId="35719" xr:uid="{B035DDD0-4E38-46C0-9BCA-47550606C782}"/>
    <cellStyle name="Normal 8 2 3 3 2 5" xfId="10378" xr:uid="{5D6E9A4C-6FA3-4558-9660-9280747E7896}"/>
    <cellStyle name="Normal 8 2 3 3 2 6" xfId="27272" xr:uid="{029934DB-9A2B-47FE-B5E6-532BB52013CB}"/>
    <cellStyle name="Normal 8 2 3 3 3" xfId="1375" xr:uid="{00000000-0005-0000-0000-0000C11C0000}"/>
    <cellStyle name="Normal 8 2 3 3 3 2" xfId="3605" xr:uid="{00000000-0005-0000-0000-0000C21C0000}"/>
    <cellStyle name="Normal 8 2 3 3 3 2 2" xfId="7827" xr:uid="{00000000-0005-0000-0000-0000C31C0000}"/>
    <cellStyle name="Normal 8 2 3 3 3 2 2 2" xfId="25600" xr:uid="{093506B3-DD0E-4F74-B0C8-E078B063CA39}"/>
    <cellStyle name="Normal 8 2 3 3 3 2 2 2 2" xfId="42494" xr:uid="{6714A9DD-FCD8-40FC-9E04-40050378734E}"/>
    <cellStyle name="Normal 8 2 3 3 3 2 2 3" xfId="17153" xr:uid="{E255846F-E96F-41B0-A5FA-D856E9728E51}"/>
    <cellStyle name="Normal 8 2 3 3 3 2 2 4" xfId="34047" xr:uid="{809B5F68-AA58-48AB-8268-FFBA5F88EAD6}"/>
    <cellStyle name="Normal 8 2 3 3 3 2 3" xfId="21383" xr:uid="{CCAFAF91-1164-4D40-A018-89EA7BBBE399}"/>
    <cellStyle name="Normal 8 2 3 3 3 2 3 2" xfId="38277" xr:uid="{B34AC988-15C9-445E-938C-F09C4DBEABF7}"/>
    <cellStyle name="Normal 8 2 3 3 3 2 4" xfId="12936" xr:uid="{EC1BCA1D-EF05-4207-B7C3-3A363B2DE4B1}"/>
    <cellStyle name="Normal 8 2 3 3 3 2 5" xfId="29830" xr:uid="{7155A55C-167A-4D21-9E48-BA2B880C3001}"/>
    <cellStyle name="Normal 8 2 3 3 3 3" xfId="5682" xr:uid="{00000000-0005-0000-0000-0000C41C0000}"/>
    <cellStyle name="Normal 8 2 3 3 3 3 2" xfId="23455" xr:uid="{8B38CE84-6FE5-4762-86A9-0452D77E9546}"/>
    <cellStyle name="Normal 8 2 3 3 3 3 2 2" xfId="40349" xr:uid="{AFDF9F43-599B-47FE-8BB0-768B6AA8086D}"/>
    <cellStyle name="Normal 8 2 3 3 3 3 3" xfId="15008" xr:uid="{0903F99D-BF09-4C00-884C-1BE0C75152EA}"/>
    <cellStyle name="Normal 8 2 3 3 3 3 4" xfId="31902" xr:uid="{758E9AE2-C595-47CF-99B8-EEF68E9F4A66}"/>
    <cellStyle name="Normal 8 2 3 3 3 4" xfId="19238" xr:uid="{F30A30C0-00D4-4C8B-931E-36D6C4E10A43}"/>
    <cellStyle name="Normal 8 2 3 3 3 4 2" xfId="36132" xr:uid="{9BD71780-6E7A-4DC8-AB3F-00C85E43E49F}"/>
    <cellStyle name="Normal 8 2 3 3 3 5" xfId="10791" xr:uid="{DBF90049-6CA3-4D0B-9689-1E0A5073319B}"/>
    <cellStyle name="Normal 8 2 3 3 3 6" xfId="27685" xr:uid="{F8E97DDA-BB61-408C-9BE3-7F58B03BC904}"/>
    <cellStyle name="Normal 8 2 3 3 4" xfId="1788" xr:uid="{00000000-0005-0000-0000-0000C51C0000}"/>
    <cellStyle name="Normal 8 2 3 3 4 2" xfId="4018" xr:uid="{00000000-0005-0000-0000-0000C61C0000}"/>
    <cellStyle name="Normal 8 2 3 3 4 2 2" xfId="8240" xr:uid="{00000000-0005-0000-0000-0000C71C0000}"/>
    <cellStyle name="Normal 8 2 3 3 4 2 2 2" xfId="26013" xr:uid="{4A872C71-DD28-490C-820D-A045B835CC53}"/>
    <cellStyle name="Normal 8 2 3 3 4 2 2 2 2" xfId="42907" xr:uid="{869AB73B-CB47-4811-94E6-C46EAD340758}"/>
    <cellStyle name="Normal 8 2 3 3 4 2 2 3" xfId="17566" xr:uid="{4AD54A7E-9CCE-4F13-A6A3-AA34768C1FA1}"/>
    <cellStyle name="Normal 8 2 3 3 4 2 2 4" xfId="34460" xr:uid="{C4977BEC-9FA6-435B-B5AC-1E51A9AF462B}"/>
    <cellStyle name="Normal 8 2 3 3 4 2 3" xfId="21796" xr:uid="{7859AFD1-AA5C-449B-8DEB-E15CF799086D}"/>
    <cellStyle name="Normal 8 2 3 3 4 2 3 2" xfId="38690" xr:uid="{7B2EAE5E-EA36-468F-9BCC-EE00DAB1E0B4}"/>
    <cellStyle name="Normal 8 2 3 3 4 2 4" xfId="13349" xr:uid="{075E41EB-7A34-4823-A4AB-7DCC5613D4A3}"/>
    <cellStyle name="Normal 8 2 3 3 4 2 5" xfId="30243" xr:uid="{9D17DBC0-2099-4760-80FF-B4B86D47921E}"/>
    <cellStyle name="Normal 8 2 3 3 4 3" xfId="6095" xr:uid="{00000000-0005-0000-0000-0000C81C0000}"/>
    <cellStyle name="Normal 8 2 3 3 4 3 2" xfId="23868" xr:uid="{F885C283-F4B1-462C-AED5-45081898AA72}"/>
    <cellStyle name="Normal 8 2 3 3 4 3 2 2" xfId="40762" xr:uid="{58544AC9-8344-4789-B28A-50218A1BD1D6}"/>
    <cellStyle name="Normal 8 2 3 3 4 3 3" xfId="15421" xr:uid="{A3BF2130-63C0-47FF-95D1-855E632F619D}"/>
    <cellStyle name="Normal 8 2 3 3 4 3 4" xfId="32315" xr:uid="{381DEF83-1DF6-4D40-85A0-E9D0FA365C35}"/>
    <cellStyle name="Normal 8 2 3 3 4 4" xfId="19651" xr:uid="{FFC2F749-F14D-4803-8334-AAA923969C91}"/>
    <cellStyle name="Normal 8 2 3 3 4 4 2" xfId="36545" xr:uid="{57807D6B-7C45-4611-B2BA-4BED3AD20F8E}"/>
    <cellStyle name="Normal 8 2 3 3 4 5" xfId="11204" xr:uid="{FC35A36B-2CAF-4E16-BCB6-1F1501AA9D01}"/>
    <cellStyle name="Normal 8 2 3 3 4 6" xfId="28098" xr:uid="{B9A7E392-DD41-45D9-BD10-F65F95E87104}"/>
    <cellStyle name="Normal 8 2 3 3 5" xfId="2202" xr:uid="{00000000-0005-0000-0000-0000C91C0000}"/>
    <cellStyle name="Normal 8 2 3 3 5 2" xfId="4431" xr:uid="{00000000-0005-0000-0000-0000CA1C0000}"/>
    <cellStyle name="Normal 8 2 3 3 5 2 2" xfId="8653" xr:uid="{00000000-0005-0000-0000-0000CB1C0000}"/>
    <cellStyle name="Normal 8 2 3 3 5 2 2 2" xfId="26426" xr:uid="{4A4E1786-DFF1-42D8-8C98-2C213DF44D80}"/>
    <cellStyle name="Normal 8 2 3 3 5 2 2 2 2" xfId="43320" xr:uid="{6B7EBDE9-9939-496A-B297-375A48C65A09}"/>
    <cellStyle name="Normal 8 2 3 3 5 2 2 3" xfId="17979" xr:uid="{2FFE1EA6-9A8C-42AA-8B97-9CE288E96BAD}"/>
    <cellStyle name="Normal 8 2 3 3 5 2 2 4" xfId="34873" xr:uid="{408E3435-E57A-4D67-BBA2-67F50701C998}"/>
    <cellStyle name="Normal 8 2 3 3 5 2 3" xfId="22209" xr:uid="{2B33ED1F-CCCD-40FB-AED6-974EE5E6EF26}"/>
    <cellStyle name="Normal 8 2 3 3 5 2 3 2" xfId="39103" xr:uid="{25C53CDC-A37A-46C8-9B28-E29EB5002778}"/>
    <cellStyle name="Normal 8 2 3 3 5 2 4" xfId="13762" xr:uid="{4715D06A-7A1D-4470-AC6E-F094884DCF70}"/>
    <cellStyle name="Normal 8 2 3 3 5 2 5" xfId="30656" xr:uid="{755328CF-6E4D-4D10-BD0C-E718EB778FD0}"/>
    <cellStyle name="Normal 8 2 3 3 5 3" xfId="6508" xr:uid="{00000000-0005-0000-0000-0000CC1C0000}"/>
    <cellStyle name="Normal 8 2 3 3 5 3 2" xfId="24281" xr:uid="{6A2C4E1D-03F1-4C9C-B190-33E60B128CF9}"/>
    <cellStyle name="Normal 8 2 3 3 5 3 2 2" xfId="41175" xr:uid="{DFFE17C1-70D2-4CED-9352-D1DFFFE148B3}"/>
    <cellStyle name="Normal 8 2 3 3 5 3 3" xfId="15834" xr:uid="{E4B8F67D-6B08-4A67-AF58-98C970774D7C}"/>
    <cellStyle name="Normal 8 2 3 3 5 3 4" xfId="32728" xr:uid="{51481904-ED81-4B66-B577-633B210F9391}"/>
    <cellStyle name="Normal 8 2 3 3 5 4" xfId="20064" xr:uid="{DDF638D8-F748-4615-9757-33F660561403}"/>
    <cellStyle name="Normal 8 2 3 3 5 4 2" xfId="36958" xr:uid="{422CB754-46A3-4FFC-8939-8DB0516CE556}"/>
    <cellStyle name="Normal 8 2 3 3 5 5" xfId="11617" xr:uid="{662C32D0-61E6-403F-8727-81EED88202A9}"/>
    <cellStyle name="Normal 8 2 3 3 5 6" xfId="28511" xr:uid="{5B634E14-C30E-4C45-BE4A-5AE7DA7FEC44}"/>
    <cellStyle name="Normal 8 2 3 3 6" xfId="2638" xr:uid="{00000000-0005-0000-0000-0000CD1C0000}"/>
    <cellStyle name="Normal 8 2 3 3 6 2" xfId="6921" xr:uid="{00000000-0005-0000-0000-0000CE1C0000}"/>
    <cellStyle name="Normal 8 2 3 3 6 2 2" xfId="24694" xr:uid="{70070B38-4213-467A-A8CE-5CCF3D05FECB}"/>
    <cellStyle name="Normal 8 2 3 3 6 2 2 2" xfId="41588" xr:uid="{BE5B31D8-9C90-41EC-8E19-0E8E11ADF675}"/>
    <cellStyle name="Normal 8 2 3 3 6 2 3" xfId="16247" xr:uid="{67E3DECC-31E8-4D65-B3B5-A1AED4964CB3}"/>
    <cellStyle name="Normal 8 2 3 3 6 2 4" xfId="33141" xr:uid="{E6CB5E17-3B88-49B3-9291-B6FA9B3E7721}"/>
    <cellStyle name="Normal 8 2 3 3 6 3" xfId="20477" xr:uid="{575E174E-1086-469A-90D3-21B251A1FFB3}"/>
    <cellStyle name="Normal 8 2 3 3 6 3 2" xfId="37371" xr:uid="{5ADAA09A-BCC2-44F9-B757-C79B6F84940D}"/>
    <cellStyle name="Normal 8 2 3 3 6 4" xfId="12030" xr:uid="{3F422858-6ADB-405A-BC69-667C657C5E1D}"/>
    <cellStyle name="Normal 8 2 3 3 6 5" xfId="28924" xr:uid="{C3CE7ACE-D179-41CF-9647-7F13FFA090E7}"/>
    <cellStyle name="Normal 8 2 3 3 7" xfId="4856" xr:uid="{00000000-0005-0000-0000-0000CF1C0000}"/>
    <cellStyle name="Normal 8 2 3 3 7 2" xfId="22629" xr:uid="{72B91AFC-F1F6-4318-8151-3C21CFF1D197}"/>
    <cellStyle name="Normal 8 2 3 3 7 2 2" xfId="39523" xr:uid="{2D89BCCD-15DB-49EE-AE0A-2CEA1AC8DBC3}"/>
    <cellStyle name="Normal 8 2 3 3 7 3" xfId="14182" xr:uid="{141882C0-23C8-40B2-A662-09ED16F999F5}"/>
    <cellStyle name="Normal 8 2 3 3 7 4" xfId="31076" xr:uid="{8F4B096C-F04A-42D7-B961-99A0EB6B6AB8}"/>
    <cellStyle name="Normal 8 2 3 3 8" xfId="9042" xr:uid="{D820ED39-BAB1-48C1-A68D-2017E247E432}"/>
    <cellStyle name="Normal 8 2 3 3 8 2" xfId="18412" xr:uid="{4E3B9859-2253-49A2-B415-701F4682584B}"/>
    <cellStyle name="Normal 8 2 3 3 8 3" xfId="35306" xr:uid="{F0282F10-E340-4A76-BE82-5EBD89683F39}"/>
    <cellStyle name="Normal 8 2 3 3 9" xfId="9965" xr:uid="{D32B19E9-1FA7-4A3B-ADE6-428B64C72F80}"/>
    <cellStyle name="Normal 8 2 3 4" xfId="955" xr:uid="{00000000-0005-0000-0000-0000D01C0000}"/>
    <cellStyle name="Normal 8 2 3 4 2" xfId="3189" xr:uid="{00000000-0005-0000-0000-0000D11C0000}"/>
    <cellStyle name="Normal 8 2 3 4 2 2" xfId="7411" xr:uid="{00000000-0005-0000-0000-0000D21C0000}"/>
    <cellStyle name="Normal 8 2 3 4 2 2 2" xfId="25184" xr:uid="{1824BC8D-E1B8-4C36-A7D8-4190C9C0AC80}"/>
    <cellStyle name="Normal 8 2 3 4 2 2 2 2" xfId="42078" xr:uid="{8C6B8BD0-2CEE-4B01-9EBE-8B6F2CC41CFB}"/>
    <cellStyle name="Normal 8 2 3 4 2 2 3" xfId="16737" xr:uid="{BEE857FD-A55C-43FA-BADE-D8000B469AD4}"/>
    <cellStyle name="Normal 8 2 3 4 2 2 4" xfId="33631" xr:uid="{8E7E83DE-454A-427D-AFD9-0A6DCC6B91D4}"/>
    <cellStyle name="Normal 8 2 3 4 2 3" xfId="20967" xr:uid="{86BC84F8-CEFC-469A-9D9B-FCD5DCD8D93D}"/>
    <cellStyle name="Normal 8 2 3 4 2 3 2" xfId="37861" xr:uid="{A450E628-09C6-44F9-92E3-7C808C717E27}"/>
    <cellStyle name="Normal 8 2 3 4 2 4" xfId="12520" xr:uid="{1F19501E-554D-4B06-B6E6-F45B7547867A}"/>
    <cellStyle name="Normal 8 2 3 4 2 5" xfId="29414" xr:uid="{DBDB768D-2BD1-45EF-9C49-B6644C44C20A}"/>
    <cellStyle name="Normal 8 2 3 4 3" xfId="5266" xr:uid="{00000000-0005-0000-0000-0000D31C0000}"/>
    <cellStyle name="Normal 8 2 3 4 3 2" xfId="23039" xr:uid="{5A0062F9-837F-443A-8B56-338EC66CD7B3}"/>
    <cellStyle name="Normal 8 2 3 4 3 2 2" xfId="39933" xr:uid="{7C65C2F5-5DE1-4BAB-8290-3E14BF3D54EC}"/>
    <cellStyle name="Normal 8 2 3 4 3 3" xfId="14592" xr:uid="{BC666B3C-4F3F-4728-BF6F-8D6B05E2C29E}"/>
    <cellStyle name="Normal 8 2 3 4 3 4" xfId="31486" xr:uid="{3CC082FD-E51F-442C-9EF1-7D1C269DE3BA}"/>
    <cellStyle name="Normal 8 2 3 4 4" xfId="9260" xr:uid="{70FF5A16-C89A-42B7-A603-E23A7C2F443C}"/>
    <cellStyle name="Normal 8 2 3 4 4 2" xfId="18822" xr:uid="{C9AA618F-71C6-46DF-832D-CA99F153E59D}"/>
    <cellStyle name="Normal 8 2 3 4 4 3" xfId="35716" xr:uid="{D716DE31-8648-4EE6-A5C8-63F6C9D54EA4}"/>
    <cellStyle name="Normal 8 2 3 4 5" xfId="10375" xr:uid="{C09E453F-A03E-4408-88A0-F51EEB04AF5A}"/>
    <cellStyle name="Normal 8 2 3 4 6" xfId="27269" xr:uid="{1C5240D2-D260-4087-B1B0-9A9D21891BBE}"/>
    <cellStyle name="Normal 8 2 3 5" xfId="1372" xr:uid="{00000000-0005-0000-0000-0000D41C0000}"/>
    <cellStyle name="Normal 8 2 3 5 2" xfId="3602" xr:uid="{00000000-0005-0000-0000-0000D51C0000}"/>
    <cellStyle name="Normal 8 2 3 5 2 2" xfId="7824" xr:uid="{00000000-0005-0000-0000-0000D61C0000}"/>
    <cellStyle name="Normal 8 2 3 5 2 2 2" xfId="25597" xr:uid="{D09E47CA-A8E3-4DBE-873E-E61D77438CAB}"/>
    <cellStyle name="Normal 8 2 3 5 2 2 2 2" xfId="42491" xr:uid="{E2B4FF54-E824-473F-9A6F-514DB3D4C5B6}"/>
    <cellStyle name="Normal 8 2 3 5 2 2 3" xfId="17150" xr:uid="{9647AC27-84E7-4B5C-86BB-7025618373F6}"/>
    <cellStyle name="Normal 8 2 3 5 2 2 4" xfId="34044" xr:uid="{90D6A963-0538-4B18-BDC4-984A576F7328}"/>
    <cellStyle name="Normal 8 2 3 5 2 3" xfId="21380" xr:uid="{10ECA697-9702-4C32-A532-CEC695C85570}"/>
    <cellStyle name="Normal 8 2 3 5 2 3 2" xfId="38274" xr:uid="{D3C368D9-2AFD-4393-9F6F-3B8EEBA09592}"/>
    <cellStyle name="Normal 8 2 3 5 2 4" xfId="12933" xr:uid="{4E9B875E-4F8D-4FC1-9E27-3A6C77E53C86}"/>
    <cellStyle name="Normal 8 2 3 5 2 5" xfId="29827" xr:uid="{B6DDFF11-C4EA-4886-9BE6-0451C1BCD644}"/>
    <cellStyle name="Normal 8 2 3 5 3" xfId="5679" xr:uid="{00000000-0005-0000-0000-0000D71C0000}"/>
    <cellStyle name="Normal 8 2 3 5 3 2" xfId="23452" xr:uid="{6CCEA1AC-E505-4491-A0DE-DD751A010152}"/>
    <cellStyle name="Normal 8 2 3 5 3 2 2" xfId="40346" xr:uid="{22B24313-2001-4C37-8EE6-558C5779254D}"/>
    <cellStyle name="Normal 8 2 3 5 3 3" xfId="15005" xr:uid="{655D0561-0CBE-4CD0-A5A4-61E8A8C9C850}"/>
    <cellStyle name="Normal 8 2 3 5 3 4" xfId="31899" xr:uid="{32E19C2A-FBA2-4024-BFA9-8A4AC40F60CC}"/>
    <cellStyle name="Normal 8 2 3 5 4" xfId="19235" xr:uid="{FB01515C-EEBF-4860-8513-B3A8E5C9C421}"/>
    <cellStyle name="Normal 8 2 3 5 4 2" xfId="36129" xr:uid="{4266F65D-3329-4935-BE73-3F974ADDA568}"/>
    <cellStyle name="Normal 8 2 3 5 5" xfId="10788" xr:uid="{47136F11-BFBF-4603-AB08-C5D4E3773EB8}"/>
    <cellStyle name="Normal 8 2 3 5 6" xfId="27682" xr:uid="{0D60DF04-B4D8-4030-8F58-DEF3FD524D1A}"/>
    <cellStyle name="Normal 8 2 3 6" xfId="1785" xr:uid="{00000000-0005-0000-0000-0000D81C0000}"/>
    <cellStyle name="Normal 8 2 3 6 2" xfId="4015" xr:uid="{00000000-0005-0000-0000-0000D91C0000}"/>
    <cellStyle name="Normal 8 2 3 6 2 2" xfId="8237" xr:uid="{00000000-0005-0000-0000-0000DA1C0000}"/>
    <cellStyle name="Normal 8 2 3 6 2 2 2" xfId="26010" xr:uid="{30931305-5F00-451B-B2D1-DF0E852A0DC3}"/>
    <cellStyle name="Normal 8 2 3 6 2 2 2 2" xfId="42904" xr:uid="{CA27BEA2-AE0A-4C55-9900-ADB001E37DD2}"/>
    <cellStyle name="Normal 8 2 3 6 2 2 3" xfId="17563" xr:uid="{137FD039-548D-488E-ABAE-35EBA6863BD6}"/>
    <cellStyle name="Normal 8 2 3 6 2 2 4" xfId="34457" xr:uid="{C6163AC7-B036-49CF-8665-ED50A38D3B74}"/>
    <cellStyle name="Normal 8 2 3 6 2 3" xfId="21793" xr:uid="{172DB228-ED46-4573-A0FD-1E7DC2876855}"/>
    <cellStyle name="Normal 8 2 3 6 2 3 2" xfId="38687" xr:uid="{CD35DA37-F2C5-491F-85F8-783AF293C79E}"/>
    <cellStyle name="Normal 8 2 3 6 2 4" xfId="13346" xr:uid="{C2F5F7FB-9412-4C07-9AB6-5DA71C30E87F}"/>
    <cellStyle name="Normal 8 2 3 6 2 5" xfId="30240" xr:uid="{532F2BC9-8148-4A97-AB81-1940AA552FFB}"/>
    <cellStyle name="Normal 8 2 3 6 3" xfId="6092" xr:uid="{00000000-0005-0000-0000-0000DB1C0000}"/>
    <cellStyle name="Normal 8 2 3 6 3 2" xfId="23865" xr:uid="{BBC6FE81-61AF-4F91-B25F-FD476040E47E}"/>
    <cellStyle name="Normal 8 2 3 6 3 2 2" xfId="40759" xr:uid="{0570C32E-8358-4621-BF9D-EEBECA97091F}"/>
    <cellStyle name="Normal 8 2 3 6 3 3" xfId="15418" xr:uid="{4ADC3CE2-4EAD-43A2-8999-725CAC458026}"/>
    <cellStyle name="Normal 8 2 3 6 3 4" xfId="32312" xr:uid="{F5F5CEE7-F7AD-493D-920B-BBA27851EA51}"/>
    <cellStyle name="Normal 8 2 3 6 4" xfId="19648" xr:uid="{4624B584-B9E6-405C-8FFB-B081A9A3E8E3}"/>
    <cellStyle name="Normal 8 2 3 6 4 2" xfId="36542" xr:uid="{6E8C8279-231D-414A-9694-8D76DF56F7EB}"/>
    <cellStyle name="Normal 8 2 3 6 5" xfId="11201" xr:uid="{6BDD4DA3-0005-4096-990B-9C86AB16124C}"/>
    <cellStyle name="Normal 8 2 3 6 6" xfId="28095" xr:uid="{E3E3B10B-9FA6-4885-8CC3-B4324B42ED37}"/>
    <cellStyle name="Normal 8 2 3 7" xfId="2199" xr:uid="{00000000-0005-0000-0000-0000DC1C0000}"/>
    <cellStyle name="Normal 8 2 3 7 2" xfId="4428" xr:uid="{00000000-0005-0000-0000-0000DD1C0000}"/>
    <cellStyle name="Normal 8 2 3 7 2 2" xfId="8650" xr:uid="{00000000-0005-0000-0000-0000DE1C0000}"/>
    <cellStyle name="Normal 8 2 3 7 2 2 2" xfId="26423" xr:uid="{C0592CBA-934B-401F-9CFE-2AB34672718F}"/>
    <cellStyle name="Normal 8 2 3 7 2 2 2 2" xfId="43317" xr:uid="{C1BE49C8-037B-486E-A074-117845754608}"/>
    <cellStyle name="Normal 8 2 3 7 2 2 3" xfId="17976" xr:uid="{A0A98667-68DC-43F1-B4AE-B9A63D613012}"/>
    <cellStyle name="Normal 8 2 3 7 2 2 4" xfId="34870" xr:uid="{C78E6F4D-5FD9-44FD-92C7-9981264C2E54}"/>
    <cellStyle name="Normal 8 2 3 7 2 3" xfId="22206" xr:uid="{B67187CA-94E4-4D60-B8F6-C4A0F95FC859}"/>
    <cellStyle name="Normal 8 2 3 7 2 3 2" xfId="39100" xr:uid="{BE81ACBE-043A-4D94-912D-0C0BE4C76E49}"/>
    <cellStyle name="Normal 8 2 3 7 2 4" xfId="13759" xr:uid="{5B52BDBA-EEB2-46EB-8760-6125D3E4195F}"/>
    <cellStyle name="Normal 8 2 3 7 2 5" xfId="30653" xr:uid="{0BF09F95-8354-4F4F-A674-02BE7F1FD6A2}"/>
    <cellStyle name="Normal 8 2 3 7 3" xfId="6505" xr:uid="{00000000-0005-0000-0000-0000DF1C0000}"/>
    <cellStyle name="Normal 8 2 3 7 3 2" xfId="24278" xr:uid="{63133DB1-DB6F-4976-9CD3-37A2FC0EEF31}"/>
    <cellStyle name="Normal 8 2 3 7 3 2 2" xfId="41172" xr:uid="{EB4C360C-013E-42C5-9252-A4F6C8F53D6E}"/>
    <cellStyle name="Normal 8 2 3 7 3 3" xfId="15831" xr:uid="{553B2211-EC55-4708-8412-086C8C318CDD}"/>
    <cellStyle name="Normal 8 2 3 7 3 4" xfId="32725" xr:uid="{4F8D26B2-5A80-426A-8E5D-15A3BA4538B2}"/>
    <cellStyle name="Normal 8 2 3 7 4" xfId="20061" xr:uid="{180AAFBF-58AC-4937-A18B-1FD054C79CAA}"/>
    <cellStyle name="Normal 8 2 3 7 4 2" xfId="36955" xr:uid="{09C55879-9AB0-4CF8-9A9A-BF626C77474E}"/>
    <cellStyle name="Normal 8 2 3 7 5" xfId="11614" xr:uid="{5EA03C15-A15B-405C-B73E-FD14C9AC6FA8}"/>
    <cellStyle name="Normal 8 2 3 7 6" xfId="28508" xr:uid="{1C083AD5-4863-4AD7-AB90-6F65B2D68CE7}"/>
    <cellStyle name="Normal 8 2 3 8" xfId="2635" xr:uid="{00000000-0005-0000-0000-0000E01C0000}"/>
    <cellStyle name="Normal 8 2 3 8 2" xfId="6918" xr:uid="{00000000-0005-0000-0000-0000E11C0000}"/>
    <cellStyle name="Normal 8 2 3 8 2 2" xfId="24691" xr:uid="{2BD5F61A-B782-49CB-BA40-80D40041DBAB}"/>
    <cellStyle name="Normal 8 2 3 8 2 2 2" xfId="41585" xr:uid="{0522B1E3-A524-4DD3-93BC-D982A0488727}"/>
    <cellStyle name="Normal 8 2 3 8 2 3" xfId="16244" xr:uid="{BDC6DCBB-79F5-4AC1-9847-151FA5128C50}"/>
    <cellStyle name="Normal 8 2 3 8 2 4" xfId="33138" xr:uid="{F4284740-C7DE-4FEB-8ADB-A7A4D95A2F62}"/>
    <cellStyle name="Normal 8 2 3 8 3" xfId="20474" xr:uid="{CA7F1B8D-906A-4B70-AE62-7AA12DC4A1AC}"/>
    <cellStyle name="Normal 8 2 3 8 3 2" xfId="37368" xr:uid="{E2911BAC-AB06-4FCB-A31F-AAB477E851B2}"/>
    <cellStyle name="Normal 8 2 3 8 4" xfId="12027" xr:uid="{0E382000-FD19-4A32-8DA7-358C0056AAFD}"/>
    <cellStyle name="Normal 8 2 3 8 5" xfId="28921" xr:uid="{EC1DA6C4-A2C2-4E56-BD42-AA26B21F234C}"/>
    <cellStyle name="Normal 8 2 3 9" xfId="4853" xr:uid="{00000000-0005-0000-0000-0000E21C0000}"/>
    <cellStyle name="Normal 8 2 3 9 2" xfId="22626" xr:uid="{798E1754-4194-4317-8939-6ADCE036C62E}"/>
    <cellStyle name="Normal 8 2 3 9 2 2" xfId="39520" xr:uid="{2ACD1FA7-4EB1-43A9-B377-5E29CE5A8819}"/>
    <cellStyle name="Normal 8 2 3 9 3" xfId="14179" xr:uid="{F2002405-3898-41B3-8B2D-5AA8D30260D2}"/>
    <cellStyle name="Normal 8 2 3 9 4" xfId="31073" xr:uid="{710F8251-D4FF-4B70-B6C2-86216ECC73D1}"/>
    <cellStyle name="Normal 8 2 4" xfId="492" xr:uid="{00000000-0005-0000-0000-0000E31C0000}"/>
    <cellStyle name="Normal 8 2 4 10" xfId="9966" xr:uid="{27D84C77-AB2C-4AB1-8DED-72BF766CEF81}"/>
    <cellStyle name="Normal 8 2 4 11" xfId="26860" xr:uid="{D7D2D934-966F-4359-BE1A-FAE50394828A}"/>
    <cellStyle name="Normal 8 2 4 2" xfId="493" xr:uid="{00000000-0005-0000-0000-0000E41C0000}"/>
    <cellStyle name="Normal 8 2 4 2 10" xfId="26861" xr:uid="{9B990905-E0AF-45E0-8570-CD94D2DA21D2}"/>
    <cellStyle name="Normal 8 2 4 2 2" xfId="960" xr:uid="{00000000-0005-0000-0000-0000E51C0000}"/>
    <cellStyle name="Normal 8 2 4 2 2 2" xfId="3194" xr:uid="{00000000-0005-0000-0000-0000E61C0000}"/>
    <cellStyle name="Normal 8 2 4 2 2 2 2" xfId="7416" xr:uid="{00000000-0005-0000-0000-0000E71C0000}"/>
    <cellStyle name="Normal 8 2 4 2 2 2 2 2" xfId="25189" xr:uid="{1EF443F6-B6FD-4079-B0E3-DE1B23E50E32}"/>
    <cellStyle name="Normal 8 2 4 2 2 2 2 2 2" xfId="42083" xr:uid="{90EB0310-A7CE-488C-928E-515158B089F1}"/>
    <cellStyle name="Normal 8 2 4 2 2 2 2 3" xfId="16742" xr:uid="{34C3E842-3CCA-4C9D-A717-79ED9D5C65D2}"/>
    <cellStyle name="Normal 8 2 4 2 2 2 2 4" xfId="33636" xr:uid="{EFB4AFB2-C66C-46F5-8001-CA41B5FF1673}"/>
    <cellStyle name="Normal 8 2 4 2 2 2 3" xfId="20972" xr:uid="{FCCE7266-BBF9-4DBE-90D6-E3DDC568C4C0}"/>
    <cellStyle name="Normal 8 2 4 2 2 2 3 2" xfId="37866" xr:uid="{E5973B67-0930-4988-9D6B-AF83F2237323}"/>
    <cellStyle name="Normal 8 2 4 2 2 2 4" xfId="12525" xr:uid="{0287EBDF-95B3-41A7-866F-01815221B80D}"/>
    <cellStyle name="Normal 8 2 4 2 2 2 5" xfId="29419" xr:uid="{E16E7831-07D6-47AB-8853-9BF4905DC9AB}"/>
    <cellStyle name="Normal 8 2 4 2 2 3" xfId="5271" xr:uid="{00000000-0005-0000-0000-0000E81C0000}"/>
    <cellStyle name="Normal 8 2 4 2 2 3 2" xfId="23044" xr:uid="{7A95B3A2-81D6-4684-AC93-6BCDD8C65471}"/>
    <cellStyle name="Normal 8 2 4 2 2 3 2 2" xfId="39938" xr:uid="{A7C461F4-2D77-4595-9998-D19728F7F341}"/>
    <cellStyle name="Normal 8 2 4 2 2 3 3" xfId="14597" xr:uid="{3FC52637-241B-417D-B263-EF25FA367ABA}"/>
    <cellStyle name="Normal 8 2 4 2 2 3 4" xfId="31491" xr:uid="{CEA29FAF-7156-4378-A2F9-FE6C89EE97B3}"/>
    <cellStyle name="Normal 8 2 4 2 2 4" xfId="9486" xr:uid="{9F6EBE4C-F02F-43A6-A388-D5EACB1B3099}"/>
    <cellStyle name="Normal 8 2 4 2 2 4 2" xfId="18827" xr:uid="{A034D6A9-6B10-48FA-88AF-86EA9F2500DF}"/>
    <cellStyle name="Normal 8 2 4 2 2 4 3" xfId="35721" xr:uid="{875A68F6-63CA-4E64-BDB9-9C486883CF92}"/>
    <cellStyle name="Normal 8 2 4 2 2 5" xfId="10380" xr:uid="{D939C8FB-C430-43A4-9665-EFDD3568177E}"/>
    <cellStyle name="Normal 8 2 4 2 2 6" xfId="27274" xr:uid="{40DD9547-29B5-49FC-BB5D-DCCD369071C4}"/>
    <cellStyle name="Normal 8 2 4 2 3" xfId="1377" xr:uid="{00000000-0005-0000-0000-0000E91C0000}"/>
    <cellStyle name="Normal 8 2 4 2 3 2" xfId="3607" xr:uid="{00000000-0005-0000-0000-0000EA1C0000}"/>
    <cellStyle name="Normal 8 2 4 2 3 2 2" xfId="7829" xr:uid="{00000000-0005-0000-0000-0000EB1C0000}"/>
    <cellStyle name="Normal 8 2 4 2 3 2 2 2" xfId="25602" xr:uid="{3BE909DB-7862-45DE-8D50-13FB213BD857}"/>
    <cellStyle name="Normal 8 2 4 2 3 2 2 2 2" xfId="42496" xr:uid="{30CE8612-DB5E-4616-A2A1-31234C0E2BBA}"/>
    <cellStyle name="Normal 8 2 4 2 3 2 2 3" xfId="17155" xr:uid="{F2C1D5D1-7C9C-44AA-8C47-58E30767F49B}"/>
    <cellStyle name="Normal 8 2 4 2 3 2 2 4" xfId="34049" xr:uid="{92193B80-C84E-423F-9A08-B0A9C04B466F}"/>
    <cellStyle name="Normal 8 2 4 2 3 2 3" xfId="21385" xr:uid="{1183F586-3437-498C-BDB5-7F064FED5BEA}"/>
    <cellStyle name="Normal 8 2 4 2 3 2 3 2" xfId="38279" xr:uid="{D7A4901C-367D-423C-9C52-9B5B8AA93A5F}"/>
    <cellStyle name="Normal 8 2 4 2 3 2 4" xfId="12938" xr:uid="{95257B85-F890-47ED-AD8B-27AEB714366B}"/>
    <cellStyle name="Normal 8 2 4 2 3 2 5" xfId="29832" xr:uid="{062F826B-DA55-4694-A12D-7B3D46C77C86}"/>
    <cellStyle name="Normal 8 2 4 2 3 3" xfId="5684" xr:uid="{00000000-0005-0000-0000-0000EC1C0000}"/>
    <cellStyle name="Normal 8 2 4 2 3 3 2" xfId="23457" xr:uid="{726DA78D-C32C-49B6-8B9B-7B81A6BCF194}"/>
    <cellStyle name="Normal 8 2 4 2 3 3 2 2" xfId="40351" xr:uid="{AB6F3177-478C-4338-BDDA-4AA4844C57DB}"/>
    <cellStyle name="Normal 8 2 4 2 3 3 3" xfId="15010" xr:uid="{4439B40D-7F6E-45E0-BCC6-2E40F7FCC7A8}"/>
    <cellStyle name="Normal 8 2 4 2 3 3 4" xfId="31904" xr:uid="{5E3E2CAB-51B5-4C8E-8022-7E6C8F18930C}"/>
    <cellStyle name="Normal 8 2 4 2 3 4" xfId="19240" xr:uid="{05956622-347C-4AC5-BB62-F91C17ADD4DB}"/>
    <cellStyle name="Normal 8 2 4 2 3 4 2" xfId="36134" xr:uid="{1C0790B5-2945-49B8-9F55-522F3F82F029}"/>
    <cellStyle name="Normal 8 2 4 2 3 5" xfId="10793" xr:uid="{ED3809F3-327F-485C-BA21-755ED555D8A4}"/>
    <cellStyle name="Normal 8 2 4 2 3 6" xfId="27687" xr:uid="{D48421B4-43B0-41DB-8F72-AE71BE96B9B8}"/>
    <cellStyle name="Normal 8 2 4 2 4" xfId="1790" xr:uid="{00000000-0005-0000-0000-0000ED1C0000}"/>
    <cellStyle name="Normal 8 2 4 2 4 2" xfId="4020" xr:uid="{00000000-0005-0000-0000-0000EE1C0000}"/>
    <cellStyle name="Normal 8 2 4 2 4 2 2" xfId="8242" xr:uid="{00000000-0005-0000-0000-0000EF1C0000}"/>
    <cellStyle name="Normal 8 2 4 2 4 2 2 2" xfId="26015" xr:uid="{0640915A-A5DF-4665-8CA4-2590F7469B33}"/>
    <cellStyle name="Normal 8 2 4 2 4 2 2 2 2" xfId="42909" xr:uid="{2EB161B8-11B7-4AC8-B3C5-C793994674A5}"/>
    <cellStyle name="Normal 8 2 4 2 4 2 2 3" xfId="17568" xr:uid="{16D9C6D9-19CE-40F1-B8C0-5DAFBD582CAF}"/>
    <cellStyle name="Normal 8 2 4 2 4 2 2 4" xfId="34462" xr:uid="{93D5370D-D875-490E-813F-1F501D1EB966}"/>
    <cellStyle name="Normal 8 2 4 2 4 2 3" xfId="21798" xr:uid="{D2753B40-B854-42D7-A812-AAA5191874E7}"/>
    <cellStyle name="Normal 8 2 4 2 4 2 3 2" xfId="38692" xr:uid="{58A87512-30C0-4171-8870-2A395E61C48E}"/>
    <cellStyle name="Normal 8 2 4 2 4 2 4" xfId="13351" xr:uid="{1144C209-5C5F-4B24-BE54-5F6F16DA8400}"/>
    <cellStyle name="Normal 8 2 4 2 4 2 5" xfId="30245" xr:uid="{BCF44186-FC19-46D8-BCFD-5BA3E61C667A}"/>
    <cellStyle name="Normal 8 2 4 2 4 3" xfId="6097" xr:uid="{00000000-0005-0000-0000-0000F01C0000}"/>
    <cellStyle name="Normal 8 2 4 2 4 3 2" xfId="23870" xr:uid="{75F96DB2-6595-4291-AB66-F60D383F8113}"/>
    <cellStyle name="Normal 8 2 4 2 4 3 2 2" xfId="40764" xr:uid="{80A8E684-5902-4994-B009-A3E239331D72}"/>
    <cellStyle name="Normal 8 2 4 2 4 3 3" xfId="15423" xr:uid="{AD67C4EF-4B4F-4074-BA79-2C274F4B847E}"/>
    <cellStyle name="Normal 8 2 4 2 4 3 4" xfId="32317" xr:uid="{FA8A90B6-BE61-4226-A69D-862720B07711}"/>
    <cellStyle name="Normal 8 2 4 2 4 4" xfId="19653" xr:uid="{117740B3-20D0-4ECB-851B-E4E0D6A975D5}"/>
    <cellStyle name="Normal 8 2 4 2 4 4 2" xfId="36547" xr:uid="{6E11BA3E-553D-452F-99CA-F3AEBC466347}"/>
    <cellStyle name="Normal 8 2 4 2 4 5" xfId="11206" xr:uid="{E2317449-EE82-4D29-8F87-9485390E28C1}"/>
    <cellStyle name="Normal 8 2 4 2 4 6" xfId="28100" xr:uid="{DA9A0ECA-F1ED-4FF5-89D8-F030957AFABA}"/>
    <cellStyle name="Normal 8 2 4 2 5" xfId="2204" xr:uid="{00000000-0005-0000-0000-0000F11C0000}"/>
    <cellStyle name="Normal 8 2 4 2 5 2" xfId="4433" xr:uid="{00000000-0005-0000-0000-0000F21C0000}"/>
    <cellStyle name="Normal 8 2 4 2 5 2 2" xfId="8655" xr:uid="{00000000-0005-0000-0000-0000F31C0000}"/>
    <cellStyle name="Normal 8 2 4 2 5 2 2 2" xfId="26428" xr:uid="{01145261-BA39-42BC-A86F-758851F610E0}"/>
    <cellStyle name="Normal 8 2 4 2 5 2 2 2 2" xfId="43322" xr:uid="{AD28FB53-9436-4A8C-AC93-19D038EFCD70}"/>
    <cellStyle name="Normal 8 2 4 2 5 2 2 3" xfId="17981" xr:uid="{0A7527B6-A3A1-44CD-90A6-D739C38BF57D}"/>
    <cellStyle name="Normal 8 2 4 2 5 2 2 4" xfId="34875" xr:uid="{A15B2DB1-2A74-4888-9BD4-4B43579ED19E}"/>
    <cellStyle name="Normal 8 2 4 2 5 2 3" xfId="22211" xr:uid="{ABF6CB77-9470-44CC-A9FB-D71DFD08354B}"/>
    <cellStyle name="Normal 8 2 4 2 5 2 3 2" xfId="39105" xr:uid="{05CBA988-0E3A-44E6-89CB-A42D726F8421}"/>
    <cellStyle name="Normal 8 2 4 2 5 2 4" xfId="13764" xr:uid="{F99ED278-DA20-4DBB-A248-8590EA6CE535}"/>
    <cellStyle name="Normal 8 2 4 2 5 2 5" xfId="30658" xr:uid="{A83E458C-67F0-462F-B278-F29644856F2A}"/>
    <cellStyle name="Normal 8 2 4 2 5 3" xfId="6510" xr:uid="{00000000-0005-0000-0000-0000F41C0000}"/>
    <cellStyle name="Normal 8 2 4 2 5 3 2" xfId="24283" xr:uid="{6A91EF9E-01A9-4DAF-B1FF-04063C66FE9F}"/>
    <cellStyle name="Normal 8 2 4 2 5 3 2 2" xfId="41177" xr:uid="{96CB403E-1816-4A23-BF95-9DD3EBEF246D}"/>
    <cellStyle name="Normal 8 2 4 2 5 3 3" xfId="15836" xr:uid="{7318267A-E739-45D7-B6F3-CD1B9D2BB2F1}"/>
    <cellStyle name="Normal 8 2 4 2 5 3 4" xfId="32730" xr:uid="{63D50A80-2850-4145-8AFF-5ED0D68FDC1A}"/>
    <cellStyle name="Normal 8 2 4 2 5 4" xfId="20066" xr:uid="{2BF3D444-AFFE-41D0-BF5A-F06011F14648}"/>
    <cellStyle name="Normal 8 2 4 2 5 4 2" xfId="36960" xr:uid="{EEED8253-0920-4A24-8EE1-92D22DAF48C5}"/>
    <cellStyle name="Normal 8 2 4 2 5 5" xfId="11619" xr:uid="{A867B30B-4D51-4FBE-9507-1E76ECB9694D}"/>
    <cellStyle name="Normal 8 2 4 2 5 6" xfId="28513" xr:uid="{22728CA9-6F99-4194-A4FA-7307D56DAB6D}"/>
    <cellStyle name="Normal 8 2 4 2 6" xfId="2640" xr:uid="{00000000-0005-0000-0000-0000F51C0000}"/>
    <cellStyle name="Normal 8 2 4 2 6 2" xfId="6923" xr:uid="{00000000-0005-0000-0000-0000F61C0000}"/>
    <cellStyle name="Normal 8 2 4 2 6 2 2" xfId="24696" xr:uid="{3AC7E8B8-A353-4D72-8BD1-D81D0BE5E5E1}"/>
    <cellStyle name="Normal 8 2 4 2 6 2 2 2" xfId="41590" xr:uid="{267BA03A-D823-434F-BE92-3E2EB58B4F02}"/>
    <cellStyle name="Normal 8 2 4 2 6 2 3" xfId="16249" xr:uid="{22919BA6-9EE0-4CC7-9086-0FB4F556B7A5}"/>
    <cellStyle name="Normal 8 2 4 2 6 2 4" xfId="33143" xr:uid="{8C7B0727-A7BE-45E0-A225-61A63F95B85D}"/>
    <cellStyle name="Normal 8 2 4 2 6 3" xfId="20479" xr:uid="{0BD3DCA9-52FC-4C15-BF71-5BCABE08FEF1}"/>
    <cellStyle name="Normal 8 2 4 2 6 3 2" xfId="37373" xr:uid="{8571D741-80EE-4771-8C22-2463DE2B4378}"/>
    <cellStyle name="Normal 8 2 4 2 6 4" xfId="12032" xr:uid="{59B2C157-2134-4D2C-B7C6-12AE17EE1D63}"/>
    <cellStyle name="Normal 8 2 4 2 6 5" xfId="28926" xr:uid="{449113AB-D8D4-4D8D-931E-5B22C1A9DD6A}"/>
    <cellStyle name="Normal 8 2 4 2 7" xfId="4858" xr:uid="{00000000-0005-0000-0000-0000F71C0000}"/>
    <cellStyle name="Normal 8 2 4 2 7 2" xfId="22631" xr:uid="{CC2DE209-CEFB-4389-82D8-8111A3B5E582}"/>
    <cellStyle name="Normal 8 2 4 2 7 2 2" xfId="39525" xr:uid="{485B8AF6-D192-4189-83E2-FE2B2BF138E0}"/>
    <cellStyle name="Normal 8 2 4 2 7 3" xfId="14184" xr:uid="{49C4A9EF-E464-4C7B-97CA-30E0D60D6BEE}"/>
    <cellStyle name="Normal 8 2 4 2 7 4" xfId="31078" xr:uid="{6F57764E-19E0-4106-A8F2-7341E183A21D}"/>
    <cellStyle name="Normal 8 2 4 2 8" xfId="9061" xr:uid="{7295DB82-9441-436C-AA3E-91B68F6E59B3}"/>
    <cellStyle name="Normal 8 2 4 2 8 2" xfId="18414" xr:uid="{77B353EF-DC65-4543-A2BF-DB0002630779}"/>
    <cellStyle name="Normal 8 2 4 2 8 3" xfId="35308" xr:uid="{E4F79FA2-A4D3-45BE-BB17-90572261DF71}"/>
    <cellStyle name="Normal 8 2 4 2 9" xfId="9967" xr:uid="{2EF712B3-F47E-4991-ABBF-49609C4EFFA4}"/>
    <cellStyle name="Normal 8 2 4 3" xfId="959" xr:uid="{00000000-0005-0000-0000-0000F81C0000}"/>
    <cellStyle name="Normal 8 2 4 3 2" xfId="3193" xr:uid="{00000000-0005-0000-0000-0000F91C0000}"/>
    <cellStyle name="Normal 8 2 4 3 2 2" xfId="7415" xr:uid="{00000000-0005-0000-0000-0000FA1C0000}"/>
    <cellStyle name="Normal 8 2 4 3 2 2 2" xfId="25188" xr:uid="{A719EA49-2ED5-4C03-8C11-03514D53DA03}"/>
    <cellStyle name="Normal 8 2 4 3 2 2 2 2" xfId="42082" xr:uid="{177AE574-3C89-4028-A665-E7C2DEE6DF80}"/>
    <cellStyle name="Normal 8 2 4 3 2 2 3" xfId="16741" xr:uid="{51459C72-3BBB-47F6-9954-A5BF317E2BCB}"/>
    <cellStyle name="Normal 8 2 4 3 2 2 4" xfId="33635" xr:uid="{34397627-DE33-4305-9394-D2EC059BB9DF}"/>
    <cellStyle name="Normal 8 2 4 3 2 3" xfId="20971" xr:uid="{B53C1F35-BD27-4FA6-A735-E166FC04FC24}"/>
    <cellStyle name="Normal 8 2 4 3 2 3 2" xfId="37865" xr:uid="{0331E157-EACC-4397-902A-69FAE6A288A2}"/>
    <cellStyle name="Normal 8 2 4 3 2 4" xfId="12524" xr:uid="{04AFE865-B5E5-4149-A81A-3201C5F58537}"/>
    <cellStyle name="Normal 8 2 4 3 2 5" xfId="29418" xr:uid="{1F8D23A8-8767-40B8-914E-B5CE0CD3270A}"/>
    <cellStyle name="Normal 8 2 4 3 3" xfId="5270" xr:uid="{00000000-0005-0000-0000-0000FB1C0000}"/>
    <cellStyle name="Normal 8 2 4 3 3 2" xfId="23043" xr:uid="{63B3F07B-8D11-4EB7-9E22-84EF9B4F3D26}"/>
    <cellStyle name="Normal 8 2 4 3 3 2 2" xfId="39937" xr:uid="{20D7E571-53D0-4AC0-80EB-1D6AB97B1B14}"/>
    <cellStyle name="Normal 8 2 4 3 3 3" xfId="14596" xr:uid="{2342A4D8-FEB1-4BAE-A5A5-D8E26EB69119}"/>
    <cellStyle name="Normal 8 2 4 3 3 4" xfId="31490" xr:uid="{4091B8B1-FADE-4A35-86B6-4CC4D78C88B8}"/>
    <cellStyle name="Normal 8 2 4 3 4" xfId="9279" xr:uid="{BA09D30D-BEBA-4223-83E6-57FB46A1EFA8}"/>
    <cellStyle name="Normal 8 2 4 3 4 2" xfId="18826" xr:uid="{F6E4C236-2267-4283-9979-30564CBF002D}"/>
    <cellStyle name="Normal 8 2 4 3 4 3" xfId="35720" xr:uid="{CF01E837-24EE-49EA-977B-E8BDE56990B2}"/>
    <cellStyle name="Normal 8 2 4 3 5" xfId="10379" xr:uid="{B0F3D493-692C-4F4D-839F-C0D6B66E5C0C}"/>
    <cellStyle name="Normal 8 2 4 3 6" xfId="27273" xr:uid="{CCCD8430-2FD0-4B35-967F-6303340047E2}"/>
    <cellStyle name="Normal 8 2 4 4" xfId="1376" xr:uid="{00000000-0005-0000-0000-0000FC1C0000}"/>
    <cellStyle name="Normal 8 2 4 4 2" xfId="3606" xr:uid="{00000000-0005-0000-0000-0000FD1C0000}"/>
    <cellStyle name="Normal 8 2 4 4 2 2" xfId="7828" xr:uid="{00000000-0005-0000-0000-0000FE1C0000}"/>
    <cellStyle name="Normal 8 2 4 4 2 2 2" xfId="25601" xr:uid="{5FB8596F-DAFF-43AF-9BB0-B47F3A8F0489}"/>
    <cellStyle name="Normal 8 2 4 4 2 2 2 2" xfId="42495" xr:uid="{7F866C5C-2138-43D3-A54F-4EFC8F1B3DD7}"/>
    <cellStyle name="Normal 8 2 4 4 2 2 3" xfId="17154" xr:uid="{0A45100B-DF88-4090-8CED-259494D289FC}"/>
    <cellStyle name="Normal 8 2 4 4 2 2 4" xfId="34048" xr:uid="{C1CCED65-16F9-4EC5-A4A7-F00BF2F10B53}"/>
    <cellStyle name="Normal 8 2 4 4 2 3" xfId="21384" xr:uid="{8CDC934B-EC9A-45B7-A21F-C97D46CAAFF1}"/>
    <cellStyle name="Normal 8 2 4 4 2 3 2" xfId="38278" xr:uid="{DA13D0D0-1C1E-48DD-97B6-E2C143301350}"/>
    <cellStyle name="Normal 8 2 4 4 2 4" xfId="12937" xr:uid="{C26429B1-F363-4445-94E3-B1CD000B3551}"/>
    <cellStyle name="Normal 8 2 4 4 2 5" xfId="29831" xr:uid="{FA750629-31E3-41FC-95DE-EE45644DE311}"/>
    <cellStyle name="Normal 8 2 4 4 3" xfId="5683" xr:uid="{00000000-0005-0000-0000-0000FF1C0000}"/>
    <cellStyle name="Normal 8 2 4 4 3 2" xfId="23456" xr:uid="{29261F58-68A9-4FBE-AD54-3423404CAC25}"/>
    <cellStyle name="Normal 8 2 4 4 3 2 2" xfId="40350" xr:uid="{8E736BE2-D5CB-4E59-81FE-EA4A32062774}"/>
    <cellStyle name="Normal 8 2 4 4 3 3" xfId="15009" xr:uid="{A89CB052-0B7B-45B5-BE16-7B09086EA168}"/>
    <cellStyle name="Normal 8 2 4 4 3 4" xfId="31903" xr:uid="{908C82CD-811E-4390-8B30-9B6AB6398637}"/>
    <cellStyle name="Normal 8 2 4 4 4" xfId="19239" xr:uid="{783D804B-7634-4029-9791-3987C01530A6}"/>
    <cellStyle name="Normal 8 2 4 4 4 2" xfId="36133" xr:uid="{92B5CC4D-A825-4FEB-9E45-DCC899727C19}"/>
    <cellStyle name="Normal 8 2 4 4 5" xfId="10792" xr:uid="{C8DDFF04-3598-47A9-830D-473EDD6EB170}"/>
    <cellStyle name="Normal 8 2 4 4 6" xfId="27686" xr:uid="{C80557D9-8A44-4618-BEE6-3115FC91EDF2}"/>
    <cellStyle name="Normal 8 2 4 5" xfId="1789" xr:uid="{00000000-0005-0000-0000-0000001D0000}"/>
    <cellStyle name="Normal 8 2 4 5 2" xfId="4019" xr:uid="{00000000-0005-0000-0000-0000011D0000}"/>
    <cellStyle name="Normal 8 2 4 5 2 2" xfId="8241" xr:uid="{00000000-0005-0000-0000-0000021D0000}"/>
    <cellStyle name="Normal 8 2 4 5 2 2 2" xfId="26014" xr:uid="{39DE1CBC-F862-4964-9CA1-9DC157C0885D}"/>
    <cellStyle name="Normal 8 2 4 5 2 2 2 2" xfId="42908" xr:uid="{B690A435-311A-4DEB-9CDC-FE95E325B2C3}"/>
    <cellStyle name="Normal 8 2 4 5 2 2 3" xfId="17567" xr:uid="{E2937E88-FBAF-4ABB-8FD6-594A64F2564F}"/>
    <cellStyle name="Normal 8 2 4 5 2 2 4" xfId="34461" xr:uid="{54ECCA36-4FAF-45B5-9566-7A607AE2CF82}"/>
    <cellStyle name="Normal 8 2 4 5 2 3" xfId="21797" xr:uid="{1535F318-9E07-4C2C-A88D-704DA0E02965}"/>
    <cellStyle name="Normal 8 2 4 5 2 3 2" xfId="38691" xr:uid="{F6334D25-DBE5-4087-90B4-B1853C43B345}"/>
    <cellStyle name="Normal 8 2 4 5 2 4" xfId="13350" xr:uid="{30469769-0619-4F6C-B1A0-645D02F10566}"/>
    <cellStyle name="Normal 8 2 4 5 2 5" xfId="30244" xr:uid="{29036A45-3549-4333-864C-ED3788A49507}"/>
    <cellStyle name="Normal 8 2 4 5 3" xfId="6096" xr:uid="{00000000-0005-0000-0000-0000031D0000}"/>
    <cellStyle name="Normal 8 2 4 5 3 2" xfId="23869" xr:uid="{9B696159-B048-4F68-8875-B8EF0E2AC48A}"/>
    <cellStyle name="Normal 8 2 4 5 3 2 2" xfId="40763" xr:uid="{FDBB2036-9EF4-4349-9281-488377AA4713}"/>
    <cellStyle name="Normal 8 2 4 5 3 3" xfId="15422" xr:uid="{A6F0B714-0572-4094-BCB8-DB9196758776}"/>
    <cellStyle name="Normal 8 2 4 5 3 4" xfId="32316" xr:uid="{10D42D96-A370-478E-A34B-E1FD9D594B10}"/>
    <cellStyle name="Normal 8 2 4 5 4" xfId="19652" xr:uid="{1A4740CB-DED3-4032-AFE3-5BA38D56076E}"/>
    <cellStyle name="Normal 8 2 4 5 4 2" xfId="36546" xr:uid="{270E95D0-6C40-42A0-8A79-F56538F0034A}"/>
    <cellStyle name="Normal 8 2 4 5 5" xfId="11205" xr:uid="{00C7C7C4-467D-4A9A-868C-7DAA57FF1309}"/>
    <cellStyle name="Normal 8 2 4 5 6" xfId="28099" xr:uid="{8BFABA55-DD9C-4ACC-921A-A36E50529553}"/>
    <cellStyle name="Normal 8 2 4 6" xfId="2203" xr:uid="{00000000-0005-0000-0000-0000041D0000}"/>
    <cellStyle name="Normal 8 2 4 6 2" xfId="4432" xr:uid="{00000000-0005-0000-0000-0000051D0000}"/>
    <cellStyle name="Normal 8 2 4 6 2 2" xfId="8654" xr:uid="{00000000-0005-0000-0000-0000061D0000}"/>
    <cellStyle name="Normal 8 2 4 6 2 2 2" xfId="26427" xr:uid="{FB52AEA1-D344-43FC-BDD8-0C2B1848E200}"/>
    <cellStyle name="Normal 8 2 4 6 2 2 2 2" xfId="43321" xr:uid="{31AFE928-30E0-41C0-BF34-B2896DB23448}"/>
    <cellStyle name="Normal 8 2 4 6 2 2 3" xfId="17980" xr:uid="{13ABD5D2-16E8-43F1-ABCC-B628026DBAD6}"/>
    <cellStyle name="Normal 8 2 4 6 2 2 4" xfId="34874" xr:uid="{DBC79630-1E1A-41BF-8BD0-1AE97140A5B3}"/>
    <cellStyle name="Normal 8 2 4 6 2 3" xfId="22210" xr:uid="{BF78240E-4691-40A1-B3C8-701AE5E7BA15}"/>
    <cellStyle name="Normal 8 2 4 6 2 3 2" xfId="39104" xr:uid="{1041AC48-E159-4793-B412-DD9880B2B4B0}"/>
    <cellStyle name="Normal 8 2 4 6 2 4" xfId="13763" xr:uid="{76E958E8-268A-4E3E-894E-C501E0D18810}"/>
    <cellStyle name="Normal 8 2 4 6 2 5" xfId="30657" xr:uid="{873695C4-9218-4449-A3FD-81B356FA0C0A}"/>
    <cellStyle name="Normal 8 2 4 6 3" xfId="6509" xr:uid="{00000000-0005-0000-0000-0000071D0000}"/>
    <cellStyle name="Normal 8 2 4 6 3 2" xfId="24282" xr:uid="{C5644B0A-7530-4E9C-833B-78977CABA0A7}"/>
    <cellStyle name="Normal 8 2 4 6 3 2 2" xfId="41176" xr:uid="{41B93846-50F7-4D92-B104-BFDF5EC8B2CE}"/>
    <cellStyle name="Normal 8 2 4 6 3 3" xfId="15835" xr:uid="{B1B422F8-82C2-4E1D-B727-7D8B725074F0}"/>
    <cellStyle name="Normal 8 2 4 6 3 4" xfId="32729" xr:uid="{E735DDF8-6F21-4DE3-A9AB-1EE1143C7DE2}"/>
    <cellStyle name="Normal 8 2 4 6 4" xfId="20065" xr:uid="{05B4A7D4-84C0-467A-9A22-32B7C34F2326}"/>
    <cellStyle name="Normal 8 2 4 6 4 2" xfId="36959" xr:uid="{461BAAD0-889D-46EF-B064-26A874E58E99}"/>
    <cellStyle name="Normal 8 2 4 6 5" xfId="11618" xr:uid="{DC6FB1CE-BD5C-44D2-99D4-784FBA9D25BF}"/>
    <cellStyle name="Normal 8 2 4 6 6" xfId="28512" xr:uid="{E1647B6B-C885-4FB5-9BC4-02AE7458A4FD}"/>
    <cellStyle name="Normal 8 2 4 7" xfId="2639" xr:uid="{00000000-0005-0000-0000-0000081D0000}"/>
    <cellStyle name="Normal 8 2 4 7 2" xfId="6922" xr:uid="{00000000-0005-0000-0000-0000091D0000}"/>
    <cellStyle name="Normal 8 2 4 7 2 2" xfId="24695" xr:uid="{A8198FA0-6B67-48CF-BD99-09E4A396D86D}"/>
    <cellStyle name="Normal 8 2 4 7 2 2 2" xfId="41589" xr:uid="{BE15A116-EAAB-414C-B0EC-54A5E8F10B69}"/>
    <cellStyle name="Normal 8 2 4 7 2 3" xfId="16248" xr:uid="{325A67DB-E89E-4242-BFB2-A534EB9E68CE}"/>
    <cellStyle name="Normal 8 2 4 7 2 4" xfId="33142" xr:uid="{DD8FF635-B844-4738-A267-ED71D5E5A316}"/>
    <cellStyle name="Normal 8 2 4 7 3" xfId="20478" xr:uid="{9DDDA86A-41AA-4109-8ADF-2C8F5D040EF1}"/>
    <cellStyle name="Normal 8 2 4 7 3 2" xfId="37372" xr:uid="{60F1CA40-4F85-45FB-B867-0646D2D252C9}"/>
    <cellStyle name="Normal 8 2 4 7 4" xfId="12031" xr:uid="{DF804752-9E88-4120-BF0A-998491CE51E8}"/>
    <cellStyle name="Normal 8 2 4 7 5" xfId="28925" xr:uid="{069A6BCC-0212-43F7-9060-0B6F5B9AACD6}"/>
    <cellStyle name="Normal 8 2 4 8" xfId="4857" xr:uid="{00000000-0005-0000-0000-00000A1D0000}"/>
    <cellStyle name="Normal 8 2 4 8 2" xfId="22630" xr:uid="{0F9F6A96-E16B-46D8-B38B-1D1D5C3480FA}"/>
    <cellStyle name="Normal 8 2 4 8 2 2" xfId="39524" xr:uid="{9D3AF653-B8EC-4C6C-AFA7-BD61F7DD6D71}"/>
    <cellStyle name="Normal 8 2 4 8 3" xfId="14183" xr:uid="{6CA5273D-EB9D-438B-B153-EE4003891235}"/>
    <cellStyle name="Normal 8 2 4 8 4" xfId="31077" xr:uid="{38B891F2-9F28-4DB2-AD34-05C202852BEA}"/>
    <cellStyle name="Normal 8 2 4 9" xfId="8854" xr:uid="{F1F9C500-F3E2-475A-983E-BD697F4BACD1}"/>
    <cellStyle name="Normal 8 2 4 9 2" xfId="18413" xr:uid="{431C3949-663E-4977-902F-FA41BC254A3A}"/>
    <cellStyle name="Normal 8 2 4 9 3" xfId="35307" xr:uid="{87621909-C830-42F5-8CF5-6FC63A59A0BA}"/>
    <cellStyle name="Normal 8 2 5" xfId="494" xr:uid="{00000000-0005-0000-0000-00000B1D0000}"/>
    <cellStyle name="Normal 8 2 5 10" xfId="26862" xr:uid="{6D9F01A1-B232-434A-BE69-60A34A462E3E}"/>
    <cellStyle name="Normal 8 2 5 2" xfId="961" xr:uid="{00000000-0005-0000-0000-00000C1D0000}"/>
    <cellStyle name="Normal 8 2 5 2 2" xfId="3195" xr:uid="{00000000-0005-0000-0000-00000D1D0000}"/>
    <cellStyle name="Normal 8 2 5 2 2 2" xfId="7417" xr:uid="{00000000-0005-0000-0000-00000E1D0000}"/>
    <cellStyle name="Normal 8 2 5 2 2 2 2" xfId="25190" xr:uid="{3B399FA3-5BF7-4245-A422-CAD484116099}"/>
    <cellStyle name="Normal 8 2 5 2 2 2 2 2" xfId="42084" xr:uid="{F3FA5D2D-CFB6-4BF6-9C7B-453605E562E1}"/>
    <cellStyle name="Normal 8 2 5 2 2 2 3" xfId="16743" xr:uid="{F3CC8789-678A-4024-AE7C-55472B4AA635}"/>
    <cellStyle name="Normal 8 2 5 2 2 2 4" xfId="33637" xr:uid="{CD0396F0-B495-4FD3-9F0D-6E40A005691A}"/>
    <cellStyle name="Normal 8 2 5 2 2 3" xfId="20973" xr:uid="{C5207D38-D756-408F-8085-05545A861819}"/>
    <cellStyle name="Normal 8 2 5 2 2 3 2" xfId="37867" xr:uid="{8445DBB3-D0E0-4113-9889-32BFC0D824A2}"/>
    <cellStyle name="Normal 8 2 5 2 2 4" xfId="12526" xr:uid="{7806E718-99EE-4CB8-A6B1-F8C35E277FBF}"/>
    <cellStyle name="Normal 8 2 5 2 2 5" xfId="29420" xr:uid="{FD5F14B7-3419-4247-874F-8B59CA988E54}"/>
    <cellStyle name="Normal 8 2 5 2 3" xfId="5272" xr:uid="{00000000-0005-0000-0000-00000F1D0000}"/>
    <cellStyle name="Normal 8 2 5 2 3 2" xfId="23045" xr:uid="{A4BBA745-F860-4524-92FC-32B62EA7A8AA}"/>
    <cellStyle name="Normal 8 2 5 2 3 2 2" xfId="39939" xr:uid="{555CD88B-E5E1-4ABF-B6FF-E50DA578324D}"/>
    <cellStyle name="Normal 8 2 5 2 3 3" xfId="14598" xr:uid="{2E7A8C86-D5A9-45F4-9D9D-9F0F5269ED03}"/>
    <cellStyle name="Normal 8 2 5 2 3 4" xfId="31492" xr:uid="{8CC46246-AFE1-4F18-8999-EA43C7137A0A}"/>
    <cellStyle name="Normal 8 2 5 2 4" xfId="9395" xr:uid="{D5766EF3-6042-484F-B510-7448518CF571}"/>
    <cellStyle name="Normal 8 2 5 2 4 2" xfId="18828" xr:uid="{F6ED6799-546D-4DE3-909F-D24DED42939B}"/>
    <cellStyle name="Normal 8 2 5 2 4 3" xfId="35722" xr:uid="{C6328BA5-0038-443D-913F-C3C76B9E413A}"/>
    <cellStyle name="Normal 8 2 5 2 5" xfId="10381" xr:uid="{C585B94E-8A6F-4B71-AA4E-AFDAC0734068}"/>
    <cellStyle name="Normal 8 2 5 2 6" xfId="27275" xr:uid="{DD3A0B09-7AB6-4289-A828-8BC8EC571739}"/>
    <cellStyle name="Normal 8 2 5 3" xfId="1378" xr:uid="{00000000-0005-0000-0000-0000101D0000}"/>
    <cellStyle name="Normal 8 2 5 3 2" xfId="3608" xr:uid="{00000000-0005-0000-0000-0000111D0000}"/>
    <cellStyle name="Normal 8 2 5 3 2 2" xfId="7830" xr:uid="{00000000-0005-0000-0000-0000121D0000}"/>
    <cellStyle name="Normal 8 2 5 3 2 2 2" xfId="25603" xr:uid="{7D32C862-0B79-49B4-9876-9409A8F05217}"/>
    <cellStyle name="Normal 8 2 5 3 2 2 2 2" xfId="42497" xr:uid="{4D99DF8E-827B-4661-B550-9D98B2C1F659}"/>
    <cellStyle name="Normal 8 2 5 3 2 2 3" xfId="17156" xr:uid="{F90AE569-72EC-4A60-A38A-6AEE0A823D65}"/>
    <cellStyle name="Normal 8 2 5 3 2 2 4" xfId="34050" xr:uid="{B681B270-E216-4270-BF76-11EE1FAEE293}"/>
    <cellStyle name="Normal 8 2 5 3 2 3" xfId="21386" xr:uid="{238A6FDC-0BD1-4C4E-AD80-5B02E886EEEF}"/>
    <cellStyle name="Normal 8 2 5 3 2 3 2" xfId="38280" xr:uid="{82DC1976-2BA9-469E-BED6-1F21D387DC7C}"/>
    <cellStyle name="Normal 8 2 5 3 2 4" xfId="12939" xr:uid="{F35FB57E-4D2F-4B09-A995-95A080991A02}"/>
    <cellStyle name="Normal 8 2 5 3 2 5" xfId="29833" xr:uid="{706034E4-38AB-4BF9-ADE0-9CEE16E60FDF}"/>
    <cellStyle name="Normal 8 2 5 3 3" xfId="5685" xr:uid="{00000000-0005-0000-0000-0000131D0000}"/>
    <cellStyle name="Normal 8 2 5 3 3 2" xfId="23458" xr:uid="{7B524606-7428-49F2-B794-2BCFC4ABAF06}"/>
    <cellStyle name="Normal 8 2 5 3 3 2 2" xfId="40352" xr:uid="{45D2A26B-B68B-4AFF-AE3E-46E02619D941}"/>
    <cellStyle name="Normal 8 2 5 3 3 3" xfId="15011" xr:uid="{B4F2DB4A-44AD-4B8A-ACAB-1619F2650165}"/>
    <cellStyle name="Normal 8 2 5 3 3 4" xfId="31905" xr:uid="{C3EE0E27-CFB8-4380-A0EE-9C627B38AB17}"/>
    <cellStyle name="Normal 8 2 5 3 4" xfId="19241" xr:uid="{F2254CD2-6BD9-4D4C-A424-A036BB7B9BF4}"/>
    <cellStyle name="Normal 8 2 5 3 4 2" xfId="36135" xr:uid="{81B3D9FE-4A12-4F96-84A5-3F11C2BA53D1}"/>
    <cellStyle name="Normal 8 2 5 3 5" xfId="10794" xr:uid="{95A612FD-229C-4F57-84ED-357881DD06B8}"/>
    <cellStyle name="Normal 8 2 5 3 6" xfId="27688" xr:uid="{AE49D7F8-FE50-430D-87C1-6F91C645CBE3}"/>
    <cellStyle name="Normal 8 2 5 4" xfId="1791" xr:uid="{00000000-0005-0000-0000-0000141D0000}"/>
    <cellStyle name="Normal 8 2 5 4 2" xfId="4021" xr:uid="{00000000-0005-0000-0000-0000151D0000}"/>
    <cellStyle name="Normal 8 2 5 4 2 2" xfId="8243" xr:uid="{00000000-0005-0000-0000-0000161D0000}"/>
    <cellStyle name="Normal 8 2 5 4 2 2 2" xfId="26016" xr:uid="{FA6B3CB8-6F5E-49A2-97E5-3C49ACB61C28}"/>
    <cellStyle name="Normal 8 2 5 4 2 2 2 2" xfId="42910" xr:uid="{664BD8D9-C494-4C8E-B4D3-D4008BCDCAD5}"/>
    <cellStyle name="Normal 8 2 5 4 2 2 3" xfId="17569" xr:uid="{D8E9F62A-A6EA-46BB-B825-FEDD335260A9}"/>
    <cellStyle name="Normal 8 2 5 4 2 2 4" xfId="34463" xr:uid="{DBFFEEAA-6745-4466-91C5-5C705EB10CD4}"/>
    <cellStyle name="Normal 8 2 5 4 2 3" xfId="21799" xr:uid="{C09CC64B-5FC4-406D-ABAE-4E6E35F12EF5}"/>
    <cellStyle name="Normal 8 2 5 4 2 3 2" xfId="38693" xr:uid="{9891F3CF-9473-4588-AAC7-2DE96727749C}"/>
    <cellStyle name="Normal 8 2 5 4 2 4" xfId="13352" xr:uid="{2DC5E683-8861-44BD-AC9C-8E67C8E2188C}"/>
    <cellStyle name="Normal 8 2 5 4 2 5" xfId="30246" xr:uid="{EB62D398-2093-4674-9B06-5F3AE2FDD557}"/>
    <cellStyle name="Normal 8 2 5 4 3" xfId="6098" xr:uid="{00000000-0005-0000-0000-0000171D0000}"/>
    <cellStyle name="Normal 8 2 5 4 3 2" xfId="23871" xr:uid="{4E4A77DF-F762-4D33-B632-799CA0738946}"/>
    <cellStyle name="Normal 8 2 5 4 3 2 2" xfId="40765" xr:uid="{D2E79A6A-85E5-4910-A1F3-D31E6295B070}"/>
    <cellStyle name="Normal 8 2 5 4 3 3" xfId="15424" xr:uid="{B950F314-CFE5-48DC-B8B7-15A03A15A3FE}"/>
    <cellStyle name="Normal 8 2 5 4 3 4" xfId="32318" xr:uid="{0FE443C9-455F-4C83-959A-3ABE9B842F7B}"/>
    <cellStyle name="Normal 8 2 5 4 4" xfId="19654" xr:uid="{06E866A4-DC3F-4D37-8820-B1EC1A50813B}"/>
    <cellStyle name="Normal 8 2 5 4 4 2" xfId="36548" xr:uid="{D56451C1-C3BC-46B8-AB2D-7B1D05E3AF7C}"/>
    <cellStyle name="Normal 8 2 5 4 5" xfId="11207" xr:uid="{A9AED385-8DB9-485A-8CA4-A49DC0F715E4}"/>
    <cellStyle name="Normal 8 2 5 4 6" xfId="28101" xr:uid="{72CA2448-ACB7-42A9-B9AD-2AE890CCD4D3}"/>
    <cellStyle name="Normal 8 2 5 5" xfId="2205" xr:uid="{00000000-0005-0000-0000-0000181D0000}"/>
    <cellStyle name="Normal 8 2 5 5 2" xfId="4434" xr:uid="{00000000-0005-0000-0000-0000191D0000}"/>
    <cellStyle name="Normal 8 2 5 5 2 2" xfId="8656" xr:uid="{00000000-0005-0000-0000-00001A1D0000}"/>
    <cellStyle name="Normal 8 2 5 5 2 2 2" xfId="26429" xr:uid="{C7FB957F-400D-41F2-A216-5A7EBE0E6C57}"/>
    <cellStyle name="Normal 8 2 5 5 2 2 2 2" xfId="43323" xr:uid="{81CAF765-491F-4E86-BDA3-47CD71AF0512}"/>
    <cellStyle name="Normal 8 2 5 5 2 2 3" xfId="17982" xr:uid="{E205F7C3-B718-4B00-953B-21EBA6C41A7C}"/>
    <cellStyle name="Normal 8 2 5 5 2 2 4" xfId="34876" xr:uid="{E203BF33-6363-4B72-A87D-DECA254C4F88}"/>
    <cellStyle name="Normal 8 2 5 5 2 3" xfId="22212" xr:uid="{6A49F002-39FC-4B2A-BD89-551268E1DE99}"/>
    <cellStyle name="Normal 8 2 5 5 2 3 2" xfId="39106" xr:uid="{E9F530E0-0C00-4403-97C5-7529EF300E1F}"/>
    <cellStyle name="Normal 8 2 5 5 2 4" xfId="13765" xr:uid="{48407460-53DE-40F4-A7F5-4F519301A362}"/>
    <cellStyle name="Normal 8 2 5 5 2 5" xfId="30659" xr:uid="{A38DD859-FA8D-4B9D-8678-55AF41692772}"/>
    <cellStyle name="Normal 8 2 5 5 3" xfId="6511" xr:uid="{00000000-0005-0000-0000-00001B1D0000}"/>
    <cellStyle name="Normal 8 2 5 5 3 2" xfId="24284" xr:uid="{0BA12255-B2EB-4232-A105-D42711AB081C}"/>
    <cellStyle name="Normal 8 2 5 5 3 2 2" xfId="41178" xr:uid="{45346C53-65F0-41AA-A503-7B6011777285}"/>
    <cellStyle name="Normal 8 2 5 5 3 3" xfId="15837" xr:uid="{0D38A039-6CC8-4A34-AAA3-FA82E9D1CC2C}"/>
    <cellStyle name="Normal 8 2 5 5 3 4" xfId="32731" xr:uid="{D01A6B40-0BE8-406C-A14E-5850CA0212B1}"/>
    <cellStyle name="Normal 8 2 5 5 4" xfId="20067" xr:uid="{72D390AF-E3C6-41FB-868A-34864ECDC527}"/>
    <cellStyle name="Normal 8 2 5 5 4 2" xfId="36961" xr:uid="{204B8E20-8350-4303-B3DB-828CDDD87EC3}"/>
    <cellStyle name="Normal 8 2 5 5 5" xfId="11620" xr:uid="{4B679342-1778-426B-839B-8E06F72217F1}"/>
    <cellStyle name="Normal 8 2 5 5 6" xfId="28514" xr:uid="{20974A38-88DF-4E8A-A2F3-F7BA1852F449}"/>
    <cellStyle name="Normal 8 2 5 6" xfId="2641" xr:uid="{00000000-0005-0000-0000-00001C1D0000}"/>
    <cellStyle name="Normal 8 2 5 6 2" xfId="6924" xr:uid="{00000000-0005-0000-0000-00001D1D0000}"/>
    <cellStyle name="Normal 8 2 5 6 2 2" xfId="24697" xr:uid="{1D98EA85-8DC7-4FDE-A401-11725F872D69}"/>
    <cellStyle name="Normal 8 2 5 6 2 2 2" xfId="41591" xr:uid="{08E0F4F3-1A51-49DA-B117-4596E77D2053}"/>
    <cellStyle name="Normal 8 2 5 6 2 3" xfId="16250" xr:uid="{F04EE07B-C9BA-4E56-9D21-E945070E9A8E}"/>
    <cellStyle name="Normal 8 2 5 6 2 4" xfId="33144" xr:uid="{81D18ADD-C89F-47CB-A69B-C894643E0286}"/>
    <cellStyle name="Normal 8 2 5 6 3" xfId="20480" xr:uid="{6DFFDEDA-ED7B-4E7B-B89D-CD9AFAC15328}"/>
    <cellStyle name="Normal 8 2 5 6 3 2" xfId="37374" xr:uid="{E0674CE6-E1F7-4BCE-AE07-EBC3250F6856}"/>
    <cellStyle name="Normal 8 2 5 6 4" xfId="12033" xr:uid="{B7BF9A08-8C30-47DB-A835-24F7DC4907AC}"/>
    <cellStyle name="Normal 8 2 5 6 5" xfId="28927" xr:uid="{81488F37-4E5A-4C54-9688-8F9B58F0E648}"/>
    <cellStyle name="Normal 8 2 5 7" xfId="4859" xr:uid="{00000000-0005-0000-0000-00001E1D0000}"/>
    <cellStyle name="Normal 8 2 5 7 2" xfId="22632" xr:uid="{B7293873-2ADA-4F92-BA0E-D54C51ED7E84}"/>
    <cellStyle name="Normal 8 2 5 7 2 2" xfId="39526" xr:uid="{9B1892E4-4361-409E-93B7-18268969534A}"/>
    <cellStyle name="Normal 8 2 5 7 3" xfId="14185" xr:uid="{0B8486B6-3F11-4CBC-B16D-71D625EE705F}"/>
    <cellStyle name="Normal 8 2 5 7 4" xfId="31079" xr:uid="{B78A84DC-D7C2-4496-A50F-C94C9FBED11B}"/>
    <cellStyle name="Normal 8 2 5 8" xfId="8970" xr:uid="{7E9ACEFF-1680-45D8-BC32-8CA9BA1D63D4}"/>
    <cellStyle name="Normal 8 2 5 8 2" xfId="18415" xr:uid="{6B9331E2-920F-4B3E-A459-B4A9DD9F6DF8}"/>
    <cellStyle name="Normal 8 2 5 8 3" xfId="35309" xr:uid="{3584901A-D1AC-47EE-BDCC-15F004A17684}"/>
    <cellStyle name="Normal 8 2 5 9" xfId="9968" xr:uid="{2322F42D-CD28-46EF-88EB-5B5A9BE64306}"/>
    <cellStyle name="Normal 8 2 6" xfId="946" xr:uid="{00000000-0005-0000-0000-00001F1D0000}"/>
    <cellStyle name="Normal 8 2 6 2" xfId="3180" xr:uid="{00000000-0005-0000-0000-0000201D0000}"/>
    <cellStyle name="Normal 8 2 6 2 2" xfId="7402" xr:uid="{00000000-0005-0000-0000-0000211D0000}"/>
    <cellStyle name="Normal 8 2 6 2 2 2" xfId="25175" xr:uid="{138D4983-B89A-40B2-BD20-D30AA19FE28D}"/>
    <cellStyle name="Normal 8 2 6 2 2 2 2" xfId="42069" xr:uid="{B1CA77D4-2271-48C4-9549-359338C867A9}"/>
    <cellStyle name="Normal 8 2 6 2 2 3" xfId="16728" xr:uid="{78221DB6-D104-4A59-8A29-1245628FA70F}"/>
    <cellStyle name="Normal 8 2 6 2 2 4" xfId="33622" xr:uid="{C73E85E4-EA6C-48BE-BC17-5F38A50224F4}"/>
    <cellStyle name="Normal 8 2 6 2 3" xfId="20958" xr:uid="{C1B772BE-B347-4199-829B-E0AC40839109}"/>
    <cellStyle name="Normal 8 2 6 2 3 2" xfId="37852" xr:uid="{86E3BA0E-893F-4E37-9FD0-1A0F46C64277}"/>
    <cellStyle name="Normal 8 2 6 2 4" xfId="12511" xr:uid="{A6C4B606-D377-4C3A-9E1D-0666AB2EA501}"/>
    <cellStyle name="Normal 8 2 6 2 5" xfId="29405" xr:uid="{886DD3AF-DEF0-414F-8DC0-DD866AAEE792}"/>
    <cellStyle name="Normal 8 2 6 3" xfId="5257" xr:uid="{00000000-0005-0000-0000-0000221D0000}"/>
    <cellStyle name="Normal 8 2 6 3 2" xfId="23030" xr:uid="{06607C79-6F6B-4A71-B82C-D12779DE8587}"/>
    <cellStyle name="Normal 8 2 6 3 2 2" xfId="39924" xr:uid="{FBDC3F8B-164B-4A5F-981A-5F18E7A25572}"/>
    <cellStyle name="Normal 8 2 6 3 3" xfId="14583" xr:uid="{A5574BA0-463D-46EE-A603-BD7A0335D2F4}"/>
    <cellStyle name="Normal 8 2 6 3 4" xfId="31477" xr:uid="{6B6A3AE4-7054-4128-8421-54AB704EB2BD}"/>
    <cellStyle name="Normal 8 2 6 4" xfId="9173" xr:uid="{C36295B3-E6F0-4A6D-AEE5-72C8177C13EE}"/>
    <cellStyle name="Normal 8 2 6 4 2" xfId="18813" xr:uid="{345052B9-E7F5-4CF2-8D96-DC543A93034A}"/>
    <cellStyle name="Normal 8 2 6 4 3" xfId="35707" xr:uid="{6B9122C1-D6B2-4E2D-971D-2A97B3595D69}"/>
    <cellStyle name="Normal 8 2 6 5" xfId="10366" xr:uid="{D96B0AE2-A6B1-42D3-82E3-9D678AE91947}"/>
    <cellStyle name="Normal 8 2 6 6" xfId="27260" xr:uid="{CD10A8E1-4C9D-4A11-8865-D5714BDC57DA}"/>
    <cellStyle name="Normal 8 2 7" xfId="1363" xr:uid="{00000000-0005-0000-0000-0000231D0000}"/>
    <cellStyle name="Normal 8 2 7 2" xfId="3593" xr:uid="{00000000-0005-0000-0000-0000241D0000}"/>
    <cellStyle name="Normal 8 2 7 2 2" xfId="7815" xr:uid="{00000000-0005-0000-0000-0000251D0000}"/>
    <cellStyle name="Normal 8 2 7 2 2 2" xfId="25588" xr:uid="{391B5890-70C1-423F-891A-5B83D8F8F849}"/>
    <cellStyle name="Normal 8 2 7 2 2 2 2" xfId="42482" xr:uid="{3D370DB4-8245-441F-A1AA-3703A9B86571}"/>
    <cellStyle name="Normal 8 2 7 2 2 3" xfId="17141" xr:uid="{382C669A-091A-46EA-A448-291264559A34}"/>
    <cellStyle name="Normal 8 2 7 2 2 4" xfId="34035" xr:uid="{189DF3AE-D0A7-4995-BB9B-298DAF6665A0}"/>
    <cellStyle name="Normal 8 2 7 2 3" xfId="21371" xr:uid="{30B2E94B-AB3E-41E0-B3E2-9401E21EE93D}"/>
    <cellStyle name="Normal 8 2 7 2 3 2" xfId="38265" xr:uid="{A84CC491-E080-4A3D-85FD-3A39F59E0F23}"/>
    <cellStyle name="Normal 8 2 7 2 4" xfId="12924" xr:uid="{E7115FAD-53EE-49C0-B847-41EFFE92FD72}"/>
    <cellStyle name="Normal 8 2 7 2 5" xfId="29818" xr:uid="{E91512F2-A7E5-4C8E-9394-A5A228C2943D}"/>
    <cellStyle name="Normal 8 2 7 3" xfId="5670" xr:uid="{00000000-0005-0000-0000-0000261D0000}"/>
    <cellStyle name="Normal 8 2 7 3 2" xfId="23443" xr:uid="{2538B0B9-24E7-4B41-AE98-307A79B32955}"/>
    <cellStyle name="Normal 8 2 7 3 2 2" xfId="40337" xr:uid="{3C40C542-6BFF-4CF8-B8F2-9F1950E11954}"/>
    <cellStyle name="Normal 8 2 7 3 3" xfId="14996" xr:uid="{CCB2EE48-F50C-442D-B194-293D10101BDC}"/>
    <cellStyle name="Normal 8 2 7 3 4" xfId="31890" xr:uid="{B660B6ED-CA8C-4968-80CB-DB04E4695689}"/>
    <cellStyle name="Normal 8 2 7 4" xfId="19226" xr:uid="{3AFB53A7-851F-4005-80A0-450485F40C79}"/>
    <cellStyle name="Normal 8 2 7 4 2" xfId="36120" xr:uid="{89A2F45A-1183-456F-8BEA-31224B9FC3A1}"/>
    <cellStyle name="Normal 8 2 7 5" xfId="10779" xr:uid="{BC30B190-9E20-4FFE-A47F-F2A61929153C}"/>
    <cellStyle name="Normal 8 2 7 6" xfId="27673" xr:uid="{B2A92B49-3131-402C-9849-C3F0142C5A5E}"/>
    <cellStyle name="Normal 8 2 8" xfId="1776" xr:uid="{00000000-0005-0000-0000-0000271D0000}"/>
    <cellStyle name="Normal 8 2 8 2" xfId="4006" xr:uid="{00000000-0005-0000-0000-0000281D0000}"/>
    <cellStyle name="Normal 8 2 8 2 2" xfId="8228" xr:uid="{00000000-0005-0000-0000-0000291D0000}"/>
    <cellStyle name="Normal 8 2 8 2 2 2" xfId="26001" xr:uid="{2E1DEBE8-A3F3-4A4C-A76B-CDEB3C24EB41}"/>
    <cellStyle name="Normal 8 2 8 2 2 2 2" xfId="42895" xr:uid="{90335E8D-E709-4A89-B1E8-364F0F10FB62}"/>
    <cellStyle name="Normal 8 2 8 2 2 3" xfId="17554" xr:uid="{8B4F99FE-5B4A-4626-BF0F-624D53142AA3}"/>
    <cellStyle name="Normal 8 2 8 2 2 4" xfId="34448" xr:uid="{F16DA6E6-27A4-4C14-9447-06CD91878816}"/>
    <cellStyle name="Normal 8 2 8 2 3" xfId="21784" xr:uid="{24EAE542-5DAD-49A5-B23C-49E110D3B4BB}"/>
    <cellStyle name="Normal 8 2 8 2 3 2" xfId="38678" xr:uid="{86C9C542-080D-4283-A1F7-2BF3531423E7}"/>
    <cellStyle name="Normal 8 2 8 2 4" xfId="13337" xr:uid="{CFF13F84-2456-45CE-9AFC-51179AE267CA}"/>
    <cellStyle name="Normal 8 2 8 2 5" xfId="30231" xr:uid="{05B7ECF7-6352-4B0F-8516-040C5ED1B96F}"/>
    <cellStyle name="Normal 8 2 8 3" xfId="6083" xr:uid="{00000000-0005-0000-0000-00002A1D0000}"/>
    <cellStyle name="Normal 8 2 8 3 2" xfId="23856" xr:uid="{35816095-9037-4F8C-84F5-1B0AEC4EAF54}"/>
    <cellStyle name="Normal 8 2 8 3 2 2" xfId="40750" xr:uid="{87E5B557-CB86-43A8-ABC8-7FEE5B2174DA}"/>
    <cellStyle name="Normal 8 2 8 3 3" xfId="15409" xr:uid="{ED649DA6-47C5-4F37-AD4F-5AEA88A8959E}"/>
    <cellStyle name="Normal 8 2 8 3 4" xfId="32303" xr:uid="{067AFF05-74BD-4A98-A7AA-EF81F71BB95F}"/>
    <cellStyle name="Normal 8 2 8 4" xfId="19639" xr:uid="{5E10DCBD-88E6-4F01-A442-ED88B06AD7C6}"/>
    <cellStyle name="Normal 8 2 8 4 2" xfId="36533" xr:uid="{6FA1C700-6264-47FF-A165-5F6E107AB476}"/>
    <cellStyle name="Normal 8 2 8 5" xfId="11192" xr:uid="{F752D53A-FE20-40FD-9B66-B00C5E919D78}"/>
    <cellStyle name="Normal 8 2 8 6" xfId="28086" xr:uid="{D156B59E-856D-4256-9A9B-8425368BD2C7}"/>
    <cellStyle name="Normal 8 2 9" xfId="2190" xr:uid="{00000000-0005-0000-0000-00002B1D0000}"/>
    <cellStyle name="Normal 8 2 9 2" xfId="4419" xr:uid="{00000000-0005-0000-0000-00002C1D0000}"/>
    <cellStyle name="Normal 8 2 9 2 2" xfId="8641" xr:uid="{00000000-0005-0000-0000-00002D1D0000}"/>
    <cellStyle name="Normal 8 2 9 2 2 2" xfId="26414" xr:uid="{C4B15562-B867-46F9-BDEE-35328593046B}"/>
    <cellStyle name="Normal 8 2 9 2 2 2 2" xfId="43308" xr:uid="{C081FDC4-122D-4669-B6AE-356D00674070}"/>
    <cellStyle name="Normal 8 2 9 2 2 3" xfId="17967" xr:uid="{6062A3EF-5B0F-4482-934B-DCBF220AF287}"/>
    <cellStyle name="Normal 8 2 9 2 2 4" xfId="34861" xr:uid="{415A5BFC-ED62-4802-AB59-97EDAB21E004}"/>
    <cellStyle name="Normal 8 2 9 2 3" xfId="22197" xr:uid="{5A1198AD-CFA5-4D9C-9A3E-BF84C706B089}"/>
    <cellStyle name="Normal 8 2 9 2 3 2" xfId="39091" xr:uid="{EEF2E6EC-B987-4BAD-9E99-CB5911ED2E84}"/>
    <cellStyle name="Normal 8 2 9 2 4" xfId="13750" xr:uid="{58DB25DA-0C01-429A-AAA5-21F4A2583ED4}"/>
    <cellStyle name="Normal 8 2 9 2 5" xfId="30644" xr:uid="{E6A372D3-6AA2-4545-B3CD-A113A370D3A1}"/>
    <cellStyle name="Normal 8 2 9 3" xfId="6496" xr:uid="{00000000-0005-0000-0000-00002E1D0000}"/>
    <cellStyle name="Normal 8 2 9 3 2" xfId="24269" xr:uid="{4131D709-9D4F-4A44-ABE8-FED9977B1D95}"/>
    <cellStyle name="Normal 8 2 9 3 2 2" xfId="41163" xr:uid="{2AB62216-AE23-4505-8344-715285D8B87B}"/>
    <cellStyle name="Normal 8 2 9 3 3" xfId="15822" xr:uid="{3EFF99CA-6EA6-4C87-BF5D-B2C0E24B14B8}"/>
    <cellStyle name="Normal 8 2 9 3 4" xfId="32716" xr:uid="{E1F2895E-E066-446C-9985-2AAF687F533E}"/>
    <cellStyle name="Normal 8 2 9 4" xfId="20052" xr:uid="{A4A5E897-0166-4F45-8F02-9333117752FE}"/>
    <cellStyle name="Normal 8 2 9 4 2" xfId="36946" xr:uid="{8C427531-95EF-4AAF-B42B-77264C08CB74}"/>
    <cellStyle name="Normal 8 2 9 5" xfId="11605" xr:uid="{F7F7FD5B-2E18-460A-911C-E263985D5AB4}"/>
    <cellStyle name="Normal 8 2 9 6" xfId="28499" xr:uid="{E20DF0A0-059D-47B1-8EAA-73CBA188BE81}"/>
    <cellStyle name="Normal 8 3" xfId="495" xr:uid="{00000000-0005-0000-0000-00002F1D0000}"/>
    <cellStyle name="Normal 8 3 10" xfId="4860" xr:uid="{00000000-0005-0000-0000-0000301D0000}"/>
    <cellStyle name="Normal 8 3 10 2" xfId="22633" xr:uid="{EF168683-45C2-4B43-B922-EDEF9C8BE9B2}"/>
    <cellStyle name="Normal 8 3 10 2 2" xfId="39527" xr:uid="{E663D378-0B0B-42CE-A223-6AAD26CC4212}"/>
    <cellStyle name="Normal 8 3 10 3" xfId="14186" xr:uid="{7D41BE7A-D40E-4473-9EFC-E0ABF3841827}"/>
    <cellStyle name="Normal 8 3 10 4" xfId="31080" xr:uid="{7C8C57A9-0D87-4B14-A8E0-A5D85F936D8F}"/>
    <cellStyle name="Normal 8 3 11" xfId="8774" xr:uid="{81BDDADD-940D-4F3A-BD6C-7E4719C8A3D2}"/>
    <cellStyle name="Normal 8 3 11 2" xfId="18416" xr:uid="{47A3DF58-1EC3-4C69-8E0B-EE1293EE8C8C}"/>
    <cellStyle name="Normal 8 3 11 3" xfId="35310" xr:uid="{63B78E20-DEF5-42B7-8531-282271B16C21}"/>
    <cellStyle name="Normal 8 3 12" xfId="9969" xr:uid="{47AE4148-17FF-4AE7-A8A9-E65832280590}"/>
    <cellStyle name="Normal 8 3 13" xfId="26863" xr:uid="{4941401A-91C3-49E9-ABEA-23B7F7552E83}"/>
    <cellStyle name="Normal 8 3 2" xfId="496" xr:uid="{00000000-0005-0000-0000-0000311D0000}"/>
    <cellStyle name="Normal 8 3 2 10" xfId="8837" xr:uid="{392842AA-84B1-4A71-AE94-A1B631487B7E}"/>
    <cellStyle name="Normal 8 3 2 10 2" xfId="18417" xr:uid="{D21D5431-DE47-4ECD-BECC-B6E522018597}"/>
    <cellStyle name="Normal 8 3 2 10 3" xfId="35311" xr:uid="{E0AC8609-98CB-4EA2-9410-364CF77BB735}"/>
    <cellStyle name="Normal 8 3 2 11" xfId="9970" xr:uid="{C3DFBC02-DE24-432A-AB0A-3AE93B708E4C}"/>
    <cellStyle name="Normal 8 3 2 12" xfId="26864" xr:uid="{DBA82BE6-9D9D-469A-A10B-F85CDB665F09}"/>
    <cellStyle name="Normal 8 3 2 2" xfId="497" xr:uid="{00000000-0005-0000-0000-0000321D0000}"/>
    <cellStyle name="Normal 8 3 2 2 10" xfId="9971" xr:uid="{17D1D7C8-7D79-49FB-9B73-7D8EFA2293D5}"/>
    <cellStyle name="Normal 8 3 2 2 11" xfId="26865" xr:uid="{FD0BF862-64B4-4D5B-B520-F971784DA1BE}"/>
    <cellStyle name="Normal 8 3 2 2 2" xfId="498" xr:uid="{00000000-0005-0000-0000-0000331D0000}"/>
    <cellStyle name="Normal 8 3 2 2 2 10" xfId="26866" xr:uid="{DB9D1357-6D36-4C85-B361-4F6D6CAB587A}"/>
    <cellStyle name="Normal 8 3 2 2 2 2" xfId="965" xr:uid="{00000000-0005-0000-0000-0000341D0000}"/>
    <cellStyle name="Normal 8 3 2 2 2 2 2" xfId="3199" xr:uid="{00000000-0005-0000-0000-0000351D0000}"/>
    <cellStyle name="Normal 8 3 2 2 2 2 2 2" xfId="7421" xr:uid="{00000000-0005-0000-0000-0000361D0000}"/>
    <cellStyle name="Normal 8 3 2 2 2 2 2 2 2" xfId="25194" xr:uid="{F2107780-4969-4C27-9118-D3BEB85A854D}"/>
    <cellStyle name="Normal 8 3 2 2 2 2 2 2 2 2" xfId="42088" xr:uid="{5E5F5AB1-98F2-4653-A549-391CCD9C7C6D}"/>
    <cellStyle name="Normal 8 3 2 2 2 2 2 2 3" xfId="16747" xr:uid="{21D5F158-8103-4BB9-BC0E-2E093B178E62}"/>
    <cellStyle name="Normal 8 3 2 2 2 2 2 2 4" xfId="33641" xr:uid="{78F813B2-482F-44F4-A1AE-048687353177}"/>
    <cellStyle name="Normal 8 3 2 2 2 2 2 3" xfId="20977" xr:uid="{30A3F37D-ACBD-4B6E-B74C-C0682C0E4AF6}"/>
    <cellStyle name="Normal 8 3 2 2 2 2 2 3 2" xfId="37871" xr:uid="{D641F96E-4B05-464E-B94B-B49E47A953F8}"/>
    <cellStyle name="Normal 8 3 2 2 2 2 2 4" xfId="12530" xr:uid="{FEC39F73-C6FA-40CE-9A4C-CA6B7F9300F2}"/>
    <cellStyle name="Normal 8 3 2 2 2 2 2 5" xfId="29424" xr:uid="{1582534D-55DA-4F0D-8862-20C07FC1F3C0}"/>
    <cellStyle name="Normal 8 3 2 2 2 2 3" xfId="5276" xr:uid="{00000000-0005-0000-0000-0000371D0000}"/>
    <cellStyle name="Normal 8 3 2 2 2 2 3 2" xfId="23049" xr:uid="{712B6E94-63CE-49B1-B209-3A2514E090B0}"/>
    <cellStyle name="Normal 8 3 2 2 2 2 3 2 2" xfId="39943" xr:uid="{BEABA3DA-E041-44F0-A319-C4C59BF9AAC5}"/>
    <cellStyle name="Normal 8 3 2 2 2 2 3 3" xfId="14602" xr:uid="{D6C8B285-D016-4024-8515-017F2B6611DC}"/>
    <cellStyle name="Normal 8 3 2 2 2 2 3 4" xfId="31496" xr:uid="{84E576F5-8F16-47E1-9CF5-738437160DAE}"/>
    <cellStyle name="Normal 8 3 2 2 2 2 4" xfId="9572" xr:uid="{83269435-2305-4677-BD8B-8CB801DC108A}"/>
    <cellStyle name="Normal 8 3 2 2 2 2 4 2" xfId="18832" xr:uid="{9928BE2C-BE32-4750-8908-18D90D66EA3C}"/>
    <cellStyle name="Normal 8 3 2 2 2 2 4 3" xfId="35726" xr:uid="{8551B846-186F-4E7E-83CD-583D5A977ECE}"/>
    <cellStyle name="Normal 8 3 2 2 2 2 5" xfId="10385" xr:uid="{62B00B50-1253-4DEE-88B0-4F2A65363974}"/>
    <cellStyle name="Normal 8 3 2 2 2 2 6" xfId="27279" xr:uid="{93C08611-3175-44EA-B1FB-16B33647C653}"/>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2 2 2" xfId="25607" xr:uid="{9867629A-8A99-4411-9738-D77A094110B8}"/>
    <cellStyle name="Normal 8 3 2 2 2 3 2 2 2 2" xfId="42501" xr:uid="{E93939B5-2612-4AC3-B196-8BBB9D5DAC8F}"/>
    <cellStyle name="Normal 8 3 2 2 2 3 2 2 3" xfId="17160" xr:uid="{111B2FA3-28F9-4F63-91F2-619840DC7BF1}"/>
    <cellStyle name="Normal 8 3 2 2 2 3 2 2 4" xfId="34054" xr:uid="{17F1AA9E-EE64-429D-8836-624BA5FE9505}"/>
    <cellStyle name="Normal 8 3 2 2 2 3 2 3" xfId="21390" xr:uid="{5572F49F-B80B-478F-B2C1-8587C4776075}"/>
    <cellStyle name="Normal 8 3 2 2 2 3 2 3 2" xfId="38284" xr:uid="{16531529-0440-4965-A74F-F22E3C7BF6E6}"/>
    <cellStyle name="Normal 8 3 2 2 2 3 2 4" xfId="12943" xr:uid="{C0D4E90C-E59E-47BC-9353-07F1CF551874}"/>
    <cellStyle name="Normal 8 3 2 2 2 3 2 5" xfId="29837" xr:uid="{11AAEE9D-5129-4171-99B8-2A55E13BB2FF}"/>
    <cellStyle name="Normal 8 3 2 2 2 3 3" xfId="5689" xr:uid="{00000000-0005-0000-0000-00003B1D0000}"/>
    <cellStyle name="Normal 8 3 2 2 2 3 3 2" xfId="23462" xr:uid="{975CCE19-E129-450C-9D65-B6A1A94F2CAE}"/>
    <cellStyle name="Normal 8 3 2 2 2 3 3 2 2" xfId="40356" xr:uid="{870EDE54-C0EF-427D-8489-2D36EE8F386E}"/>
    <cellStyle name="Normal 8 3 2 2 2 3 3 3" xfId="15015" xr:uid="{E92126B9-EAD2-40BB-A3E6-3F7913471471}"/>
    <cellStyle name="Normal 8 3 2 2 2 3 3 4" xfId="31909" xr:uid="{268CBC8E-FD83-41A1-9046-9EAD0D6C75E7}"/>
    <cellStyle name="Normal 8 3 2 2 2 3 4" xfId="19245" xr:uid="{DD2E8FAC-1B75-4B3F-86DA-8FC97C821A48}"/>
    <cellStyle name="Normal 8 3 2 2 2 3 4 2" xfId="36139" xr:uid="{85A151A2-4E76-4E73-BC26-98DBBE804F8F}"/>
    <cellStyle name="Normal 8 3 2 2 2 3 5" xfId="10798" xr:uid="{6C8C83C4-FD6B-4438-825B-2500EF6E7154}"/>
    <cellStyle name="Normal 8 3 2 2 2 3 6" xfId="27692" xr:uid="{9159404F-24CC-4844-919E-D6FC08FD0C95}"/>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2 2 2" xfId="26020" xr:uid="{A4BC2FB0-7243-460A-BBB0-04F1F8B22792}"/>
    <cellStyle name="Normal 8 3 2 2 2 4 2 2 2 2" xfId="42914" xr:uid="{20D1E58D-8A5D-47BF-A5F5-94324CFB909E}"/>
    <cellStyle name="Normal 8 3 2 2 2 4 2 2 3" xfId="17573" xr:uid="{C50AE0DB-FDCF-4C28-9280-97EE6D09F874}"/>
    <cellStyle name="Normal 8 3 2 2 2 4 2 2 4" xfId="34467" xr:uid="{C6A323A2-ED77-4340-B4DB-1135A27C5755}"/>
    <cellStyle name="Normal 8 3 2 2 2 4 2 3" xfId="21803" xr:uid="{907A5B4C-9C2A-41D3-B913-F9A252191E4D}"/>
    <cellStyle name="Normal 8 3 2 2 2 4 2 3 2" xfId="38697" xr:uid="{536A0FB8-E53B-43D1-B64C-B81E9C8F1954}"/>
    <cellStyle name="Normal 8 3 2 2 2 4 2 4" xfId="13356" xr:uid="{4417933D-E278-4D27-80F3-CEBE31E461E0}"/>
    <cellStyle name="Normal 8 3 2 2 2 4 2 5" xfId="30250" xr:uid="{DC3394E9-D6B5-4B2F-B209-637D348829D4}"/>
    <cellStyle name="Normal 8 3 2 2 2 4 3" xfId="6102" xr:uid="{00000000-0005-0000-0000-00003F1D0000}"/>
    <cellStyle name="Normal 8 3 2 2 2 4 3 2" xfId="23875" xr:uid="{5974BA47-8CD4-406C-B713-8E5016642FDE}"/>
    <cellStyle name="Normal 8 3 2 2 2 4 3 2 2" xfId="40769" xr:uid="{89CEACAA-87DE-48E2-B528-39BB79916E63}"/>
    <cellStyle name="Normal 8 3 2 2 2 4 3 3" xfId="15428" xr:uid="{04562FEA-F00F-496A-9DA6-08741EBAC3E5}"/>
    <cellStyle name="Normal 8 3 2 2 2 4 3 4" xfId="32322" xr:uid="{4286A8D7-1054-4994-8878-84EED662CE0C}"/>
    <cellStyle name="Normal 8 3 2 2 2 4 4" xfId="19658" xr:uid="{0134E5E7-375C-45CD-8776-10B92B3C31E2}"/>
    <cellStyle name="Normal 8 3 2 2 2 4 4 2" xfId="36552" xr:uid="{52199815-31E9-476E-9B61-0D5A1F68E323}"/>
    <cellStyle name="Normal 8 3 2 2 2 4 5" xfId="11211" xr:uid="{8CFDCF1E-4532-4C82-95DA-608B66CE180D}"/>
    <cellStyle name="Normal 8 3 2 2 2 4 6" xfId="28105" xr:uid="{CBB378D6-51C3-478B-9159-6B1562AE008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2 2 2" xfId="26433" xr:uid="{36FB7D85-B5AA-4A48-B577-1905DCFFCDB5}"/>
    <cellStyle name="Normal 8 3 2 2 2 5 2 2 2 2" xfId="43327" xr:uid="{46B167EF-C209-479C-842F-2228F8C9B66C}"/>
    <cellStyle name="Normal 8 3 2 2 2 5 2 2 3" xfId="17986" xr:uid="{BE7643E3-EAF3-4A89-B85D-A5A11DFDE29A}"/>
    <cellStyle name="Normal 8 3 2 2 2 5 2 2 4" xfId="34880" xr:uid="{93A44E37-816F-48CB-97CA-6EDFC982E8EE}"/>
    <cellStyle name="Normal 8 3 2 2 2 5 2 3" xfId="22216" xr:uid="{FA70B5D9-5941-4591-984C-F761AB6A4868}"/>
    <cellStyle name="Normal 8 3 2 2 2 5 2 3 2" xfId="39110" xr:uid="{7B1FB07B-C85E-4A1F-BA7B-5EA2F7831408}"/>
    <cellStyle name="Normal 8 3 2 2 2 5 2 4" xfId="13769" xr:uid="{87553202-F6C1-464E-8641-9A1E18BE4701}"/>
    <cellStyle name="Normal 8 3 2 2 2 5 2 5" xfId="30663" xr:uid="{C3524101-C08E-457C-88CB-30146E2B5F98}"/>
    <cellStyle name="Normal 8 3 2 2 2 5 3" xfId="6515" xr:uid="{00000000-0005-0000-0000-0000431D0000}"/>
    <cellStyle name="Normal 8 3 2 2 2 5 3 2" xfId="24288" xr:uid="{39C8A64F-47DE-442F-855B-4A71FEA9C977}"/>
    <cellStyle name="Normal 8 3 2 2 2 5 3 2 2" xfId="41182" xr:uid="{85AB5492-5510-4D41-85C1-0B8FA000D8E5}"/>
    <cellStyle name="Normal 8 3 2 2 2 5 3 3" xfId="15841" xr:uid="{6280A27A-D52A-4E1A-98AD-C7BD615D173B}"/>
    <cellStyle name="Normal 8 3 2 2 2 5 3 4" xfId="32735" xr:uid="{9335B9E4-4798-4522-B36F-C054A0DD1CDB}"/>
    <cellStyle name="Normal 8 3 2 2 2 5 4" xfId="20071" xr:uid="{B8962DB0-6AA6-4F4A-B515-12CE33FD04D3}"/>
    <cellStyle name="Normal 8 3 2 2 2 5 4 2" xfId="36965" xr:uid="{FF857CEE-BC6C-49FA-8D1A-E159ADE25BBF}"/>
    <cellStyle name="Normal 8 3 2 2 2 5 5" xfId="11624" xr:uid="{BCABE0B7-082D-418F-B57D-6E8665F64991}"/>
    <cellStyle name="Normal 8 3 2 2 2 5 6" xfId="28518" xr:uid="{E2994240-9110-46BE-9667-D81DB543FD16}"/>
    <cellStyle name="Normal 8 3 2 2 2 6" xfId="2645" xr:uid="{00000000-0005-0000-0000-0000441D0000}"/>
    <cellStyle name="Normal 8 3 2 2 2 6 2" xfId="6928" xr:uid="{00000000-0005-0000-0000-0000451D0000}"/>
    <cellStyle name="Normal 8 3 2 2 2 6 2 2" xfId="24701" xr:uid="{47B2D0AF-D537-4378-AA49-49E5D552C55A}"/>
    <cellStyle name="Normal 8 3 2 2 2 6 2 2 2" xfId="41595" xr:uid="{3628DCCE-0727-48D1-9A2D-FC22980C0A37}"/>
    <cellStyle name="Normal 8 3 2 2 2 6 2 3" xfId="16254" xr:uid="{13394BB3-4C71-46C8-B167-C47028F54A99}"/>
    <cellStyle name="Normal 8 3 2 2 2 6 2 4" xfId="33148" xr:uid="{47C1D57F-574D-4BED-9A29-52FD3EF7D4D1}"/>
    <cellStyle name="Normal 8 3 2 2 2 6 3" xfId="20484" xr:uid="{15042CDF-EEF1-4DC7-B1FF-9CFC5541F0F3}"/>
    <cellStyle name="Normal 8 3 2 2 2 6 3 2" xfId="37378" xr:uid="{A4176B26-1E42-450B-B702-9AD4E2D20209}"/>
    <cellStyle name="Normal 8 3 2 2 2 6 4" xfId="12037" xr:uid="{C1CC095C-33F7-4C52-BF67-128A8452819B}"/>
    <cellStyle name="Normal 8 3 2 2 2 6 5" xfId="28931" xr:uid="{9F9AFD6E-55A7-4162-8D74-81041FD72201}"/>
    <cellStyle name="Normal 8 3 2 2 2 7" xfId="4863" xr:uid="{00000000-0005-0000-0000-0000461D0000}"/>
    <cellStyle name="Normal 8 3 2 2 2 7 2" xfId="22636" xr:uid="{8E9B3E27-9D9B-4F3A-AD9C-8E7C18004ECA}"/>
    <cellStyle name="Normal 8 3 2 2 2 7 2 2" xfId="39530" xr:uid="{211346D8-5A60-4F7A-BCE1-30D9470BBBF2}"/>
    <cellStyle name="Normal 8 3 2 2 2 7 3" xfId="14189" xr:uid="{9E06205D-9E7C-4069-BF5E-AF5F3F58E500}"/>
    <cellStyle name="Normal 8 3 2 2 2 7 4" xfId="31083" xr:uid="{DDE7480B-E1BB-4BCC-82B7-C1C56A255912}"/>
    <cellStyle name="Normal 8 3 2 2 2 8" xfId="9147" xr:uid="{16780743-13F5-44BF-919B-157B86988913}"/>
    <cellStyle name="Normal 8 3 2 2 2 8 2" xfId="18419" xr:uid="{76AFF83D-D580-4B35-9EFE-9DC63BFEEFF2}"/>
    <cellStyle name="Normal 8 3 2 2 2 8 3" xfId="35313" xr:uid="{C714F896-E2D7-461E-8C5A-9DF08DE2A94F}"/>
    <cellStyle name="Normal 8 3 2 2 2 9" xfId="9972" xr:uid="{5E3B23F9-59C5-4216-913D-36DCCB49BAED}"/>
    <cellStyle name="Normal 8 3 2 2 3" xfId="964" xr:uid="{00000000-0005-0000-0000-0000471D0000}"/>
    <cellStyle name="Normal 8 3 2 2 3 2" xfId="3198" xr:uid="{00000000-0005-0000-0000-0000481D0000}"/>
    <cellStyle name="Normal 8 3 2 2 3 2 2" xfId="7420" xr:uid="{00000000-0005-0000-0000-0000491D0000}"/>
    <cellStyle name="Normal 8 3 2 2 3 2 2 2" xfId="25193" xr:uid="{681CF6F4-766A-4082-BFB3-AB61996B249D}"/>
    <cellStyle name="Normal 8 3 2 2 3 2 2 2 2" xfId="42087" xr:uid="{5E6CEAA6-2F9E-4E91-82DF-2A65A8F1E8F0}"/>
    <cellStyle name="Normal 8 3 2 2 3 2 2 3" xfId="16746" xr:uid="{72A488EC-0C11-4672-80F3-1C6803CF571C}"/>
    <cellStyle name="Normal 8 3 2 2 3 2 2 4" xfId="33640" xr:uid="{C7E42990-742E-47AF-8DBD-CD2AE657D609}"/>
    <cellStyle name="Normal 8 3 2 2 3 2 3" xfId="20976" xr:uid="{673586B1-5220-4938-9AA8-24330545B098}"/>
    <cellStyle name="Normal 8 3 2 2 3 2 3 2" xfId="37870" xr:uid="{956BA37A-C42A-4E67-87D9-D946E7AB4E3F}"/>
    <cellStyle name="Normal 8 3 2 2 3 2 4" xfId="12529" xr:uid="{81FC8CC3-A1B7-4C95-A685-3950E23C20C2}"/>
    <cellStyle name="Normal 8 3 2 2 3 2 5" xfId="29423" xr:uid="{48F0B4B8-E5CD-4B44-9D3E-08C639612296}"/>
    <cellStyle name="Normal 8 3 2 2 3 3" xfId="5275" xr:uid="{00000000-0005-0000-0000-00004A1D0000}"/>
    <cellStyle name="Normal 8 3 2 2 3 3 2" xfId="23048" xr:uid="{FC4FE64C-4ECF-452F-BBD5-4FD78092D0BD}"/>
    <cellStyle name="Normal 8 3 2 2 3 3 2 2" xfId="39942" xr:uid="{C6819F26-9822-41F5-89A2-0CD16AC16C58}"/>
    <cellStyle name="Normal 8 3 2 2 3 3 3" xfId="14601" xr:uid="{CCA35B1C-3120-449A-8BEC-8A031ECB3228}"/>
    <cellStyle name="Normal 8 3 2 2 3 3 4" xfId="31495" xr:uid="{1F4D887E-C40C-4D67-9D19-674AACC1E011}"/>
    <cellStyle name="Normal 8 3 2 2 3 4" xfId="9365" xr:uid="{47FF7C14-7484-41B9-856F-11398F7B2C7C}"/>
    <cellStyle name="Normal 8 3 2 2 3 4 2" xfId="18831" xr:uid="{266B8179-7186-423C-A431-2D49CA03461C}"/>
    <cellStyle name="Normal 8 3 2 2 3 4 3" xfId="35725" xr:uid="{43DF14C9-9C3F-411B-BDD3-358055D0B646}"/>
    <cellStyle name="Normal 8 3 2 2 3 5" xfId="10384" xr:uid="{5973ED82-6594-45FE-AD0E-40AD6E0B8757}"/>
    <cellStyle name="Normal 8 3 2 2 3 6" xfId="27278" xr:uid="{8673F6E7-FBD9-447C-ACA7-184E684F3D75}"/>
    <cellStyle name="Normal 8 3 2 2 4" xfId="1381" xr:uid="{00000000-0005-0000-0000-00004B1D0000}"/>
    <cellStyle name="Normal 8 3 2 2 4 2" xfId="3611" xr:uid="{00000000-0005-0000-0000-00004C1D0000}"/>
    <cellStyle name="Normal 8 3 2 2 4 2 2" xfId="7833" xr:uid="{00000000-0005-0000-0000-00004D1D0000}"/>
    <cellStyle name="Normal 8 3 2 2 4 2 2 2" xfId="25606" xr:uid="{5E9B57F8-333D-451C-8CA9-6E75EA4C716A}"/>
    <cellStyle name="Normal 8 3 2 2 4 2 2 2 2" xfId="42500" xr:uid="{56D4F53B-32B3-4363-A122-99E50E61C662}"/>
    <cellStyle name="Normal 8 3 2 2 4 2 2 3" xfId="17159" xr:uid="{FEB8BD9B-8507-4ACC-8693-10F0E2201D01}"/>
    <cellStyle name="Normal 8 3 2 2 4 2 2 4" xfId="34053" xr:uid="{B46CF63B-0ADA-4ADF-8409-8B3014797206}"/>
    <cellStyle name="Normal 8 3 2 2 4 2 3" xfId="21389" xr:uid="{D89920B5-B66C-45D7-B386-C84963D4A9E0}"/>
    <cellStyle name="Normal 8 3 2 2 4 2 3 2" xfId="38283" xr:uid="{BFB083EA-B697-4CA0-9454-B2025B3904B7}"/>
    <cellStyle name="Normal 8 3 2 2 4 2 4" xfId="12942" xr:uid="{5C1DFC4A-4974-4541-8C17-8FF08CDC6C9C}"/>
    <cellStyle name="Normal 8 3 2 2 4 2 5" xfId="29836" xr:uid="{785E2540-B0EA-42F1-A601-63F2FF7635F7}"/>
    <cellStyle name="Normal 8 3 2 2 4 3" xfId="5688" xr:uid="{00000000-0005-0000-0000-00004E1D0000}"/>
    <cellStyle name="Normal 8 3 2 2 4 3 2" xfId="23461" xr:uid="{E4122860-CE16-410F-945D-5CB8676AA433}"/>
    <cellStyle name="Normal 8 3 2 2 4 3 2 2" xfId="40355" xr:uid="{03AF7245-81C2-4209-B4C7-72736914E188}"/>
    <cellStyle name="Normal 8 3 2 2 4 3 3" xfId="15014" xr:uid="{5E6EC1A6-A55C-463C-AE3D-6897BED1994B}"/>
    <cellStyle name="Normal 8 3 2 2 4 3 4" xfId="31908" xr:uid="{A12C8355-0EB7-4E5A-9FF1-A283A6499380}"/>
    <cellStyle name="Normal 8 3 2 2 4 4" xfId="19244" xr:uid="{71D2DC54-8CE9-4211-851F-A4605E632AC5}"/>
    <cellStyle name="Normal 8 3 2 2 4 4 2" xfId="36138" xr:uid="{9AF52855-8B0A-4FBD-900A-52187B7ABDDB}"/>
    <cellStyle name="Normal 8 3 2 2 4 5" xfId="10797" xr:uid="{2F26ACB3-3E32-482C-A5A1-FCB661F7D671}"/>
    <cellStyle name="Normal 8 3 2 2 4 6" xfId="27691" xr:uid="{A69A043F-6A4D-4895-9B00-E03EE3384C30}"/>
    <cellStyle name="Normal 8 3 2 2 5" xfId="1794" xr:uid="{00000000-0005-0000-0000-00004F1D0000}"/>
    <cellStyle name="Normal 8 3 2 2 5 2" xfId="4024" xr:uid="{00000000-0005-0000-0000-0000501D0000}"/>
    <cellStyle name="Normal 8 3 2 2 5 2 2" xfId="8246" xr:uid="{00000000-0005-0000-0000-0000511D0000}"/>
    <cellStyle name="Normal 8 3 2 2 5 2 2 2" xfId="26019" xr:uid="{CE93E07F-72AE-440C-B0F0-627A57CB4E52}"/>
    <cellStyle name="Normal 8 3 2 2 5 2 2 2 2" xfId="42913" xr:uid="{14BD2E21-BA59-477D-8620-059AA7B889B0}"/>
    <cellStyle name="Normal 8 3 2 2 5 2 2 3" xfId="17572" xr:uid="{865949A3-F3BB-439E-8B22-7AC222F5A8A6}"/>
    <cellStyle name="Normal 8 3 2 2 5 2 2 4" xfId="34466" xr:uid="{8BF0D169-395A-4172-89E4-7CAC12AA5911}"/>
    <cellStyle name="Normal 8 3 2 2 5 2 3" xfId="21802" xr:uid="{B64A91A4-9B1C-4497-87C1-2FDE079C0FCE}"/>
    <cellStyle name="Normal 8 3 2 2 5 2 3 2" xfId="38696" xr:uid="{670E510A-8789-417C-8DBB-A44369E344A7}"/>
    <cellStyle name="Normal 8 3 2 2 5 2 4" xfId="13355" xr:uid="{EDB13F90-25F0-4997-A3A8-E2C7BE5D02E3}"/>
    <cellStyle name="Normal 8 3 2 2 5 2 5" xfId="30249" xr:uid="{6848185F-F39E-44BD-B96B-652B0F440880}"/>
    <cellStyle name="Normal 8 3 2 2 5 3" xfId="6101" xr:uid="{00000000-0005-0000-0000-0000521D0000}"/>
    <cellStyle name="Normal 8 3 2 2 5 3 2" xfId="23874" xr:uid="{BEF021DD-228E-4131-B75D-6930BF344637}"/>
    <cellStyle name="Normal 8 3 2 2 5 3 2 2" xfId="40768" xr:uid="{C9F4B715-7C25-4226-91A4-6CB49172CB49}"/>
    <cellStyle name="Normal 8 3 2 2 5 3 3" xfId="15427" xr:uid="{713A68AC-5C1A-47AD-9F94-1122B7FED20C}"/>
    <cellStyle name="Normal 8 3 2 2 5 3 4" xfId="32321" xr:uid="{CCF0AD69-AD6D-4C92-A071-E991455FABF7}"/>
    <cellStyle name="Normal 8 3 2 2 5 4" xfId="19657" xr:uid="{49AB90D4-E5A2-414F-8B3A-6DEAD79770B6}"/>
    <cellStyle name="Normal 8 3 2 2 5 4 2" xfId="36551" xr:uid="{50556B38-A190-486F-97CE-6FD141B0B728}"/>
    <cellStyle name="Normal 8 3 2 2 5 5" xfId="11210" xr:uid="{5B88486A-27E9-43B1-BA69-599CD4F7B3B1}"/>
    <cellStyle name="Normal 8 3 2 2 5 6" xfId="28104" xr:uid="{1B54CD80-7BC3-4048-836F-51D50C8CC62E}"/>
    <cellStyle name="Normal 8 3 2 2 6" xfId="2208" xr:uid="{00000000-0005-0000-0000-0000531D0000}"/>
    <cellStyle name="Normal 8 3 2 2 6 2" xfId="4437" xr:uid="{00000000-0005-0000-0000-0000541D0000}"/>
    <cellStyle name="Normal 8 3 2 2 6 2 2" xfId="8659" xr:uid="{00000000-0005-0000-0000-0000551D0000}"/>
    <cellStyle name="Normal 8 3 2 2 6 2 2 2" xfId="26432" xr:uid="{5554D167-6776-45B9-BB2A-615A7CEE6C51}"/>
    <cellStyle name="Normal 8 3 2 2 6 2 2 2 2" xfId="43326" xr:uid="{4CD3F4A0-67D8-41F3-85FF-29A7AA63B44D}"/>
    <cellStyle name="Normal 8 3 2 2 6 2 2 3" xfId="17985" xr:uid="{C9B95B67-EF59-412C-B3B2-016E7502A288}"/>
    <cellStyle name="Normal 8 3 2 2 6 2 2 4" xfId="34879" xr:uid="{D90F62C8-81C3-4B17-B886-2EB540E3D865}"/>
    <cellStyle name="Normal 8 3 2 2 6 2 3" xfId="22215" xr:uid="{2B9A5015-B28F-4B74-9E93-5B908355CD09}"/>
    <cellStyle name="Normal 8 3 2 2 6 2 3 2" xfId="39109" xr:uid="{5717EE4C-C459-4146-B9A0-6266531C8CB0}"/>
    <cellStyle name="Normal 8 3 2 2 6 2 4" xfId="13768" xr:uid="{28CBD918-4B61-4EA3-97F8-BE5C89167359}"/>
    <cellStyle name="Normal 8 3 2 2 6 2 5" xfId="30662" xr:uid="{4C788B71-C80A-41DF-AD6E-4A513D0C1AE5}"/>
    <cellStyle name="Normal 8 3 2 2 6 3" xfId="6514" xr:uid="{00000000-0005-0000-0000-0000561D0000}"/>
    <cellStyle name="Normal 8 3 2 2 6 3 2" xfId="24287" xr:uid="{5BEF1DCE-495D-467D-AB46-75CB90456451}"/>
    <cellStyle name="Normal 8 3 2 2 6 3 2 2" xfId="41181" xr:uid="{4F684834-EE8B-42EA-B063-285B77195164}"/>
    <cellStyle name="Normal 8 3 2 2 6 3 3" xfId="15840" xr:uid="{6244D8B7-EFD3-4AE6-8D81-76AC9459A860}"/>
    <cellStyle name="Normal 8 3 2 2 6 3 4" xfId="32734" xr:uid="{34CBD29A-1852-4841-B736-1304003EE301}"/>
    <cellStyle name="Normal 8 3 2 2 6 4" xfId="20070" xr:uid="{53FC81F0-BD27-49F4-A48B-983042F16682}"/>
    <cellStyle name="Normal 8 3 2 2 6 4 2" xfId="36964" xr:uid="{4A2FCCD0-D973-4F54-8CDE-CE1CA7D9945B}"/>
    <cellStyle name="Normal 8 3 2 2 6 5" xfId="11623" xr:uid="{827DD682-930B-4377-A2FA-87BD89284A57}"/>
    <cellStyle name="Normal 8 3 2 2 6 6" xfId="28517" xr:uid="{D9C8A3B3-5CD8-4F16-BEB0-F292CAA46858}"/>
    <cellStyle name="Normal 8 3 2 2 7" xfId="2644" xr:uid="{00000000-0005-0000-0000-0000571D0000}"/>
    <cellStyle name="Normal 8 3 2 2 7 2" xfId="6927" xr:uid="{00000000-0005-0000-0000-0000581D0000}"/>
    <cellStyle name="Normal 8 3 2 2 7 2 2" xfId="24700" xr:uid="{52D58C2D-EE51-4CBC-8A10-21A233E46344}"/>
    <cellStyle name="Normal 8 3 2 2 7 2 2 2" xfId="41594" xr:uid="{8F5309FE-7890-47E0-85AD-A92DE660189F}"/>
    <cellStyle name="Normal 8 3 2 2 7 2 3" xfId="16253" xr:uid="{F72FE50F-A015-4D37-B31B-035FEE79BB06}"/>
    <cellStyle name="Normal 8 3 2 2 7 2 4" xfId="33147" xr:uid="{D6BC2261-1F9C-474E-9EB0-7A0AE8AFBFD9}"/>
    <cellStyle name="Normal 8 3 2 2 7 3" xfId="20483" xr:uid="{A5D44398-3958-4F24-8F8F-C6C4F74218D8}"/>
    <cellStyle name="Normal 8 3 2 2 7 3 2" xfId="37377" xr:uid="{0214BD47-0AEE-472F-9C87-C645D9C8E4BA}"/>
    <cellStyle name="Normal 8 3 2 2 7 4" xfId="12036" xr:uid="{EA70821B-0E8D-4286-A80B-DDAAF9DE6458}"/>
    <cellStyle name="Normal 8 3 2 2 7 5" xfId="28930" xr:uid="{795ECD3A-DBAB-45FE-AD66-EA519957E7D1}"/>
    <cellStyle name="Normal 8 3 2 2 8" xfId="4862" xr:uid="{00000000-0005-0000-0000-0000591D0000}"/>
    <cellStyle name="Normal 8 3 2 2 8 2" xfId="22635" xr:uid="{1AB69A01-7EA4-4661-87D3-C6C161DA66E0}"/>
    <cellStyle name="Normal 8 3 2 2 8 2 2" xfId="39529" xr:uid="{17182F66-83AE-480B-8A6F-30FAB80BE28C}"/>
    <cellStyle name="Normal 8 3 2 2 8 3" xfId="14188" xr:uid="{EFC30CBB-88EA-4662-934C-EF729BBB3E33}"/>
    <cellStyle name="Normal 8 3 2 2 8 4" xfId="31082" xr:uid="{50D90216-129D-4F4F-9AA8-00F63AEE6809}"/>
    <cellStyle name="Normal 8 3 2 2 9" xfId="8940" xr:uid="{63944EF0-E10A-4406-A758-3BD135650136}"/>
    <cellStyle name="Normal 8 3 2 2 9 2" xfId="18418" xr:uid="{54F0544A-6415-488D-8739-E83727E0D3DD}"/>
    <cellStyle name="Normal 8 3 2 2 9 3" xfId="35312" xr:uid="{43A2F02F-1C02-49A3-B446-F2041C17085F}"/>
    <cellStyle name="Normal 8 3 2 3" xfId="499" xr:uid="{00000000-0005-0000-0000-00005A1D0000}"/>
    <cellStyle name="Normal 8 3 2 3 10" xfId="26867" xr:uid="{BA4C1873-F14C-48A2-ADB6-1A9E97E271D4}"/>
    <cellStyle name="Normal 8 3 2 3 2" xfId="966" xr:uid="{00000000-0005-0000-0000-00005B1D0000}"/>
    <cellStyle name="Normal 8 3 2 3 2 2" xfId="3200" xr:uid="{00000000-0005-0000-0000-00005C1D0000}"/>
    <cellStyle name="Normal 8 3 2 3 2 2 2" xfId="7422" xr:uid="{00000000-0005-0000-0000-00005D1D0000}"/>
    <cellStyle name="Normal 8 3 2 3 2 2 2 2" xfId="25195" xr:uid="{AE6845DE-6518-451C-890E-1D629AA521D2}"/>
    <cellStyle name="Normal 8 3 2 3 2 2 2 2 2" xfId="42089" xr:uid="{D1C2E0D2-85AB-418D-9EB8-0DA56EDFBB31}"/>
    <cellStyle name="Normal 8 3 2 3 2 2 2 3" xfId="16748" xr:uid="{79B610B8-EE29-429C-BB29-7521971CE54B}"/>
    <cellStyle name="Normal 8 3 2 3 2 2 2 4" xfId="33642" xr:uid="{44728401-8898-4E3F-BD0B-58CB09E46031}"/>
    <cellStyle name="Normal 8 3 2 3 2 2 3" xfId="20978" xr:uid="{85ECA733-D4A0-48F1-B992-584BA7682A11}"/>
    <cellStyle name="Normal 8 3 2 3 2 2 3 2" xfId="37872" xr:uid="{4B3950E0-08A5-4BF9-90CD-36BB78F0E755}"/>
    <cellStyle name="Normal 8 3 2 3 2 2 4" xfId="12531" xr:uid="{A96ACD52-3E2E-42B9-B896-E0F8A84F55AE}"/>
    <cellStyle name="Normal 8 3 2 3 2 2 5" xfId="29425" xr:uid="{A4DE7AEE-454F-4628-86DC-B69B672F4D57}"/>
    <cellStyle name="Normal 8 3 2 3 2 3" xfId="5277" xr:uid="{00000000-0005-0000-0000-00005E1D0000}"/>
    <cellStyle name="Normal 8 3 2 3 2 3 2" xfId="23050" xr:uid="{D5BFCDCE-858A-4267-BE74-553C017542CA}"/>
    <cellStyle name="Normal 8 3 2 3 2 3 2 2" xfId="39944" xr:uid="{4F5A7AD7-395C-41B9-BA97-CE7239F94321}"/>
    <cellStyle name="Normal 8 3 2 3 2 3 3" xfId="14603" xr:uid="{785E68DF-1607-4470-A359-AA700C8472C0}"/>
    <cellStyle name="Normal 8 3 2 3 2 3 4" xfId="31497" xr:uid="{10885657-FDDF-4CCB-BEE1-194BFFEE139A}"/>
    <cellStyle name="Normal 8 3 2 3 2 4" xfId="9469" xr:uid="{7CA6C380-A6E9-4AF4-A29A-E40C8E9B5B5F}"/>
    <cellStyle name="Normal 8 3 2 3 2 4 2" xfId="18833" xr:uid="{7722F306-E01E-4B1D-87A8-5DA660485C03}"/>
    <cellStyle name="Normal 8 3 2 3 2 4 3" xfId="35727" xr:uid="{1A14D51F-FC52-466E-86DE-3C42889997FD}"/>
    <cellStyle name="Normal 8 3 2 3 2 5" xfId="10386" xr:uid="{0D905347-A28F-4922-BA94-192B0A92428F}"/>
    <cellStyle name="Normal 8 3 2 3 2 6" xfId="27280" xr:uid="{52CF3C68-73FD-4973-889B-172B13A376BD}"/>
    <cellStyle name="Normal 8 3 2 3 3" xfId="1383" xr:uid="{00000000-0005-0000-0000-00005F1D0000}"/>
    <cellStyle name="Normal 8 3 2 3 3 2" xfId="3613" xr:uid="{00000000-0005-0000-0000-0000601D0000}"/>
    <cellStyle name="Normal 8 3 2 3 3 2 2" xfId="7835" xr:uid="{00000000-0005-0000-0000-0000611D0000}"/>
    <cellStyle name="Normal 8 3 2 3 3 2 2 2" xfId="25608" xr:uid="{F4DBCEB9-6A23-4905-B2B9-BD4FF2BFF04B}"/>
    <cellStyle name="Normal 8 3 2 3 3 2 2 2 2" xfId="42502" xr:uid="{31251002-895E-458B-A710-F2E947F642BB}"/>
    <cellStyle name="Normal 8 3 2 3 3 2 2 3" xfId="17161" xr:uid="{2B74DB5D-5076-4F7D-805B-42A4DD611991}"/>
    <cellStyle name="Normal 8 3 2 3 3 2 2 4" xfId="34055" xr:uid="{ACE6F555-8254-4A82-AD6F-A0ECB1A111C9}"/>
    <cellStyle name="Normal 8 3 2 3 3 2 3" xfId="21391" xr:uid="{EC34FFE7-ED5F-4579-B63C-41F210ADF8E0}"/>
    <cellStyle name="Normal 8 3 2 3 3 2 3 2" xfId="38285" xr:uid="{EA9BC196-3B2A-49EB-805C-74B7B3EDEEF0}"/>
    <cellStyle name="Normal 8 3 2 3 3 2 4" xfId="12944" xr:uid="{DA40ABD7-9CB8-4D7E-B8E3-3F672401DFD2}"/>
    <cellStyle name="Normal 8 3 2 3 3 2 5" xfId="29838" xr:uid="{D190A7BC-26DF-44F5-ADFC-894B2E1E7102}"/>
    <cellStyle name="Normal 8 3 2 3 3 3" xfId="5690" xr:uid="{00000000-0005-0000-0000-0000621D0000}"/>
    <cellStyle name="Normal 8 3 2 3 3 3 2" xfId="23463" xr:uid="{A95D28D3-7C50-49D9-B78A-BC88DBD41911}"/>
    <cellStyle name="Normal 8 3 2 3 3 3 2 2" xfId="40357" xr:uid="{46A68560-002D-46BB-B4F3-04BA721EABFA}"/>
    <cellStyle name="Normal 8 3 2 3 3 3 3" xfId="15016" xr:uid="{4C0E9DDE-99BE-4A43-9656-9E5A07EAD4BE}"/>
    <cellStyle name="Normal 8 3 2 3 3 3 4" xfId="31910" xr:uid="{A960C83A-C97A-44C9-8B0E-365A66561371}"/>
    <cellStyle name="Normal 8 3 2 3 3 4" xfId="19246" xr:uid="{AD8F3F3C-B0F3-4C4B-AA18-4DAF788697CD}"/>
    <cellStyle name="Normal 8 3 2 3 3 4 2" xfId="36140" xr:uid="{2B2D70B9-6BBA-4393-81C2-776B77BC965E}"/>
    <cellStyle name="Normal 8 3 2 3 3 5" xfId="10799" xr:uid="{76CDE9DF-6F31-44E4-BC47-54AFD141E4A1}"/>
    <cellStyle name="Normal 8 3 2 3 3 6" xfId="27693" xr:uid="{9EA72F58-D6EE-46A9-A646-9F8883AC7168}"/>
    <cellStyle name="Normal 8 3 2 3 4" xfId="1796" xr:uid="{00000000-0005-0000-0000-0000631D0000}"/>
    <cellStyle name="Normal 8 3 2 3 4 2" xfId="4026" xr:uid="{00000000-0005-0000-0000-0000641D0000}"/>
    <cellStyle name="Normal 8 3 2 3 4 2 2" xfId="8248" xr:uid="{00000000-0005-0000-0000-0000651D0000}"/>
    <cellStyle name="Normal 8 3 2 3 4 2 2 2" xfId="26021" xr:uid="{BDE549E8-4866-436C-979D-F8F6581FEE43}"/>
    <cellStyle name="Normal 8 3 2 3 4 2 2 2 2" xfId="42915" xr:uid="{C6AE5701-25B6-4E36-9162-3D43F5271F06}"/>
    <cellStyle name="Normal 8 3 2 3 4 2 2 3" xfId="17574" xr:uid="{FC8746C4-76BB-4499-BEDE-A8CE70863A3A}"/>
    <cellStyle name="Normal 8 3 2 3 4 2 2 4" xfId="34468" xr:uid="{4D47415C-41CB-4AD3-9EC4-1D9C49AC2582}"/>
    <cellStyle name="Normal 8 3 2 3 4 2 3" xfId="21804" xr:uid="{93C3C933-C89D-40B2-9EC9-20311C598F00}"/>
    <cellStyle name="Normal 8 3 2 3 4 2 3 2" xfId="38698" xr:uid="{9915A876-8520-42F4-915A-A194F414C2CF}"/>
    <cellStyle name="Normal 8 3 2 3 4 2 4" xfId="13357" xr:uid="{B93C734D-11B3-4060-ADB5-7AC7C6449449}"/>
    <cellStyle name="Normal 8 3 2 3 4 2 5" xfId="30251" xr:uid="{C6943862-66CD-4D61-BFE0-5C0736BB1B84}"/>
    <cellStyle name="Normal 8 3 2 3 4 3" xfId="6103" xr:uid="{00000000-0005-0000-0000-0000661D0000}"/>
    <cellStyle name="Normal 8 3 2 3 4 3 2" xfId="23876" xr:uid="{05041A71-A34A-4C45-84D6-A32D2274027C}"/>
    <cellStyle name="Normal 8 3 2 3 4 3 2 2" xfId="40770" xr:uid="{B804B176-28A2-4F55-90C6-FD9B6F099DA1}"/>
    <cellStyle name="Normal 8 3 2 3 4 3 3" xfId="15429" xr:uid="{23EF84FE-2219-41E9-9EE9-40BF92E133E0}"/>
    <cellStyle name="Normal 8 3 2 3 4 3 4" xfId="32323" xr:uid="{FE4AEEF3-5828-4B40-9F05-3A02EF6E907A}"/>
    <cellStyle name="Normal 8 3 2 3 4 4" xfId="19659" xr:uid="{A95D18D0-7660-4467-B0DB-32DE0D5F88E7}"/>
    <cellStyle name="Normal 8 3 2 3 4 4 2" xfId="36553" xr:uid="{AC43E419-CD77-41FD-9EC6-A6DDC2C9B7AF}"/>
    <cellStyle name="Normal 8 3 2 3 4 5" xfId="11212" xr:uid="{99A5BC33-E464-4EDE-BE15-9CF389146EDA}"/>
    <cellStyle name="Normal 8 3 2 3 4 6" xfId="28106" xr:uid="{366FD3D3-67CD-4672-9055-D02696D9C416}"/>
    <cellStyle name="Normal 8 3 2 3 5" xfId="2210" xr:uid="{00000000-0005-0000-0000-0000671D0000}"/>
    <cellStyle name="Normal 8 3 2 3 5 2" xfId="4439" xr:uid="{00000000-0005-0000-0000-0000681D0000}"/>
    <cellStyle name="Normal 8 3 2 3 5 2 2" xfId="8661" xr:uid="{00000000-0005-0000-0000-0000691D0000}"/>
    <cellStyle name="Normal 8 3 2 3 5 2 2 2" xfId="26434" xr:uid="{56702A3F-6072-412E-A7E5-FFB98E3A395A}"/>
    <cellStyle name="Normal 8 3 2 3 5 2 2 2 2" xfId="43328" xr:uid="{B676F627-3018-4479-BEB5-D348E7ADF94C}"/>
    <cellStyle name="Normal 8 3 2 3 5 2 2 3" xfId="17987" xr:uid="{DBB4F584-BBEA-480D-8AA6-6BE091C16341}"/>
    <cellStyle name="Normal 8 3 2 3 5 2 2 4" xfId="34881" xr:uid="{CFAA30AF-7710-4EF5-A640-089C4F927E61}"/>
    <cellStyle name="Normal 8 3 2 3 5 2 3" xfId="22217" xr:uid="{3C3EB0F4-FC20-46F5-8DCC-BAFA464A4F79}"/>
    <cellStyle name="Normal 8 3 2 3 5 2 3 2" xfId="39111" xr:uid="{ABACD53A-76AB-43CA-AA4E-6D16E953B8A6}"/>
    <cellStyle name="Normal 8 3 2 3 5 2 4" xfId="13770" xr:uid="{40A9978D-7AE0-418D-8DAA-A15A58F9AFE2}"/>
    <cellStyle name="Normal 8 3 2 3 5 2 5" xfId="30664" xr:uid="{69E0B480-AB39-45A8-9F8F-FFD777A4DB1B}"/>
    <cellStyle name="Normal 8 3 2 3 5 3" xfId="6516" xr:uid="{00000000-0005-0000-0000-00006A1D0000}"/>
    <cellStyle name="Normal 8 3 2 3 5 3 2" xfId="24289" xr:uid="{2329314C-5EC6-4FC9-A811-67B5DFC134DB}"/>
    <cellStyle name="Normal 8 3 2 3 5 3 2 2" xfId="41183" xr:uid="{863340C8-78B5-41FE-B1F0-6553D7D74E18}"/>
    <cellStyle name="Normal 8 3 2 3 5 3 3" xfId="15842" xr:uid="{BFDEF088-871C-4848-BB8B-FA9C5C8D7547}"/>
    <cellStyle name="Normal 8 3 2 3 5 3 4" xfId="32736" xr:uid="{430D02C1-45F8-4F44-86A7-46C39ED98B40}"/>
    <cellStyle name="Normal 8 3 2 3 5 4" xfId="20072" xr:uid="{230446D0-39F7-4FEC-A635-D5401C8C16F6}"/>
    <cellStyle name="Normal 8 3 2 3 5 4 2" xfId="36966" xr:uid="{8AC89C66-D874-4F3D-AB7A-C8C391B7C13C}"/>
    <cellStyle name="Normal 8 3 2 3 5 5" xfId="11625" xr:uid="{089774D8-7639-48F0-B0AE-8FABD7ED706E}"/>
    <cellStyle name="Normal 8 3 2 3 5 6" xfId="28519" xr:uid="{E9CAC8FC-233E-4A85-AD25-1A9C6EEABC53}"/>
    <cellStyle name="Normal 8 3 2 3 6" xfId="2646" xr:uid="{00000000-0005-0000-0000-00006B1D0000}"/>
    <cellStyle name="Normal 8 3 2 3 6 2" xfId="6929" xr:uid="{00000000-0005-0000-0000-00006C1D0000}"/>
    <cellStyle name="Normal 8 3 2 3 6 2 2" xfId="24702" xr:uid="{F48B39AC-0627-4147-B83D-D1631654D20A}"/>
    <cellStyle name="Normal 8 3 2 3 6 2 2 2" xfId="41596" xr:uid="{A83B7A59-CCBA-4698-8EAC-0087AA601C3F}"/>
    <cellStyle name="Normal 8 3 2 3 6 2 3" xfId="16255" xr:uid="{77360360-9840-45BA-8DC8-614DF80A1D01}"/>
    <cellStyle name="Normal 8 3 2 3 6 2 4" xfId="33149" xr:uid="{51612EAD-3B2F-4E45-8F64-B062F8DBA07B}"/>
    <cellStyle name="Normal 8 3 2 3 6 3" xfId="20485" xr:uid="{0AEE2A4F-BD57-4D61-BCF7-27404D049658}"/>
    <cellStyle name="Normal 8 3 2 3 6 3 2" xfId="37379" xr:uid="{AD7AA159-506D-47D1-B2C6-778B83C2E241}"/>
    <cellStyle name="Normal 8 3 2 3 6 4" xfId="12038" xr:uid="{C61F2981-4926-4D48-BEC6-ED712C438543}"/>
    <cellStyle name="Normal 8 3 2 3 6 5" xfId="28932" xr:uid="{22A44369-0135-4154-BB28-3B81EEB18769}"/>
    <cellStyle name="Normal 8 3 2 3 7" xfId="4864" xr:uid="{00000000-0005-0000-0000-00006D1D0000}"/>
    <cellStyle name="Normal 8 3 2 3 7 2" xfId="22637" xr:uid="{6ED502DD-A5E4-4E35-9C11-7F901092A02C}"/>
    <cellStyle name="Normal 8 3 2 3 7 2 2" xfId="39531" xr:uid="{31AC9390-AC0A-4373-8761-3393A3B04E57}"/>
    <cellStyle name="Normal 8 3 2 3 7 3" xfId="14190" xr:uid="{3AF4F28C-21B6-4209-8220-8B56E37D5057}"/>
    <cellStyle name="Normal 8 3 2 3 7 4" xfId="31084" xr:uid="{791A2727-BF16-4BEE-8F52-F8F1A81FE42A}"/>
    <cellStyle name="Normal 8 3 2 3 8" xfId="9044" xr:uid="{5ED49706-9CA9-4EE9-B01D-112CD1DB587C}"/>
    <cellStyle name="Normal 8 3 2 3 8 2" xfId="18420" xr:uid="{02BEC997-B31B-45FC-BBA2-8E8E41CFD261}"/>
    <cellStyle name="Normal 8 3 2 3 8 3" xfId="35314" xr:uid="{A188F089-F43E-495B-86B6-D0892AC782AB}"/>
    <cellStyle name="Normal 8 3 2 3 9" xfId="9973" xr:uid="{DB58EA90-BD0B-4415-894E-EE0B1A328E87}"/>
    <cellStyle name="Normal 8 3 2 4" xfId="963" xr:uid="{00000000-0005-0000-0000-00006E1D0000}"/>
    <cellStyle name="Normal 8 3 2 4 2" xfId="3197" xr:uid="{00000000-0005-0000-0000-00006F1D0000}"/>
    <cellStyle name="Normal 8 3 2 4 2 2" xfId="7419" xr:uid="{00000000-0005-0000-0000-0000701D0000}"/>
    <cellStyle name="Normal 8 3 2 4 2 2 2" xfId="25192" xr:uid="{A7E5CE12-23A0-4C05-B6B7-EBF6225707E0}"/>
    <cellStyle name="Normal 8 3 2 4 2 2 2 2" xfId="42086" xr:uid="{809679F3-94DB-45AF-9908-53EA08D84D63}"/>
    <cellStyle name="Normal 8 3 2 4 2 2 3" xfId="16745" xr:uid="{698685EB-83AA-47F3-A8A3-BF0D297006F9}"/>
    <cellStyle name="Normal 8 3 2 4 2 2 4" xfId="33639" xr:uid="{6605BEAA-D00C-4F34-A031-4AF133B15A28}"/>
    <cellStyle name="Normal 8 3 2 4 2 3" xfId="20975" xr:uid="{CD7CF433-8A73-4856-8D67-B309FD09E6D1}"/>
    <cellStyle name="Normal 8 3 2 4 2 3 2" xfId="37869" xr:uid="{B0AD7C79-F6DD-4F2F-A402-459D27A3BBDA}"/>
    <cellStyle name="Normal 8 3 2 4 2 4" xfId="12528" xr:uid="{2AF63FC6-2025-4F9F-B3A0-A66DD938F50A}"/>
    <cellStyle name="Normal 8 3 2 4 2 5" xfId="29422" xr:uid="{DBFE4BB8-9427-4BE6-9135-6D264F3DDC12}"/>
    <cellStyle name="Normal 8 3 2 4 3" xfId="5274" xr:uid="{00000000-0005-0000-0000-0000711D0000}"/>
    <cellStyle name="Normal 8 3 2 4 3 2" xfId="23047" xr:uid="{C96D7063-AE97-4580-8ED4-15F0C1132E38}"/>
    <cellStyle name="Normal 8 3 2 4 3 2 2" xfId="39941" xr:uid="{18072568-3A3F-4388-BADD-6FCA91183A15}"/>
    <cellStyle name="Normal 8 3 2 4 3 3" xfId="14600" xr:uid="{F50E4FEE-9C7D-4E98-9654-4CDBF8E5658F}"/>
    <cellStyle name="Normal 8 3 2 4 3 4" xfId="31494" xr:uid="{802A1489-D867-4FA6-A469-C6DCE559D71C}"/>
    <cellStyle name="Normal 8 3 2 4 4" xfId="9262" xr:uid="{8842595C-CD28-4B10-9BE6-37883B4C2AA9}"/>
    <cellStyle name="Normal 8 3 2 4 4 2" xfId="18830" xr:uid="{98DBE61B-C3A4-43B1-B70C-49575676C5AC}"/>
    <cellStyle name="Normal 8 3 2 4 4 3" xfId="35724" xr:uid="{B4B33023-4CB7-4781-8B7B-7B49EB4BA52B}"/>
    <cellStyle name="Normal 8 3 2 4 5" xfId="10383" xr:uid="{304EFEB4-3163-4FB8-B8A2-3845B2AD8BDB}"/>
    <cellStyle name="Normal 8 3 2 4 6" xfId="27277" xr:uid="{72CB66B6-1E7C-4F28-9583-7451B19F335D}"/>
    <cellStyle name="Normal 8 3 2 5" xfId="1380" xr:uid="{00000000-0005-0000-0000-0000721D0000}"/>
    <cellStyle name="Normal 8 3 2 5 2" xfId="3610" xr:uid="{00000000-0005-0000-0000-0000731D0000}"/>
    <cellStyle name="Normal 8 3 2 5 2 2" xfId="7832" xr:uid="{00000000-0005-0000-0000-0000741D0000}"/>
    <cellStyle name="Normal 8 3 2 5 2 2 2" xfId="25605" xr:uid="{0C54DB72-3F29-4D4B-B9A1-1EB07415FC2B}"/>
    <cellStyle name="Normal 8 3 2 5 2 2 2 2" xfId="42499" xr:uid="{6FDCA641-9497-483C-A226-304EA542167C}"/>
    <cellStyle name="Normal 8 3 2 5 2 2 3" xfId="17158" xr:uid="{1536BAE5-32B8-41FC-889F-8990DA12F296}"/>
    <cellStyle name="Normal 8 3 2 5 2 2 4" xfId="34052" xr:uid="{7E6EA6EA-EEE0-44DE-BEA3-782404B45403}"/>
    <cellStyle name="Normal 8 3 2 5 2 3" xfId="21388" xr:uid="{86C88929-AA61-45CC-A30F-5EC6E206C0E2}"/>
    <cellStyle name="Normal 8 3 2 5 2 3 2" xfId="38282" xr:uid="{4701DA40-CE16-49CB-94F4-9F06DDDE22C0}"/>
    <cellStyle name="Normal 8 3 2 5 2 4" xfId="12941" xr:uid="{BC0D61EE-2849-484E-9B3A-6F92402C933A}"/>
    <cellStyle name="Normal 8 3 2 5 2 5" xfId="29835" xr:uid="{5E0A7D85-0CBB-46F2-A53C-139A089125D0}"/>
    <cellStyle name="Normal 8 3 2 5 3" xfId="5687" xr:uid="{00000000-0005-0000-0000-0000751D0000}"/>
    <cellStyle name="Normal 8 3 2 5 3 2" xfId="23460" xr:uid="{C0F85C0F-6B31-4B77-8242-0E3A3CC97593}"/>
    <cellStyle name="Normal 8 3 2 5 3 2 2" xfId="40354" xr:uid="{2AE02B57-1CCD-464B-863B-9CD62A689286}"/>
    <cellStyle name="Normal 8 3 2 5 3 3" xfId="15013" xr:uid="{BE37FA7C-9E74-4116-A858-39660681E79A}"/>
    <cellStyle name="Normal 8 3 2 5 3 4" xfId="31907" xr:uid="{57489A18-88CC-46CE-8259-0D22B30D4ECA}"/>
    <cellStyle name="Normal 8 3 2 5 4" xfId="19243" xr:uid="{D6DF9F81-8EDB-4FC4-A3D3-7AE02A9D17A6}"/>
    <cellStyle name="Normal 8 3 2 5 4 2" xfId="36137" xr:uid="{28978CDB-BC0E-437C-AF15-5EE79A900253}"/>
    <cellStyle name="Normal 8 3 2 5 5" xfId="10796" xr:uid="{216EBD11-AA40-4734-897B-3CDEA2F967BA}"/>
    <cellStyle name="Normal 8 3 2 5 6" xfId="27690" xr:uid="{9ACFAB99-7548-4FB9-8D38-64B7FA11102E}"/>
    <cellStyle name="Normal 8 3 2 6" xfId="1793" xr:uid="{00000000-0005-0000-0000-0000761D0000}"/>
    <cellStyle name="Normal 8 3 2 6 2" xfId="4023" xr:uid="{00000000-0005-0000-0000-0000771D0000}"/>
    <cellStyle name="Normal 8 3 2 6 2 2" xfId="8245" xr:uid="{00000000-0005-0000-0000-0000781D0000}"/>
    <cellStyle name="Normal 8 3 2 6 2 2 2" xfId="26018" xr:uid="{7719C8AD-3AB7-4E88-A021-1F8ACDEFAE87}"/>
    <cellStyle name="Normal 8 3 2 6 2 2 2 2" xfId="42912" xr:uid="{BD2E1890-5285-4844-89DE-67470D10CE6C}"/>
    <cellStyle name="Normal 8 3 2 6 2 2 3" xfId="17571" xr:uid="{11722B7A-FB1E-4487-B08E-E06F63BF0576}"/>
    <cellStyle name="Normal 8 3 2 6 2 2 4" xfId="34465" xr:uid="{EB23C6CA-E307-455D-9345-3BEABF29F872}"/>
    <cellStyle name="Normal 8 3 2 6 2 3" xfId="21801" xr:uid="{855A483C-04A6-48CC-AA4D-39F9165D50B7}"/>
    <cellStyle name="Normal 8 3 2 6 2 3 2" xfId="38695" xr:uid="{49287A54-B2AA-401F-8901-81C66CDAECD0}"/>
    <cellStyle name="Normal 8 3 2 6 2 4" xfId="13354" xr:uid="{65859CE8-05CB-4608-96B7-6FAEF889A4E3}"/>
    <cellStyle name="Normal 8 3 2 6 2 5" xfId="30248" xr:uid="{08DA6DF0-5362-4B6A-BDDC-D4ACE507F048}"/>
    <cellStyle name="Normal 8 3 2 6 3" xfId="6100" xr:uid="{00000000-0005-0000-0000-0000791D0000}"/>
    <cellStyle name="Normal 8 3 2 6 3 2" xfId="23873" xr:uid="{67DE5A5B-C1F2-432F-BDB2-A6E073C37A55}"/>
    <cellStyle name="Normal 8 3 2 6 3 2 2" xfId="40767" xr:uid="{3F9720BF-7F94-4107-930B-0EE21FE7592D}"/>
    <cellStyle name="Normal 8 3 2 6 3 3" xfId="15426" xr:uid="{62D067CD-0E5C-45C7-8954-32F966CEC436}"/>
    <cellStyle name="Normal 8 3 2 6 3 4" xfId="32320" xr:uid="{71762657-316C-45EC-8006-56FA33B2F651}"/>
    <cellStyle name="Normal 8 3 2 6 4" xfId="19656" xr:uid="{7463D7E4-7F45-47AC-B22F-1A4E337E7F25}"/>
    <cellStyle name="Normal 8 3 2 6 4 2" xfId="36550" xr:uid="{3D37E1F9-21DD-4209-AFDB-54BEE07FC270}"/>
    <cellStyle name="Normal 8 3 2 6 5" xfId="11209" xr:uid="{8F703D30-355F-476E-B73D-F1A50A35E0F3}"/>
    <cellStyle name="Normal 8 3 2 6 6" xfId="28103" xr:uid="{F269C04F-739A-445D-85D0-49940C587E14}"/>
    <cellStyle name="Normal 8 3 2 7" xfId="2207" xr:uid="{00000000-0005-0000-0000-00007A1D0000}"/>
    <cellStyle name="Normal 8 3 2 7 2" xfId="4436" xr:uid="{00000000-0005-0000-0000-00007B1D0000}"/>
    <cellStyle name="Normal 8 3 2 7 2 2" xfId="8658" xr:uid="{00000000-0005-0000-0000-00007C1D0000}"/>
    <cellStyle name="Normal 8 3 2 7 2 2 2" xfId="26431" xr:uid="{D3762017-1CBF-4FAB-9A9F-A29D95810536}"/>
    <cellStyle name="Normal 8 3 2 7 2 2 2 2" xfId="43325" xr:uid="{62853520-96F8-4D86-855A-0083577295E3}"/>
    <cellStyle name="Normal 8 3 2 7 2 2 3" xfId="17984" xr:uid="{8E126C9A-0D77-4A73-A904-36348997ACD4}"/>
    <cellStyle name="Normal 8 3 2 7 2 2 4" xfId="34878" xr:uid="{8A04B756-DA33-4253-81CF-364F789237AF}"/>
    <cellStyle name="Normal 8 3 2 7 2 3" xfId="22214" xr:uid="{72F1EA63-4F0E-4E17-AA87-3D93A5725903}"/>
    <cellStyle name="Normal 8 3 2 7 2 3 2" xfId="39108" xr:uid="{49781BFF-D078-45B7-81BA-1AC37DD66A58}"/>
    <cellStyle name="Normal 8 3 2 7 2 4" xfId="13767" xr:uid="{18B37DE6-C622-4CC6-8C65-6A1676ED4395}"/>
    <cellStyle name="Normal 8 3 2 7 2 5" xfId="30661" xr:uid="{62EA2551-784E-40C6-A40F-276D82417C77}"/>
    <cellStyle name="Normal 8 3 2 7 3" xfId="6513" xr:uid="{00000000-0005-0000-0000-00007D1D0000}"/>
    <cellStyle name="Normal 8 3 2 7 3 2" xfId="24286" xr:uid="{C716B5B0-4F1E-44F2-A9DD-9B9AC11E82FD}"/>
    <cellStyle name="Normal 8 3 2 7 3 2 2" xfId="41180" xr:uid="{E42A8C87-B4D3-40AA-952A-DE6CA9C79C62}"/>
    <cellStyle name="Normal 8 3 2 7 3 3" xfId="15839" xr:uid="{EAF5E68A-CCD6-4A4D-A482-19ED966115E2}"/>
    <cellStyle name="Normal 8 3 2 7 3 4" xfId="32733" xr:uid="{0B97EACC-05FF-4E2F-87E9-7CBEF91D529E}"/>
    <cellStyle name="Normal 8 3 2 7 4" xfId="20069" xr:uid="{1DF9EB45-2E10-4978-A9AD-881575A2A642}"/>
    <cellStyle name="Normal 8 3 2 7 4 2" xfId="36963" xr:uid="{2D46B243-A633-476D-A90C-329BA406B6F7}"/>
    <cellStyle name="Normal 8 3 2 7 5" xfId="11622" xr:uid="{401034CD-6679-45B5-9C45-8AC097071E4C}"/>
    <cellStyle name="Normal 8 3 2 7 6" xfId="28516" xr:uid="{4A0B0D6C-F604-4D6B-AA7C-E46F01B34173}"/>
    <cellStyle name="Normal 8 3 2 8" xfId="2643" xr:uid="{00000000-0005-0000-0000-00007E1D0000}"/>
    <cellStyle name="Normal 8 3 2 8 2" xfId="6926" xr:uid="{00000000-0005-0000-0000-00007F1D0000}"/>
    <cellStyle name="Normal 8 3 2 8 2 2" xfId="24699" xr:uid="{21B433D3-EE30-449D-BA0F-FCADB1D16940}"/>
    <cellStyle name="Normal 8 3 2 8 2 2 2" xfId="41593" xr:uid="{7694F992-A380-449F-B201-585BEC15AD8A}"/>
    <cellStyle name="Normal 8 3 2 8 2 3" xfId="16252" xr:uid="{FA572FAE-7AA2-4C27-BD6F-A949600EAF6B}"/>
    <cellStyle name="Normal 8 3 2 8 2 4" xfId="33146" xr:uid="{AE57B4F8-FF77-421A-9D67-E3C4F72DD541}"/>
    <cellStyle name="Normal 8 3 2 8 3" xfId="20482" xr:uid="{C8394C4B-2F9C-457D-AFDC-C2A9B0DF27B2}"/>
    <cellStyle name="Normal 8 3 2 8 3 2" xfId="37376" xr:uid="{906C345A-81CD-42FB-91FD-FADAB25F4F33}"/>
    <cellStyle name="Normal 8 3 2 8 4" xfId="12035" xr:uid="{1A5E74FF-ADCC-42BD-91EB-CB335C9B64BA}"/>
    <cellStyle name="Normal 8 3 2 8 5" xfId="28929" xr:uid="{8E8F9C26-5DAE-4784-B211-4372EDE4DD9F}"/>
    <cellStyle name="Normal 8 3 2 9" xfId="4861" xr:uid="{00000000-0005-0000-0000-0000801D0000}"/>
    <cellStyle name="Normal 8 3 2 9 2" xfId="22634" xr:uid="{1205DC9F-4CDB-488F-A225-60AA5EA711E4}"/>
    <cellStyle name="Normal 8 3 2 9 2 2" xfId="39528" xr:uid="{132BF1F7-3D79-419C-AAD5-69A856DCC9FD}"/>
    <cellStyle name="Normal 8 3 2 9 3" xfId="14187" xr:uid="{DC2C2648-BCD2-4D57-997A-C4E115A84BB2}"/>
    <cellStyle name="Normal 8 3 2 9 4" xfId="31081" xr:uid="{92249673-E9FD-45B3-AD45-FC4DDD23F390}"/>
    <cellStyle name="Normal 8 3 3" xfId="500" xr:uid="{00000000-0005-0000-0000-0000811D0000}"/>
    <cellStyle name="Normal 8 3 3 10" xfId="9974" xr:uid="{5AF4EF43-8C6A-45C2-A6A6-4AA2B90F78AA}"/>
    <cellStyle name="Normal 8 3 3 11" xfId="26868" xr:uid="{282A3CF7-AF6F-414D-BCE6-DED6CF7632FE}"/>
    <cellStyle name="Normal 8 3 3 2" xfId="501" xr:uid="{00000000-0005-0000-0000-0000821D0000}"/>
    <cellStyle name="Normal 8 3 3 2 10" xfId="26869" xr:uid="{5CBB775C-53ED-4709-8171-7794639B3145}"/>
    <cellStyle name="Normal 8 3 3 2 2" xfId="968" xr:uid="{00000000-0005-0000-0000-0000831D0000}"/>
    <cellStyle name="Normal 8 3 3 2 2 2" xfId="3202" xr:uid="{00000000-0005-0000-0000-0000841D0000}"/>
    <cellStyle name="Normal 8 3 3 2 2 2 2" xfId="7424" xr:uid="{00000000-0005-0000-0000-0000851D0000}"/>
    <cellStyle name="Normal 8 3 3 2 2 2 2 2" xfId="25197" xr:uid="{62B95FA6-CA4B-47D8-B24E-8D19D44F7AEF}"/>
    <cellStyle name="Normal 8 3 3 2 2 2 2 2 2" xfId="42091" xr:uid="{0A1C0D5E-08D2-4BD1-B96D-AD6E9DDD86BE}"/>
    <cellStyle name="Normal 8 3 3 2 2 2 2 3" xfId="16750" xr:uid="{F024AC14-ECDD-4EEA-A942-46E1FCA50200}"/>
    <cellStyle name="Normal 8 3 3 2 2 2 2 4" xfId="33644" xr:uid="{9F1D9A61-DD7D-4FB4-B8D0-F5236A01F81D}"/>
    <cellStyle name="Normal 8 3 3 2 2 2 3" xfId="20980" xr:uid="{234547AA-DB58-4579-8A50-714AEDDBB5F0}"/>
    <cellStyle name="Normal 8 3 3 2 2 2 3 2" xfId="37874" xr:uid="{E7065184-AB94-4795-8C85-D8641CF82D54}"/>
    <cellStyle name="Normal 8 3 3 2 2 2 4" xfId="12533" xr:uid="{F8AC8695-9563-4A28-99D8-89B39F30DABD}"/>
    <cellStyle name="Normal 8 3 3 2 2 2 5" xfId="29427" xr:uid="{C2E30131-AF0A-48F0-8589-E4690A9EDE53}"/>
    <cellStyle name="Normal 8 3 3 2 2 3" xfId="5279" xr:uid="{00000000-0005-0000-0000-0000861D0000}"/>
    <cellStyle name="Normal 8 3 3 2 2 3 2" xfId="23052" xr:uid="{0430BE72-04B8-46E1-B53F-1E1B3BD90B19}"/>
    <cellStyle name="Normal 8 3 3 2 2 3 2 2" xfId="39946" xr:uid="{63A93ED0-95B3-489A-A9FD-6F49132F461D}"/>
    <cellStyle name="Normal 8 3 3 2 2 3 3" xfId="14605" xr:uid="{4177DABD-CBAE-47DD-BBD1-98DE6CFF7159}"/>
    <cellStyle name="Normal 8 3 3 2 2 3 4" xfId="31499" xr:uid="{5F533692-2E9C-4FED-8329-7FB042F460F3}"/>
    <cellStyle name="Normal 8 3 3 2 2 4" xfId="9509" xr:uid="{3B4378D3-7C51-4B91-822B-758528BFF352}"/>
    <cellStyle name="Normal 8 3 3 2 2 4 2" xfId="18835" xr:uid="{83EC0EBC-3638-4B60-BC70-E66D22ACEDAE}"/>
    <cellStyle name="Normal 8 3 3 2 2 4 3" xfId="35729" xr:uid="{6BD071C2-F822-4419-80B6-F8CE4A63D803}"/>
    <cellStyle name="Normal 8 3 3 2 2 5" xfId="10388" xr:uid="{4127CD2A-376E-4A8D-9D5D-7F3327ADD059}"/>
    <cellStyle name="Normal 8 3 3 2 2 6" xfId="27282" xr:uid="{A60BFDC9-DB63-402D-BFFB-1F5396ABA6F4}"/>
    <cellStyle name="Normal 8 3 3 2 3" xfId="1385" xr:uid="{00000000-0005-0000-0000-0000871D0000}"/>
    <cellStyle name="Normal 8 3 3 2 3 2" xfId="3615" xr:uid="{00000000-0005-0000-0000-0000881D0000}"/>
    <cellStyle name="Normal 8 3 3 2 3 2 2" xfId="7837" xr:uid="{00000000-0005-0000-0000-0000891D0000}"/>
    <cellStyle name="Normal 8 3 3 2 3 2 2 2" xfId="25610" xr:uid="{2E262444-3BDE-4668-8341-0DE07BBA07C4}"/>
    <cellStyle name="Normal 8 3 3 2 3 2 2 2 2" xfId="42504" xr:uid="{79C004AF-4164-440A-9A96-31032F3A4785}"/>
    <cellStyle name="Normal 8 3 3 2 3 2 2 3" xfId="17163" xr:uid="{BAF9E8E2-FD91-4AD6-A4DA-C5805B6A6D4E}"/>
    <cellStyle name="Normal 8 3 3 2 3 2 2 4" xfId="34057" xr:uid="{3B5F7F01-7B60-49D1-BF73-A257CDB5C676}"/>
    <cellStyle name="Normal 8 3 3 2 3 2 3" xfId="21393" xr:uid="{4029D3F6-9FCE-4136-BEF7-7C4908B45020}"/>
    <cellStyle name="Normal 8 3 3 2 3 2 3 2" xfId="38287" xr:uid="{86B72DD7-CFC1-4A22-B843-1E33E1812DCA}"/>
    <cellStyle name="Normal 8 3 3 2 3 2 4" xfId="12946" xr:uid="{53F0BA60-FFB4-4D9D-9759-B3496E476441}"/>
    <cellStyle name="Normal 8 3 3 2 3 2 5" xfId="29840" xr:uid="{B77C33A5-B557-4FA4-8606-6653B6E5DA61}"/>
    <cellStyle name="Normal 8 3 3 2 3 3" xfId="5692" xr:uid="{00000000-0005-0000-0000-00008A1D0000}"/>
    <cellStyle name="Normal 8 3 3 2 3 3 2" xfId="23465" xr:uid="{5002452D-0452-4A4A-8644-438BDC76689C}"/>
    <cellStyle name="Normal 8 3 3 2 3 3 2 2" xfId="40359" xr:uid="{97A185E2-FCA0-4CB1-BFD9-91E06EBE812A}"/>
    <cellStyle name="Normal 8 3 3 2 3 3 3" xfId="15018" xr:uid="{A5A6250E-2152-4373-8F51-310FD3808D8E}"/>
    <cellStyle name="Normal 8 3 3 2 3 3 4" xfId="31912" xr:uid="{9C929035-9DF4-48E1-8329-9C4FD326973E}"/>
    <cellStyle name="Normal 8 3 3 2 3 4" xfId="19248" xr:uid="{7660E79F-3DFC-47D1-B680-300741498E9C}"/>
    <cellStyle name="Normal 8 3 3 2 3 4 2" xfId="36142" xr:uid="{F6411B7D-F3E2-4288-A29E-115764A23A52}"/>
    <cellStyle name="Normal 8 3 3 2 3 5" xfId="10801" xr:uid="{2F90370E-7352-471D-9711-A7312558AA09}"/>
    <cellStyle name="Normal 8 3 3 2 3 6" xfId="27695" xr:uid="{A7BCED44-6210-4934-9258-C8688D3BC542}"/>
    <cellStyle name="Normal 8 3 3 2 4" xfId="1798" xr:uid="{00000000-0005-0000-0000-00008B1D0000}"/>
    <cellStyle name="Normal 8 3 3 2 4 2" xfId="4028" xr:uid="{00000000-0005-0000-0000-00008C1D0000}"/>
    <cellStyle name="Normal 8 3 3 2 4 2 2" xfId="8250" xr:uid="{00000000-0005-0000-0000-00008D1D0000}"/>
    <cellStyle name="Normal 8 3 3 2 4 2 2 2" xfId="26023" xr:uid="{709F18DB-A4A1-4BD5-ACCC-41FF82D1BB32}"/>
    <cellStyle name="Normal 8 3 3 2 4 2 2 2 2" xfId="42917" xr:uid="{25376D0B-6965-4C44-BB81-D620FE8B3021}"/>
    <cellStyle name="Normal 8 3 3 2 4 2 2 3" xfId="17576" xr:uid="{6D22F91A-83FC-4EB2-A5E0-B32BBA54DEBF}"/>
    <cellStyle name="Normal 8 3 3 2 4 2 2 4" xfId="34470" xr:uid="{5FB48EBF-3C99-4560-AA16-90EC4F230DB0}"/>
    <cellStyle name="Normal 8 3 3 2 4 2 3" xfId="21806" xr:uid="{7639053D-35DB-46AB-99AB-08A7CC732BB0}"/>
    <cellStyle name="Normal 8 3 3 2 4 2 3 2" xfId="38700" xr:uid="{AAB25860-90B1-4698-B55B-A15E29FA8C68}"/>
    <cellStyle name="Normal 8 3 3 2 4 2 4" xfId="13359" xr:uid="{3F891DFB-BB6C-45A0-8124-3CF511230A27}"/>
    <cellStyle name="Normal 8 3 3 2 4 2 5" xfId="30253" xr:uid="{11075B59-6D01-43CD-92C6-B2E5927742EF}"/>
    <cellStyle name="Normal 8 3 3 2 4 3" xfId="6105" xr:uid="{00000000-0005-0000-0000-00008E1D0000}"/>
    <cellStyle name="Normal 8 3 3 2 4 3 2" xfId="23878" xr:uid="{4299783D-D138-47CA-AC62-C52E40D1BDCD}"/>
    <cellStyle name="Normal 8 3 3 2 4 3 2 2" xfId="40772" xr:uid="{32551CD2-9360-4EA6-B282-1B3C3E8A6639}"/>
    <cellStyle name="Normal 8 3 3 2 4 3 3" xfId="15431" xr:uid="{A6305C5B-0485-406B-9C44-022D4EB56383}"/>
    <cellStyle name="Normal 8 3 3 2 4 3 4" xfId="32325" xr:uid="{9559AE74-606C-440F-97C0-BCFD200FCC5C}"/>
    <cellStyle name="Normal 8 3 3 2 4 4" xfId="19661" xr:uid="{B2EDAE5C-8110-4CD0-BD12-54D2CC5299C8}"/>
    <cellStyle name="Normal 8 3 3 2 4 4 2" xfId="36555" xr:uid="{5CDB9B20-8607-4371-B272-870FD056E147}"/>
    <cellStyle name="Normal 8 3 3 2 4 5" xfId="11214" xr:uid="{3D3EDD61-574A-446E-B82B-01BEF56DE477}"/>
    <cellStyle name="Normal 8 3 3 2 4 6" xfId="28108" xr:uid="{8503E68D-5FD7-49CD-9664-0EE1CBE1FE66}"/>
    <cellStyle name="Normal 8 3 3 2 5" xfId="2212" xr:uid="{00000000-0005-0000-0000-00008F1D0000}"/>
    <cellStyle name="Normal 8 3 3 2 5 2" xfId="4441" xr:uid="{00000000-0005-0000-0000-0000901D0000}"/>
    <cellStyle name="Normal 8 3 3 2 5 2 2" xfId="8663" xr:uid="{00000000-0005-0000-0000-0000911D0000}"/>
    <cellStyle name="Normal 8 3 3 2 5 2 2 2" xfId="26436" xr:uid="{A8457B29-A829-4668-AD7F-A9CED54F8C88}"/>
    <cellStyle name="Normal 8 3 3 2 5 2 2 2 2" xfId="43330" xr:uid="{BA8083F3-2483-4D26-9685-820C8B808286}"/>
    <cellStyle name="Normal 8 3 3 2 5 2 2 3" xfId="17989" xr:uid="{798F6512-42BD-4F60-BD59-6352ABF327E5}"/>
    <cellStyle name="Normal 8 3 3 2 5 2 2 4" xfId="34883" xr:uid="{559E5174-ADFA-4419-9558-D797DCF24A51}"/>
    <cellStyle name="Normal 8 3 3 2 5 2 3" xfId="22219" xr:uid="{802B6DEB-9F2F-4165-8190-9D99B257F4A6}"/>
    <cellStyle name="Normal 8 3 3 2 5 2 3 2" xfId="39113" xr:uid="{6103E0A7-E1C1-4B5D-95C0-0E92392C1332}"/>
    <cellStyle name="Normal 8 3 3 2 5 2 4" xfId="13772" xr:uid="{A44E4523-22BB-444F-8C86-9B17703BD6CA}"/>
    <cellStyle name="Normal 8 3 3 2 5 2 5" xfId="30666" xr:uid="{42EB82DA-E1BA-4B8E-8591-F1E7BD2A21A0}"/>
    <cellStyle name="Normal 8 3 3 2 5 3" xfId="6518" xr:uid="{00000000-0005-0000-0000-0000921D0000}"/>
    <cellStyle name="Normal 8 3 3 2 5 3 2" xfId="24291" xr:uid="{7FAD1C71-B2E0-423E-9F8B-39EC150CE5B8}"/>
    <cellStyle name="Normal 8 3 3 2 5 3 2 2" xfId="41185" xr:uid="{EF33C85B-89B0-411E-8AC0-2EFE1C26EB72}"/>
    <cellStyle name="Normal 8 3 3 2 5 3 3" xfId="15844" xr:uid="{65C5A965-6EE4-4381-81FC-84F45C97F4E8}"/>
    <cellStyle name="Normal 8 3 3 2 5 3 4" xfId="32738" xr:uid="{CD284195-D21E-4E27-BCB4-C5DE584A9C50}"/>
    <cellStyle name="Normal 8 3 3 2 5 4" xfId="20074" xr:uid="{9D5874B0-1D18-4938-B278-99C50E0075A3}"/>
    <cellStyle name="Normal 8 3 3 2 5 4 2" xfId="36968" xr:uid="{F3D59B4F-F5E4-47F3-8BFE-6890893915CB}"/>
    <cellStyle name="Normal 8 3 3 2 5 5" xfId="11627" xr:uid="{56916058-9785-4EE0-86C5-5E954684C90F}"/>
    <cellStyle name="Normal 8 3 3 2 5 6" xfId="28521" xr:uid="{C65EF452-C07E-443E-A8DD-BCB3DDDC24DE}"/>
    <cellStyle name="Normal 8 3 3 2 6" xfId="2648" xr:uid="{00000000-0005-0000-0000-0000931D0000}"/>
    <cellStyle name="Normal 8 3 3 2 6 2" xfId="6931" xr:uid="{00000000-0005-0000-0000-0000941D0000}"/>
    <cellStyle name="Normal 8 3 3 2 6 2 2" xfId="24704" xr:uid="{A513DA8D-51DF-42C7-A1C4-95F26573EFBC}"/>
    <cellStyle name="Normal 8 3 3 2 6 2 2 2" xfId="41598" xr:uid="{5D26BC1C-B605-48D0-BE51-9D898AE80989}"/>
    <cellStyle name="Normal 8 3 3 2 6 2 3" xfId="16257" xr:uid="{AFCCB60D-77AD-4C90-AE84-7BB578BF39DF}"/>
    <cellStyle name="Normal 8 3 3 2 6 2 4" xfId="33151" xr:uid="{97374F4E-8061-4AD3-9F67-DF2584DEAEDD}"/>
    <cellStyle name="Normal 8 3 3 2 6 3" xfId="20487" xr:uid="{6E85C779-492E-44D8-9587-10BD5E647572}"/>
    <cellStyle name="Normal 8 3 3 2 6 3 2" xfId="37381" xr:uid="{0C0ADF5F-3257-4F0D-A483-E88BA2EE10C1}"/>
    <cellStyle name="Normal 8 3 3 2 6 4" xfId="12040" xr:uid="{FEBB17F7-8468-4A5F-83CC-2BE201EF1F63}"/>
    <cellStyle name="Normal 8 3 3 2 6 5" xfId="28934" xr:uid="{FA168616-C251-4279-ACE6-6CA1FBBBEE71}"/>
    <cellStyle name="Normal 8 3 3 2 7" xfId="4866" xr:uid="{00000000-0005-0000-0000-0000951D0000}"/>
    <cellStyle name="Normal 8 3 3 2 7 2" xfId="22639" xr:uid="{A64CB43A-4C8A-489B-A4D2-5CBE1578CBA3}"/>
    <cellStyle name="Normal 8 3 3 2 7 2 2" xfId="39533" xr:uid="{48D2C932-00F6-48AA-A39D-7CC255608F2E}"/>
    <cellStyle name="Normal 8 3 3 2 7 3" xfId="14192" xr:uid="{B5695D71-86B4-4BFB-A55A-DFF57D2FCA8A}"/>
    <cellStyle name="Normal 8 3 3 2 7 4" xfId="31086" xr:uid="{4734B7A7-8F14-4435-82C9-85C989582FEC}"/>
    <cellStyle name="Normal 8 3 3 2 8" xfId="9084" xr:uid="{94243AB7-0454-4C95-8E94-054E46718167}"/>
    <cellStyle name="Normal 8 3 3 2 8 2" xfId="18422" xr:uid="{90E6E8F0-BFBF-4109-A9E7-398CCC942778}"/>
    <cellStyle name="Normal 8 3 3 2 8 3" xfId="35316" xr:uid="{9EA1861F-8067-431D-AEC3-C20C2F8DF966}"/>
    <cellStyle name="Normal 8 3 3 2 9" xfId="9975" xr:uid="{51BBF04F-D7DA-4A1A-AB66-3DC1ACDE4567}"/>
    <cellStyle name="Normal 8 3 3 3" xfId="967" xr:uid="{00000000-0005-0000-0000-0000961D0000}"/>
    <cellStyle name="Normal 8 3 3 3 2" xfId="3201" xr:uid="{00000000-0005-0000-0000-0000971D0000}"/>
    <cellStyle name="Normal 8 3 3 3 2 2" xfId="7423" xr:uid="{00000000-0005-0000-0000-0000981D0000}"/>
    <cellStyle name="Normal 8 3 3 3 2 2 2" xfId="25196" xr:uid="{3CE3D255-57CF-4AD1-AE17-19A3858AAFC7}"/>
    <cellStyle name="Normal 8 3 3 3 2 2 2 2" xfId="42090" xr:uid="{C2FE3FB3-056E-41C2-9029-660CED6D71C9}"/>
    <cellStyle name="Normal 8 3 3 3 2 2 3" xfId="16749" xr:uid="{EE8B76BF-2BF4-4B49-A3FF-56CF114E4DF5}"/>
    <cellStyle name="Normal 8 3 3 3 2 2 4" xfId="33643" xr:uid="{9927B841-D039-44FC-93D9-38789D822BC9}"/>
    <cellStyle name="Normal 8 3 3 3 2 3" xfId="20979" xr:uid="{579EF218-B6D5-4DA2-AB0D-B0ABCD56876C}"/>
    <cellStyle name="Normal 8 3 3 3 2 3 2" xfId="37873" xr:uid="{6A278402-C633-4011-9B40-FE6247E0AE93}"/>
    <cellStyle name="Normal 8 3 3 3 2 4" xfId="12532" xr:uid="{F66438CD-C01D-4149-B1A5-D99F4CCB39DD}"/>
    <cellStyle name="Normal 8 3 3 3 2 5" xfId="29426" xr:uid="{3492325C-2438-47E8-9331-E34800B45DBE}"/>
    <cellStyle name="Normal 8 3 3 3 3" xfId="5278" xr:uid="{00000000-0005-0000-0000-0000991D0000}"/>
    <cellStyle name="Normal 8 3 3 3 3 2" xfId="23051" xr:uid="{397CEBC6-CAFD-42F8-9B04-2CAA592A9001}"/>
    <cellStyle name="Normal 8 3 3 3 3 2 2" xfId="39945" xr:uid="{88E80C18-1012-42BE-8C2D-FE2F0CDAACAE}"/>
    <cellStyle name="Normal 8 3 3 3 3 3" xfId="14604" xr:uid="{9B6C6C10-EE6E-4091-A3FC-BFC44FBAEF51}"/>
    <cellStyle name="Normal 8 3 3 3 3 4" xfId="31498" xr:uid="{6BAE9774-2DDD-4DC9-8611-BE869AB2973C}"/>
    <cellStyle name="Normal 8 3 3 3 4" xfId="9302" xr:uid="{3985B908-2B56-4F9B-BEA3-8962926FD004}"/>
    <cellStyle name="Normal 8 3 3 3 4 2" xfId="18834" xr:uid="{9C0CB31B-34CF-4FF3-B376-CC79B9221141}"/>
    <cellStyle name="Normal 8 3 3 3 4 3" xfId="35728" xr:uid="{33E9954B-8B6C-4393-8A4A-A2D9B8C88150}"/>
    <cellStyle name="Normal 8 3 3 3 5" xfId="10387" xr:uid="{B11C957D-DD5F-46A4-A440-DC7FC3CCA423}"/>
    <cellStyle name="Normal 8 3 3 3 6" xfId="27281" xr:uid="{83B41511-4043-4B64-8469-79359DCD4430}"/>
    <cellStyle name="Normal 8 3 3 4" xfId="1384" xr:uid="{00000000-0005-0000-0000-00009A1D0000}"/>
    <cellStyle name="Normal 8 3 3 4 2" xfId="3614" xr:uid="{00000000-0005-0000-0000-00009B1D0000}"/>
    <cellStyle name="Normal 8 3 3 4 2 2" xfId="7836" xr:uid="{00000000-0005-0000-0000-00009C1D0000}"/>
    <cellStyle name="Normal 8 3 3 4 2 2 2" xfId="25609" xr:uid="{5700A538-49ED-4C14-889D-56829C21903F}"/>
    <cellStyle name="Normal 8 3 3 4 2 2 2 2" xfId="42503" xr:uid="{B5409917-0F24-4953-8E32-4554805ACF18}"/>
    <cellStyle name="Normal 8 3 3 4 2 2 3" xfId="17162" xr:uid="{59B47F1B-0DBD-4204-B9A0-876DDFF65FBF}"/>
    <cellStyle name="Normal 8 3 3 4 2 2 4" xfId="34056" xr:uid="{E9AC2F86-DDD0-446A-BEB4-EE1E50567440}"/>
    <cellStyle name="Normal 8 3 3 4 2 3" xfId="21392" xr:uid="{4447AAE1-277A-4571-B3B6-7EAA023F394E}"/>
    <cellStyle name="Normal 8 3 3 4 2 3 2" xfId="38286" xr:uid="{3010A17B-ECFC-409D-942D-6488C0C3F5C0}"/>
    <cellStyle name="Normal 8 3 3 4 2 4" xfId="12945" xr:uid="{AF18138A-50C6-4719-BA51-E8AB9D510651}"/>
    <cellStyle name="Normal 8 3 3 4 2 5" xfId="29839" xr:uid="{956FE89D-B383-4CE1-8665-A8EEB2191DDC}"/>
    <cellStyle name="Normal 8 3 3 4 3" xfId="5691" xr:uid="{00000000-0005-0000-0000-00009D1D0000}"/>
    <cellStyle name="Normal 8 3 3 4 3 2" xfId="23464" xr:uid="{D3ABCE3B-77B4-482C-9200-0F1E9D009788}"/>
    <cellStyle name="Normal 8 3 3 4 3 2 2" xfId="40358" xr:uid="{0E0B4A95-1311-4D53-AF08-AE8CB7388459}"/>
    <cellStyle name="Normal 8 3 3 4 3 3" xfId="15017" xr:uid="{A1A20C58-B8AC-45C2-81E9-9CD62739FBF4}"/>
    <cellStyle name="Normal 8 3 3 4 3 4" xfId="31911" xr:uid="{48157CBD-E47A-42A1-A042-E7ADC18E649F}"/>
    <cellStyle name="Normal 8 3 3 4 4" xfId="19247" xr:uid="{5B711373-B4F7-4CB5-BD5A-7663EAC4AD18}"/>
    <cellStyle name="Normal 8 3 3 4 4 2" xfId="36141" xr:uid="{4DD052B7-7DC2-4D62-85E7-157705FEC805}"/>
    <cellStyle name="Normal 8 3 3 4 5" xfId="10800" xr:uid="{647B16F7-CD11-4231-B05B-14CAE13D7214}"/>
    <cellStyle name="Normal 8 3 3 4 6" xfId="27694" xr:uid="{2679D3E7-7FA7-4272-B78E-EC79F9AA2507}"/>
    <cellStyle name="Normal 8 3 3 5" xfId="1797" xr:uid="{00000000-0005-0000-0000-00009E1D0000}"/>
    <cellStyle name="Normal 8 3 3 5 2" xfId="4027" xr:uid="{00000000-0005-0000-0000-00009F1D0000}"/>
    <cellStyle name="Normal 8 3 3 5 2 2" xfId="8249" xr:uid="{00000000-0005-0000-0000-0000A01D0000}"/>
    <cellStyle name="Normal 8 3 3 5 2 2 2" xfId="26022" xr:uid="{42746104-17F6-4270-9762-0F9DE38F53C7}"/>
    <cellStyle name="Normal 8 3 3 5 2 2 2 2" xfId="42916" xr:uid="{6147FED3-57B8-4015-9E0E-1CCF987B980E}"/>
    <cellStyle name="Normal 8 3 3 5 2 2 3" xfId="17575" xr:uid="{60335CE3-ECCB-447A-BAD3-2D1C402D59D6}"/>
    <cellStyle name="Normal 8 3 3 5 2 2 4" xfId="34469" xr:uid="{AA06BEB0-47E8-4D8C-8CD8-F00F76048770}"/>
    <cellStyle name="Normal 8 3 3 5 2 3" xfId="21805" xr:uid="{ED6C63C9-570F-4BDA-B237-BFC6662A0EE1}"/>
    <cellStyle name="Normal 8 3 3 5 2 3 2" xfId="38699" xr:uid="{B81ED151-29AE-4027-881F-C935A8BBA942}"/>
    <cellStyle name="Normal 8 3 3 5 2 4" xfId="13358" xr:uid="{06CD63A0-EACA-4372-B8E2-9C3C68AC371A}"/>
    <cellStyle name="Normal 8 3 3 5 2 5" xfId="30252" xr:uid="{6DFE1B5D-6E07-4C53-917E-F3F85B91E232}"/>
    <cellStyle name="Normal 8 3 3 5 3" xfId="6104" xr:uid="{00000000-0005-0000-0000-0000A11D0000}"/>
    <cellStyle name="Normal 8 3 3 5 3 2" xfId="23877" xr:uid="{4DC69460-E70B-4282-B115-BED861DD4B56}"/>
    <cellStyle name="Normal 8 3 3 5 3 2 2" xfId="40771" xr:uid="{AFAA091B-98E4-417F-A71C-A9A3448AF0A2}"/>
    <cellStyle name="Normal 8 3 3 5 3 3" xfId="15430" xr:uid="{70407DF0-CA52-4132-8840-25CBDCA1E682}"/>
    <cellStyle name="Normal 8 3 3 5 3 4" xfId="32324" xr:uid="{D88F78CB-B953-486C-8DC6-0D1B59D23B30}"/>
    <cellStyle name="Normal 8 3 3 5 4" xfId="19660" xr:uid="{ACD8E7F5-9DB6-4427-8447-9D068915833C}"/>
    <cellStyle name="Normal 8 3 3 5 4 2" xfId="36554" xr:uid="{6DD3FE61-6475-46A1-865A-B92057CAAD49}"/>
    <cellStyle name="Normal 8 3 3 5 5" xfId="11213" xr:uid="{788A928D-D3FC-42A1-990C-01D06E9F12D4}"/>
    <cellStyle name="Normal 8 3 3 5 6" xfId="28107" xr:uid="{DD66059A-B385-4CFF-9E60-8F8AA8CEC826}"/>
    <cellStyle name="Normal 8 3 3 6" xfId="2211" xr:uid="{00000000-0005-0000-0000-0000A21D0000}"/>
    <cellStyle name="Normal 8 3 3 6 2" xfId="4440" xr:uid="{00000000-0005-0000-0000-0000A31D0000}"/>
    <cellStyle name="Normal 8 3 3 6 2 2" xfId="8662" xr:uid="{00000000-0005-0000-0000-0000A41D0000}"/>
    <cellStyle name="Normal 8 3 3 6 2 2 2" xfId="26435" xr:uid="{9097131F-B237-4F8C-8614-13EEB718A56C}"/>
    <cellStyle name="Normal 8 3 3 6 2 2 2 2" xfId="43329" xr:uid="{B7C2AC4A-5A0A-4F70-BFA1-DC910F53C47B}"/>
    <cellStyle name="Normal 8 3 3 6 2 2 3" xfId="17988" xr:uid="{527CF027-12C5-4A7E-B25D-53312BA6539F}"/>
    <cellStyle name="Normal 8 3 3 6 2 2 4" xfId="34882" xr:uid="{426AB280-91A4-4CC7-98E4-F593A68E2BAB}"/>
    <cellStyle name="Normal 8 3 3 6 2 3" xfId="22218" xr:uid="{C5CB51AC-F51F-457D-B195-92B223FCFC09}"/>
    <cellStyle name="Normal 8 3 3 6 2 3 2" xfId="39112" xr:uid="{3BBC021A-72A2-478E-8755-59B1F4EF0CF1}"/>
    <cellStyle name="Normal 8 3 3 6 2 4" xfId="13771" xr:uid="{7558EECF-4933-4DE7-94EA-FDE407C69E87}"/>
    <cellStyle name="Normal 8 3 3 6 2 5" xfId="30665" xr:uid="{1A33087B-9E35-4F39-AAC1-84077A221A33}"/>
    <cellStyle name="Normal 8 3 3 6 3" xfId="6517" xr:uid="{00000000-0005-0000-0000-0000A51D0000}"/>
    <cellStyle name="Normal 8 3 3 6 3 2" xfId="24290" xr:uid="{1C88DA0C-D0EA-4153-AB6A-1617BD8F2DD6}"/>
    <cellStyle name="Normal 8 3 3 6 3 2 2" xfId="41184" xr:uid="{EC5DF88A-15A8-4FE0-8333-583D022802B2}"/>
    <cellStyle name="Normal 8 3 3 6 3 3" xfId="15843" xr:uid="{4FAC29B1-F14E-43AB-B118-A05F03B0A755}"/>
    <cellStyle name="Normal 8 3 3 6 3 4" xfId="32737" xr:uid="{AAD84E7F-A455-4249-A2E4-9BCC46530D5B}"/>
    <cellStyle name="Normal 8 3 3 6 4" xfId="20073" xr:uid="{83C282B8-8DDE-4969-8C63-267073DE6A2D}"/>
    <cellStyle name="Normal 8 3 3 6 4 2" xfId="36967" xr:uid="{4BA716D7-EE3C-485D-8688-A8950BBD233A}"/>
    <cellStyle name="Normal 8 3 3 6 5" xfId="11626" xr:uid="{2C85D1B3-7B2B-439D-8D21-A7326B884302}"/>
    <cellStyle name="Normal 8 3 3 6 6" xfId="28520" xr:uid="{FF275AC5-2B24-4B9B-BFB6-DEE2919E0001}"/>
    <cellStyle name="Normal 8 3 3 7" xfId="2647" xr:uid="{00000000-0005-0000-0000-0000A61D0000}"/>
    <cellStyle name="Normal 8 3 3 7 2" xfId="6930" xr:uid="{00000000-0005-0000-0000-0000A71D0000}"/>
    <cellStyle name="Normal 8 3 3 7 2 2" xfId="24703" xr:uid="{898E11FB-23BA-4E17-914E-F4BFC3EA0759}"/>
    <cellStyle name="Normal 8 3 3 7 2 2 2" xfId="41597" xr:uid="{DD2E9512-CBAC-42C3-BF25-2146BA4A650C}"/>
    <cellStyle name="Normal 8 3 3 7 2 3" xfId="16256" xr:uid="{3827D3AC-EEC0-42D9-A47D-EE43C8C60815}"/>
    <cellStyle name="Normal 8 3 3 7 2 4" xfId="33150" xr:uid="{E5C0319C-F143-4474-9A1C-CD29199D331B}"/>
    <cellStyle name="Normal 8 3 3 7 3" xfId="20486" xr:uid="{2C2A0C1F-D57F-4652-A99A-5335C9B0DA75}"/>
    <cellStyle name="Normal 8 3 3 7 3 2" xfId="37380" xr:uid="{BF6A2D07-F450-4377-8877-6C1FE2868621}"/>
    <cellStyle name="Normal 8 3 3 7 4" xfId="12039" xr:uid="{C7EE56C1-F696-4A35-B3EA-A5BF5837CB33}"/>
    <cellStyle name="Normal 8 3 3 7 5" xfId="28933" xr:uid="{E5EEFF3C-0080-4308-8130-C3D904EA6AA6}"/>
    <cellStyle name="Normal 8 3 3 8" xfId="4865" xr:uid="{00000000-0005-0000-0000-0000A81D0000}"/>
    <cellStyle name="Normal 8 3 3 8 2" xfId="22638" xr:uid="{CE9D66CA-E784-41D8-8203-6FBEDB5EDC59}"/>
    <cellStyle name="Normal 8 3 3 8 2 2" xfId="39532" xr:uid="{307C4D1C-12E8-4C42-B203-4F3134E9C914}"/>
    <cellStyle name="Normal 8 3 3 8 3" xfId="14191" xr:uid="{9378E014-CDCB-4BDF-9A28-2C41FF9E6917}"/>
    <cellStyle name="Normal 8 3 3 8 4" xfId="31085" xr:uid="{62AE8040-D5CA-4C80-AD59-B967BACB0F02}"/>
    <cellStyle name="Normal 8 3 3 9" xfId="8877" xr:uid="{4F8231E3-800E-43E7-B1B6-9633EBFFFFE1}"/>
    <cellStyle name="Normal 8 3 3 9 2" xfId="18421" xr:uid="{2DB2564E-0DA1-442C-9BB8-5DEF2E598E2A}"/>
    <cellStyle name="Normal 8 3 3 9 3" xfId="35315" xr:uid="{659D69BB-7783-4A5A-A964-F214C7AAD33E}"/>
    <cellStyle name="Normal 8 3 4" xfId="502" xr:uid="{00000000-0005-0000-0000-0000A91D0000}"/>
    <cellStyle name="Normal 8 3 4 10" xfId="26870" xr:uid="{FACAF7D4-6CC0-4D4A-84E6-1BC26AECF956}"/>
    <cellStyle name="Normal 8 3 4 2" xfId="969" xr:uid="{00000000-0005-0000-0000-0000AA1D0000}"/>
    <cellStyle name="Normal 8 3 4 2 2" xfId="3203" xr:uid="{00000000-0005-0000-0000-0000AB1D0000}"/>
    <cellStyle name="Normal 8 3 4 2 2 2" xfId="7425" xr:uid="{00000000-0005-0000-0000-0000AC1D0000}"/>
    <cellStyle name="Normal 8 3 4 2 2 2 2" xfId="25198" xr:uid="{19EAE810-D113-44C8-AB2D-696147FA3EE0}"/>
    <cellStyle name="Normal 8 3 4 2 2 2 2 2" xfId="42092" xr:uid="{BD94C4CF-3EAE-4889-8C27-7BFE3992B3CA}"/>
    <cellStyle name="Normal 8 3 4 2 2 2 3" xfId="16751" xr:uid="{C7EFC2E5-969F-472D-B9FF-E1636DA31074}"/>
    <cellStyle name="Normal 8 3 4 2 2 2 4" xfId="33645" xr:uid="{08269A92-99E1-4DF7-BDCB-55B68F19A56F}"/>
    <cellStyle name="Normal 8 3 4 2 2 3" xfId="20981" xr:uid="{EC733526-A9C6-4FA4-9291-E6D2794ECE76}"/>
    <cellStyle name="Normal 8 3 4 2 2 3 2" xfId="37875" xr:uid="{0F8574E6-D163-4EF9-97E3-FB607EC70917}"/>
    <cellStyle name="Normal 8 3 4 2 2 4" xfId="12534" xr:uid="{FFBB607A-AC93-4E88-83FC-30A23D9554FB}"/>
    <cellStyle name="Normal 8 3 4 2 2 5" xfId="29428" xr:uid="{DEA639B1-407E-4FCE-BDC8-23CF05F31E12}"/>
    <cellStyle name="Normal 8 3 4 2 3" xfId="5280" xr:uid="{00000000-0005-0000-0000-0000AD1D0000}"/>
    <cellStyle name="Normal 8 3 4 2 3 2" xfId="23053" xr:uid="{0A338373-A1EA-4199-AB2A-D7D70C714739}"/>
    <cellStyle name="Normal 8 3 4 2 3 2 2" xfId="39947" xr:uid="{DBA8FA34-A4E7-491E-B1DB-2D687E4FD0C7}"/>
    <cellStyle name="Normal 8 3 4 2 3 3" xfId="14606" xr:uid="{507DB57D-97D4-4034-82DF-4C9680499B23}"/>
    <cellStyle name="Normal 8 3 4 2 3 4" xfId="31500" xr:uid="{CF5FDC68-A5F4-417A-A05C-E20C3DCDC2B5}"/>
    <cellStyle name="Normal 8 3 4 2 4" xfId="9406" xr:uid="{8751BE45-E47B-4A0A-B0DE-04C14FAEA88D}"/>
    <cellStyle name="Normal 8 3 4 2 4 2" xfId="18836" xr:uid="{6DCAC2BF-0485-44CE-AF4A-D75B6EE6D414}"/>
    <cellStyle name="Normal 8 3 4 2 4 3" xfId="35730" xr:uid="{8536178C-D1BE-4665-8210-A367CBA45FD6}"/>
    <cellStyle name="Normal 8 3 4 2 5" xfId="10389" xr:uid="{A9E28817-1E98-4E65-8632-E1750C704858}"/>
    <cellStyle name="Normal 8 3 4 2 6" xfId="27283" xr:uid="{B1227481-30E3-49BE-A582-EA1DC49BDCC5}"/>
    <cellStyle name="Normal 8 3 4 3" xfId="1386" xr:uid="{00000000-0005-0000-0000-0000AE1D0000}"/>
    <cellStyle name="Normal 8 3 4 3 2" xfId="3616" xr:uid="{00000000-0005-0000-0000-0000AF1D0000}"/>
    <cellStyle name="Normal 8 3 4 3 2 2" xfId="7838" xr:uid="{00000000-0005-0000-0000-0000B01D0000}"/>
    <cellStyle name="Normal 8 3 4 3 2 2 2" xfId="25611" xr:uid="{18799694-C63E-4647-B145-55804CB40718}"/>
    <cellStyle name="Normal 8 3 4 3 2 2 2 2" xfId="42505" xr:uid="{B861DD4C-2C83-48E7-88F4-2451E534F2A7}"/>
    <cellStyle name="Normal 8 3 4 3 2 2 3" xfId="17164" xr:uid="{215499D1-F72F-417C-B1FF-DEB475668AC4}"/>
    <cellStyle name="Normal 8 3 4 3 2 2 4" xfId="34058" xr:uid="{E21573B3-7228-40BD-9C5D-8F10447E4526}"/>
    <cellStyle name="Normal 8 3 4 3 2 3" xfId="21394" xr:uid="{CC536A54-ACB2-401E-A8A0-46F577E1C767}"/>
    <cellStyle name="Normal 8 3 4 3 2 3 2" xfId="38288" xr:uid="{25B5B02F-547B-41AE-B187-853C1BCCA97B}"/>
    <cellStyle name="Normal 8 3 4 3 2 4" xfId="12947" xr:uid="{E7E14F61-3A58-447A-B485-6E913180073C}"/>
    <cellStyle name="Normal 8 3 4 3 2 5" xfId="29841" xr:uid="{86BAE667-A730-431D-817E-7C3A3C848763}"/>
    <cellStyle name="Normal 8 3 4 3 3" xfId="5693" xr:uid="{00000000-0005-0000-0000-0000B11D0000}"/>
    <cellStyle name="Normal 8 3 4 3 3 2" xfId="23466" xr:uid="{3CA7430C-514E-4A2C-B5A1-E5EE3BE15E86}"/>
    <cellStyle name="Normal 8 3 4 3 3 2 2" xfId="40360" xr:uid="{6FA9EC19-7D1E-4566-9923-09339E8C5191}"/>
    <cellStyle name="Normal 8 3 4 3 3 3" xfId="15019" xr:uid="{D90718C2-1270-4AB8-9C42-A542F448FD77}"/>
    <cellStyle name="Normal 8 3 4 3 3 4" xfId="31913" xr:uid="{6B12AE3E-1187-486E-A9D9-ABA6D39093E1}"/>
    <cellStyle name="Normal 8 3 4 3 4" xfId="19249" xr:uid="{7BE2C618-E203-4A7E-937B-349A21EED59E}"/>
    <cellStyle name="Normal 8 3 4 3 4 2" xfId="36143" xr:uid="{5C3EA94A-C06D-4355-B523-99ADA471A5E5}"/>
    <cellStyle name="Normal 8 3 4 3 5" xfId="10802" xr:uid="{7284F0A9-E040-4DDB-BE47-D8145821764B}"/>
    <cellStyle name="Normal 8 3 4 3 6" xfId="27696" xr:uid="{9730B401-AF90-45B5-858E-7EEE27CBAC23}"/>
    <cellStyle name="Normal 8 3 4 4" xfId="1799" xr:uid="{00000000-0005-0000-0000-0000B21D0000}"/>
    <cellStyle name="Normal 8 3 4 4 2" xfId="4029" xr:uid="{00000000-0005-0000-0000-0000B31D0000}"/>
    <cellStyle name="Normal 8 3 4 4 2 2" xfId="8251" xr:uid="{00000000-0005-0000-0000-0000B41D0000}"/>
    <cellStyle name="Normal 8 3 4 4 2 2 2" xfId="26024" xr:uid="{7FA12DCF-5359-44E1-A872-6158008ACC1E}"/>
    <cellStyle name="Normal 8 3 4 4 2 2 2 2" xfId="42918" xr:uid="{978E6FD0-0268-4B65-A8FD-95577266065A}"/>
    <cellStyle name="Normal 8 3 4 4 2 2 3" xfId="17577" xr:uid="{16458C66-D87C-4197-8B71-6BC4FD06178C}"/>
    <cellStyle name="Normal 8 3 4 4 2 2 4" xfId="34471" xr:uid="{ABE44CE0-4256-47FC-8A55-67343E0831EC}"/>
    <cellStyle name="Normal 8 3 4 4 2 3" xfId="21807" xr:uid="{F0FC3D16-B2E7-4179-8B67-1985C4B51136}"/>
    <cellStyle name="Normal 8 3 4 4 2 3 2" xfId="38701" xr:uid="{4CA11959-752D-4E45-88C1-B4D89FFBC096}"/>
    <cellStyle name="Normal 8 3 4 4 2 4" xfId="13360" xr:uid="{FBFEF471-A436-45B9-AFF1-232306B70D39}"/>
    <cellStyle name="Normal 8 3 4 4 2 5" xfId="30254" xr:uid="{B07DA2A4-E74C-4C60-9CBD-C619BEBF90E2}"/>
    <cellStyle name="Normal 8 3 4 4 3" xfId="6106" xr:uid="{00000000-0005-0000-0000-0000B51D0000}"/>
    <cellStyle name="Normal 8 3 4 4 3 2" xfId="23879" xr:uid="{9DD5D8DF-E91A-418F-92AF-6E42B2073F30}"/>
    <cellStyle name="Normal 8 3 4 4 3 2 2" xfId="40773" xr:uid="{8CA3780B-91F2-4919-B4F0-A9FA426A3EA6}"/>
    <cellStyle name="Normal 8 3 4 4 3 3" xfId="15432" xr:uid="{CBB59242-C18C-4E74-A5EE-2C837AE5C491}"/>
    <cellStyle name="Normal 8 3 4 4 3 4" xfId="32326" xr:uid="{CDD49347-F3EF-48F7-8122-D691BA98BC0A}"/>
    <cellStyle name="Normal 8 3 4 4 4" xfId="19662" xr:uid="{AE18E59A-8833-4296-992A-DE59EBD68A33}"/>
    <cellStyle name="Normal 8 3 4 4 4 2" xfId="36556" xr:uid="{57EABC3B-0504-4D60-BF07-66A27C89978A}"/>
    <cellStyle name="Normal 8 3 4 4 5" xfId="11215" xr:uid="{209EF3D2-11FF-4E4D-9FEC-B104C61165D1}"/>
    <cellStyle name="Normal 8 3 4 4 6" xfId="28109" xr:uid="{153BE596-142B-4A94-B440-D6BD4BD85A72}"/>
    <cellStyle name="Normal 8 3 4 5" xfId="2213" xr:uid="{00000000-0005-0000-0000-0000B61D0000}"/>
    <cellStyle name="Normal 8 3 4 5 2" xfId="4442" xr:uid="{00000000-0005-0000-0000-0000B71D0000}"/>
    <cellStyle name="Normal 8 3 4 5 2 2" xfId="8664" xr:uid="{00000000-0005-0000-0000-0000B81D0000}"/>
    <cellStyle name="Normal 8 3 4 5 2 2 2" xfId="26437" xr:uid="{1DAD9F34-F4D8-4955-BDD2-69D0288E6F6D}"/>
    <cellStyle name="Normal 8 3 4 5 2 2 2 2" xfId="43331" xr:uid="{4564E155-2EE3-494E-BB80-753AEB1A0B3E}"/>
    <cellStyle name="Normal 8 3 4 5 2 2 3" xfId="17990" xr:uid="{441FF6F4-C637-4DDE-90EB-A360D4D277D3}"/>
    <cellStyle name="Normal 8 3 4 5 2 2 4" xfId="34884" xr:uid="{35943A94-F2FE-46CA-956C-FD227A6DFE5C}"/>
    <cellStyle name="Normal 8 3 4 5 2 3" xfId="22220" xr:uid="{E5FDE3EC-7452-476B-9EAD-0CA960647BB1}"/>
    <cellStyle name="Normal 8 3 4 5 2 3 2" xfId="39114" xr:uid="{1B6EBA05-DFE1-4D9A-B20E-9A5E49D32AEC}"/>
    <cellStyle name="Normal 8 3 4 5 2 4" xfId="13773" xr:uid="{37EC8DA5-6BB7-4572-9F59-89F4A24A0470}"/>
    <cellStyle name="Normal 8 3 4 5 2 5" xfId="30667" xr:uid="{FF963B17-95C0-4752-BF55-9634ECF5259E}"/>
    <cellStyle name="Normal 8 3 4 5 3" xfId="6519" xr:uid="{00000000-0005-0000-0000-0000B91D0000}"/>
    <cellStyle name="Normal 8 3 4 5 3 2" xfId="24292" xr:uid="{DA50B7A0-A2DD-49DA-B0DE-D5B0EA96A5CE}"/>
    <cellStyle name="Normal 8 3 4 5 3 2 2" xfId="41186" xr:uid="{38DA2ACD-3B8B-4ACB-9E37-54064A465941}"/>
    <cellStyle name="Normal 8 3 4 5 3 3" xfId="15845" xr:uid="{40543141-6436-4E1E-A244-384B93B3E213}"/>
    <cellStyle name="Normal 8 3 4 5 3 4" xfId="32739" xr:uid="{FC854BD1-2BAE-4672-9C98-9C4AF89E48A9}"/>
    <cellStyle name="Normal 8 3 4 5 4" xfId="20075" xr:uid="{1FEA189E-989B-472A-8587-959C5F6591C4}"/>
    <cellStyle name="Normal 8 3 4 5 4 2" xfId="36969" xr:uid="{1E88139E-F2FD-4103-98DA-C8E7A91E36A6}"/>
    <cellStyle name="Normal 8 3 4 5 5" xfId="11628" xr:uid="{AD5112A2-DDB2-417A-A025-F67CC7E3ADBD}"/>
    <cellStyle name="Normal 8 3 4 5 6" xfId="28522" xr:uid="{3C336FA7-3467-4E8E-B473-F00E76351EDB}"/>
    <cellStyle name="Normal 8 3 4 6" xfId="2649" xr:uid="{00000000-0005-0000-0000-0000BA1D0000}"/>
    <cellStyle name="Normal 8 3 4 6 2" xfId="6932" xr:uid="{00000000-0005-0000-0000-0000BB1D0000}"/>
    <cellStyle name="Normal 8 3 4 6 2 2" xfId="24705" xr:uid="{69BD4CA7-1EF9-4893-85D4-3531392E17A5}"/>
    <cellStyle name="Normal 8 3 4 6 2 2 2" xfId="41599" xr:uid="{777075A9-E0E1-4D85-BB7B-1F299BAD503B}"/>
    <cellStyle name="Normal 8 3 4 6 2 3" xfId="16258" xr:uid="{0F8011D3-6C3A-4C6B-B196-B0A4A417821E}"/>
    <cellStyle name="Normal 8 3 4 6 2 4" xfId="33152" xr:uid="{122F033B-FC30-4FE9-A88E-8CCE665A64AF}"/>
    <cellStyle name="Normal 8 3 4 6 3" xfId="20488" xr:uid="{7E43439C-D39C-46F7-A0B7-68EDC1886B9F}"/>
    <cellStyle name="Normal 8 3 4 6 3 2" xfId="37382" xr:uid="{869A8424-866A-44AB-8D26-DB58C4D565E4}"/>
    <cellStyle name="Normal 8 3 4 6 4" xfId="12041" xr:uid="{1B383A39-4D81-4DD4-A6D9-331FD85E118A}"/>
    <cellStyle name="Normal 8 3 4 6 5" xfId="28935" xr:uid="{8203EF0B-1259-4FD3-8AC0-9C1681C7EBF3}"/>
    <cellStyle name="Normal 8 3 4 7" xfId="4867" xr:uid="{00000000-0005-0000-0000-0000BC1D0000}"/>
    <cellStyle name="Normal 8 3 4 7 2" xfId="22640" xr:uid="{42955C49-7E88-49BE-95B2-34C0F6FAD110}"/>
    <cellStyle name="Normal 8 3 4 7 2 2" xfId="39534" xr:uid="{B74854EC-2C42-4D80-8403-F780BFCC1A63}"/>
    <cellStyle name="Normal 8 3 4 7 3" xfId="14193" xr:uid="{7379F528-E243-4179-9CA8-BD14D36653E6}"/>
    <cellStyle name="Normal 8 3 4 7 4" xfId="31087" xr:uid="{FF04EC6D-F0C9-4025-BBD8-27A8E923A64D}"/>
    <cellStyle name="Normal 8 3 4 8" xfId="8981" xr:uid="{BEE184E9-ECE6-4107-B29A-CC8BC7F28FA3}"/>
    <cellStyle name="Normal 8 3 4 8 2" xfId="18423" xr:uid="{FE0C337F-1E0B-46B0-8D84-D5F98551D59F}"/>
    <cellStyle name="Normal 8 3 4 8 3" xfId="35317" xr:uid="{315E90CF-96EB-47C1-BBE5-1E31BC6827E4}"/>
    <cellStyle name="Normal 8 3 4 9" xfId="9976" xr:uid="{ED8C63C0-E3E2-414D-803B-ACD52A40BD66}"/>
    <cellStyle name="Normal 8 3 5" xfId="962" xr:uid="{00000000-0005-0000-0000-0000BD1D0000}"/>
    <cellStyle name="Normal 8 3 5 2" xfId="3196" xr:uid="{00000000-0005-0000-0000-0000BE1D0000}"/>
    <cellStyle name="Normal 8 3 5 2 2" xfId="7418" xr:uid="{00000000-0005-0000-0000-0000BF1D0000}"/>
    <cellStyle name="Normal 8 3 5 2 2 2" xfId="25191" xr:uid="{0BE45DB3-8955-43F7-8D09-ED598A6F45D4}"/>
    <cellStyle name="Normal 8 3 5 2 2 2 2" xfId="42085" xr:uid="{3C061635-0501-44AA-A8AE-BF2B3BE9FCC4}"/>
    <cellStyle name="Normal 8 3 5 2 2 3" xfId="16744" xr:uid="{3E94E63A-61AC-4383-92DF-8C5B52470D4B}"/>
    <cellStyle name="Normal 8 3 5 2 2 4" xfId="33638" xr:uid="{75509066-4760-4B9C-83DB-C68ABC44F7B0}"/>
    <cellStyle name="Normal 8 3 5 2 3" xfId="20974" xr:uid="{467DF33C-E433-41F3-8958-6E97C54F6219}"/>
    <cellStyle name="Normal 8 3 5 2 3 2" xfId="37868" xr:uid="{709B5A21-AF26-47D5-B184-7FE5BD1EB49E}"/>
    <cellStyle name="Normal 8 3 5 2 4" xfId="12527" xr:uid="{DACD2FA8-42BA-4412-B830-54A9734973D6}"/>
    <cellStyle name="Normal 8 3 5 2 5" xfId="29421" xr:uid="{49BA6E07-0866-430E-B123-A71893222A69}"/>
    <cellStyle name="Normal 8 3 5 3" xfId="5273" xr:uid="{00000000-0005-0000-0000-0000C01D0000}"/>
    <cellStyle name="Normal 8 3 5 3 2" xfId="23046" xr:uid="{E88D78C6-2F2E-4243-ACA2-6BC48985479F}"/>
    <cellStyle name="Normal 8 3 5 3 2 2" xfId="39940" xr:uid="{50572E7C-61DC-4465-BF8B-B19CB3D66934}"/>
    <cellStyle name="Normal 8 3 5 3 3" xfId="14599" xr:uid="{C38599B7-B6A2-4FEB-8F88-21A532CA6A21}"/>
    <cellStyle name="Normal 8 3 5 3 4" xfId="31493" xr:uid="{B2927BC1-5364-45A0-991D-EFF0F4B2B524}"/>
    <cellStyle name="Normal 8 3 5 4" xfId="9198" xr:uid="{FA5A5C79-C3AC-4E17-9344-90C4E411EE0B}"/>
    <cellStyle name="Normal 8 3 5 4 2" xfId="18829" xr:uid="{5C457CCE-7121-4F1E-BEE6-59155C5ADE94}"/>
    <cellStyle name="Normal 8 3 5 4 3" xfId="35723" xr:uid="{38E97D56-8ABE-4775-B3AD-BAF2EA2ADF18}"/>
    <cellStyle name="Normal 8 3 5 5" xfId="10382" xr:uid="{EAFC5B8C-0727-4346-8DC0-AB0EC6221F38}"/>
    <cellStyle name="Normal 8 3 5 6" xfId="27276" xr:uid="{30A4E77A-CE3D-4223-9031-55990574D350}"/>
    <cellStyle name="Normal 8 3 6" xfId="1379" xr:uid="{00000000-0005-0000-0000-0000C11D0000}"/>
    <cellStyle name="Normal 8 3 6 2" xfId="3609" xr:uid="{00000000-0005-0000-0000-0000C21D0000}"/>
    <cellStyle name="Normal 8 3 6 2 2" xfId="7831" xr:uid="{00000000-0005-0000-0000-0000C31D0000}"/>
    <cellStyle name="Normal 8 3 6 2 2 2" xfId="25604" xr:uid="{5A82F70C-DFC0-4205-8124-A0AEB2170434}"/>
    <cellStyle name="Normal 8 3 6 2 2 2 2" xfId="42498" xr:uid="{B564B4E6-7B51-4DE9-B6E4-D5C46C49A145}"/>
    <cellStyle name="Normal 8 3 6 2 2 3" xfId="17157" xr:uid="{BEAACF47-C36C-4200-9FC7-89B103ED9565}"/>
    <cellStyle name="Normal 8 3 6 2 2 4" xfId="34051" xr:uid="{EB4EBA27-82C3-4BC3-9106-A4F28F7E0773}"/>
    <cellStyle name="Normal 8 3 6 2 3" xfId="21387" xr:uid="{F0E81810-541A-42EB-8513-AF86A1945C32}"/>
    <cellStyle name="Normal 8 3 6 2 3 2" xfId="38281" xr:uid="{A656B65D-91E9-4A3D-B3B5-4A905E1A341F}"/>
    <cellStyle name="Normal 8 3 6 2 4" xfId="12940" xr:uid="{D620B671-4CC1-41BE-A8CB-FE550D1BAAC1}"/>
    <cellStyle name="Normal 8 3 6 2 5" xfId="29834" xr:uid="{AE7454F1-6FAD-41E0-B6C5-78822759424F}"/>
    <cellStyle name="Normal 8 3 6 3" xfId="5686" xr:uid="{00000000-0005-0000-0000-0000C41D0000}"/>
    <cellStyle name="Normal 8 3 6 3 2" xfId="23459" xr:uid="{A9708645-B0F6-40E6-9317-8D14631219EE}"/>
    <cellStyle name="Normal 8 3 6 3 2 2" xfId="40353" xr:uid="{E7E3E58B-0DA0-4848-A89D-CB09E072E391}"/>
    <cellStyle name="Normal 8 3 6 3 3" xfId="15012" xr:uid="{0759F77D-8E41-4D34-8743-447C6C598FEB}"/>
    <cellStyle name="Normal 8 3 6 3 4" xfId="31906" xr:uid="{0E586BBF-5BDA-466F-9CA4-4A73A52F7037}"/>
    <cellStyle name="Normal 8 3 6 4" xfId="19242" xr:uid="{B667CC64-2184-435E-808C-197CA07CD4E6}"/>
    <cellStyle name="Normal 8 3 6 4 2" xfId="36136" xr:uid="{14A95679-8C0E-4993-B307-DE428075EF2F}"/>
    <cellStyle name="Normal 8 3 6 5" xfId="10795" xr:uid="{EADDAC2A-90B3-4AF5-BA79-56FD2886E301}"/>
    <cellStyle name="Normal 8 3 6 6" xfId="27689" xr:uid="{6C317B9D-8515-4DF9-BDE8-D246D9FF6803}"/>
    <cellStyle name="Normal 8 3 7" xfId="1792" xr:uid="{00000000-0005-0000-0000-0000C51D0000}"/>
    <cellStyle name="Normal 8 3 7 2" xfId="4022" xr:uid="{00000000-0005-0000-0000-0000C61D0000}"/>
    <cellStyle name="Normal 8 3 7 2 2" xfId="8244" xr:uid="{00000000-0005-0000-0000-0000C71D0000}"/>
    <cellStyle name="Normal 8 3 7 2 2 2" xfId="26017" xr:uid="{8F7D5814-970B-43C4-A518-3B1BAD3C2530}"/>
    <cellStyle name="Normal 8 3 7 2 2 2 2" xfId="42911" xr:uid="{FFA53972-0EFE-4EE3-8C1F-88F9CCF15399}"/>
    <cellStyle name="Normal 8 3 7 2 2 3" xfId="17570" xr:uid="{9ACEFC67-E8A2-43A6-B064-5C641138EA47}"/>
    <cellStyle name="Normal 8 3 7 2 2 4" xfId="34464" xr:uid="{A509414C-CD3A-4870-8E80-65D5D45CCCD3}"/>
    <cellStyle name="Normal 8 3 7 2 3" xfId="21800" xr:uid="{53F3E471-0D06-41E5-B47A-5D7CC5BFC7B2}"/>
    <cellStyle name="Normal 8 3 7 2 3 2" xfId="38694" xr:uid="{5DF52628-324E-461A-BCB4-0BFB554265CE}"/>
    <cellStyle name="Normal 8 3 7 2 4" xfId="13353" xr:uid="{7D2745AC-A4F7-4818-98EC-5878F6A485AD}"/>
    <cellStyle name="Normal 8 3 7 2 5" xfId="30247" xr:uid="{193DB416-F030-4835-95B0-FD41E30545C9}"/>
    <cellStyle name="Normal 8 3 7 3" xfId="6099" xr:uid="{00000000-0005-0000-0000-0000C81D0000}"/>
    <cellStyle name="Normal 8 3 7 3 2" xfId="23872" xr:uid="{51BBE355-1A1D-4E85-A44E-9A621C9475AE}"/>
    <cellStyle name="Normal 8 3 7 3 2 2" xfId="40766" xr:uid="{FE087CEE-2F1B-4F21-B355-F3633679A3BD}"/>
    <cellStyle name="Normal 8 3 7 3 3" xfId="15425" xr:uid="{153DCFBD-4132-4676-B65E-3A015294E140}"/>
    <cellStyle name="Normal 8 3 7 3 4" xfId="32319" xr:uid="{C0E6913B-B0A8-4F23-91A8-8B34FEF9F2E5}"/>
    <cellStyle name="Normal 8 3 7 4" xfId="19655" xr:uid="{79299C81-D680-45C8-8496-1E741D14D771}"/>
    <cellStyle name="Normal 8 3 7 4 2" xfId="36549" xr:uid="{6D81B13E-F5BD-42B2-AFF3-DF1131C5E336}"/>
    <cellStyle name="Normal 8 3 7 5" xfId="11208" xr:uid="{793B5F79-A245-45B4-BBB3-ABBA5716E0BE}"/>
    <cellStyle name="Normal 8 3 7 6" xfId="28102" xr:uid="{3BBABE2A-A735-4B34-8FE4-D21E407859BA}"/>
    <cellStyle name="Normal 8 3 8" xfId="2206" xr:uid="{00000000-0005-0000-0000-0000C91D0000}"/>
    <cellStyle name="Normal 8 3 8 2" xfId="4435" xr:uid="{00000000-0005-0000-0000-0000CA1D0000}"/>
    <cellStyle name="Normal 8 3 8 2 2" xfId="8657" xr:uid="{00000000-0005-0000-0000-0000CB1D0000}"/>
    <cellStyle name="Normal 8 3 8 2 2 2" xfId="26430" xr:uid="{3B6033E5-C690-43C1-B523-7F03ADCAA542}"/>
    <cellStyle name="Normal 8 3 8 2 2 2 2" xfId="43324" xr:uid="{E47D5787-E476-4261-AD6F-28124A295C79}"/>
    <cellStyle name="Normal 8 3 8 2 2 3" xfId="17983" xr:uid="{2F019DFC-B8AC-4A48-A367-384B5E056E66}"/>
    <cellStyle name="Normal 8 3 8 2 2 4" xfId="34877" xr:uid="{149A56D2-E65A-4349-9044-1243AEC2C69F}"/>
    <cellStyle name="Normal 8 3 8 2 3" xfId="22213" xr:uid="{BB3105E6-6994-4F61-B60B-40692DFEF66B}"/>
    <cellStyle name="Normal 8 3 8 2 3 2" xfId="39107" xr:uid="{AA19D346-C77C-42F2-B5A8-78135F480E8D}"/>
    <cellStyle name="Normal 8 3 8 2 4" xfId="13766" xr:uid="{218B628E-C83A-4D83-9B8A-4553CD15E1D5}"/>
    <cellStyle name="Normal 8 3 8 2 5" xfId="30660" xr:uid="{BBB06C7D-ACB4-4D2D-81FF-C3384C2F8707}"/>
    <cellStyle name="Normal 8 3 8 3" xfId="6512" xr:uid="{00000000-0005-0000-0000-0000CC1D0000}"/>
    <cellStyle name="Normal 8 3 8 3 2" xfId="24285" xr:uid="{E8B11473-4D35-434D-80BB-C165AD5E3302}"/>
    <cellStyle name="Normal 8 3 8 3 2 2" xfId="41179" xr:uid="{F373A329-E548-4AF0-A5A2-5EC71E81A4D8}"/>
    <cellStyle name="Normal 8 3 8 3 3" xfId="15838" xr:uid="{C8508631-3303-4AF0-9626-C51A52C6AD13}"/>
    <cellStyle name="Normal 8 3 8 3 4" xfId="32732" xr:uid="{5FD41132-9B15-4F4A-822E-421FA8D74871}"/>
    <cellStyle name="Normal 8 3 8 4" xfId="20068" xr:uid="{139B50C8-5090-4F5E-8EBE-A5F6CB74DB41}"/>
    <cellStyle name="Normal 8 3 8 4 2" xfId="36962" xr:uid="{3A969CA4-8359-4B62-93DF-0BB34AFF8516}"/>
    <cellStyle name="Normal 8 3 8 5" xfId="11621" xr:uid="{6FBC708A-DC28-4D8E-877E-677AF5555188}"/>
    <cellStyle name="Normal 8 3 8 6" xfId="28515" xr:uid="{197FE281-ADDE-4BF4-9225-2BC3906C5175}"/>
    <cellStyle name="Normal 8 3 9" xfId="2642" xr:uid="{00000000-0005-0000-0000-0000CD1D0000}"/>
    <cellStyle name="Normal 8 3 9 2" xfId="6925" xr:uid="{00000000-0005-0000-0000-0000CE1D0000}"/>
    <cellStyle name="Normal 8 3 9 2 2" xfId="24698" xr:uid="{D2EA0507-41AF-4087-9BE5-F0ED1D7A714C}"/>
    <cellStyle name="Normal 8 3 9 2 2 2" xfId="41592" xr:uid="{46BDFB9D-5F8E-4297-9ACF-D4F6577CFA63}"/>
    <cellStyle name="Normal 8 3 9 2 3" xfId="16251" xr:uid="{0C9AA1BA-8273-4F56-8F9F-E8D242D2AAF9}"/>
    <cellStyle name="Normal 8 3 9 2 4" xfId="33145" xr:uid="{D1042123-BFB8-4CA9-9E29-5B93C53D96B6}"/>
    <cellStyle name="Normal 8 3 9 3" xfId="20481" xr:uid="{A8A7D79A-B9D2-44CE-A5DA-57AF2D57AD84}"/>
    <cellStyle name="Normal 8 3 9 3 2" xfId="37375" xr:uid="{B01A87DF-CFFB-4712-A4E9-BB7148484229}"/>
    <cellStyle name="Normal 8 3 9 4" xfId="12034" xr:uid="{22C36522-7A3C-43B6-B7A2-0FB5FA231FFF}"/>
    <cellStyle name="Normal 8 3 9 5" xfId="28928" xr:uid="{F90E7F9A-A17A-44AA-A01F-6F111FAB9A07}"/>
    <cellStyle name="Normal 8 4" xfId="503" xr:uid="{00000000-0005-0000-0000-0000CF1D0000}"/>
    <cellStyle name="Normal 8 4 10" xfId="8834" xr:uid="{78848A4E-06FA-4050-B553-A3A7DEA1B047}"/>
    <cellStyle name="Normal 8 4 10 2" xfId="18424" xr:uid="{BFB47BFD-4513-481C-97ED-7AA3CC3EC227}"/>
    <cellStyle name="Normal 8 4 10 3" xfId="35318" xr:uid="{6F1409C4-7FA3-4DD6-BDE6-9D437C8570C2}"/>
    <cellStyle name="Normal 8 4 11" xfId="9977" xr:uid="{3B1DF4A1-CB05-45FD-87A3-ECE1E238D054}"/>
    <cellStyle name="Normal 8 4 12" xfId="26871" xr:uid="{F23D14D5-A77E-4921-8D67-B5CF26E7F41E}"/>
    <cellStyle name="Normal 8 4 2" xfId="504" xr:uid="{00000000-0005-0000-0000-0000D01D0000}"/>
    <cellStyle name="Normal 8 4 2 10" xfId="9978" xr:uid="{D46B1220-469C-4E87-A8E6-3D0E8CAF0FEE}"/>
    <cellStyle name="Normal 8 4 2 11" xfId="26872" xr:uid="{B8CB1536-B205-424A-8190-980D4BCD2A6E}"/>
    <cellStyle name="Normal 8 4 2 2" xfId="505" xr:uid="{00000000-0005-0000-0000-0000D11D0000}"/>
    <cellStyle name="Normal 8 4 2 2 10" xfId="26873" xr:uid="{C047EE65-3F71-4A39-BBC0-A930CB382C86}"/>
    <cellStyle name="Normal 8 4 2 2 2" xfId="972" xr:uid="{00000000-0005-0000-0000-0000D21D0000}"/>
    <cellStyle name="Normal 8 4 2 2 2 2" xfId="3206" xr:uid="{00000000-0005-0000-0000-0000D31D0000}"/>
    <cellStyle name="Normal 8 4 2 2 2 2 2" xfId="7428" xr:uid="{00000000-0005-0000-0000-0000D41D0000}"/>
    <cellStyle name="Normal 8 4 2 2 2 2 2 2" xfId="25201" xr:uid="{4C6300C8-1799-446F-9689-428788AA31AE}"/>
    <cellStyle name="Normal 8 4 2 2 2 2 2 2 2" xfId="42095" xr:uid="{5C17981A-CE1B-4239-A1E6-E2C1731033B1}"/>
    <cellStyle name="Normal 8 4 2 2 2 2 2 3" xfId="16754" xr:uid="{6D77BE9D-0A8F-40E4-984E-899174F1455D}"/>
    <cellStyle name="Normal 8 4 2 2 2 2 2 4" xfId="33648" xr:uid="{E6866A8E-6C24-4ADA-89E9-D5A4C4F886D2}"/>
    <cellStyle name="Normal 8 4 2 2 2 2 3" xfId="20984" xr:uid="{E530E641-3FDB-4077-93E2-E00B34F3C884}"/>
    <cellStyle name="Normal 8 4 2 2 2 2 3 2" xfId="37878" xr:uid="{7DBC251E-E483-40A2-83E9-7DA0D9CF8976}"/>
    <cellStyle name="Normal 8 4 2 2 2 2 4" xfId="12537" xr:uid="{27F09B2A-F48F-44B9-89E2-C4374EBCD1CD}"/>
    <cellStyle name="Normal 8 4 2 2 2 2 5" xfId="29431" xr:uid="{7A7A3394-D2D7-485D-8F8D-01BFC3902019}"/>
    <cellStyle name="Normal 8 4 2 2 2 3" xfId="5283" xr:uid="{00000000-0005-0000-0000-0000D51D0000}"/>
    <cellStyle name="Normal 8 4 2 2 2 3 2" xfId="23056" xr:uid="{264675DC-E5AF-4AB4-9DB2-DC3C8EBD559D}"/>
    <cellStyle name="Normal 8 4 2 2 2 3 2 2" xfId="39950" xr:uid="{04CBA1D7-D872-46D3-9D56-B5768DEBF4E0}"/>
    <cellStyle name="Normal 8 4 2 2 2 3 3" xfId="14609" xr:uid="{444CBD8E-D449-451B-B9BF-D24AB6E10B0F}"/>
    <cellStyle name="Normal 8 4 2 2 2 3 4" xfId="31503" xr:uid="{27D32C51-D390-43FF-856F-1AF93BD47C85}"/>
    <cellStyle name="Normal 8 4 2 2 2 4" xfId="9569" xr:uid="{F21122F8-27BB-4D46-891E-281F736F5353}"/>
    <cellStyle name="Normal 8 4 2 2 2 4 2" xfId="18839" xr:uid="{18D0EB99-81C9-4F41-A9C5-4157E21EAE79}"/>
    <cellStyle name="Normal 8 4 2 2 2 4 3" xfId="35733" xr:uid="{1F158006-6E17-4B01-8DCA-F7ADDC92F998}"/>
    <cellStyle name="Normal 8 4 2 2 2 5" xfId="10392" xr:uid="{0665C9D5-0840-47AE-ABE3-E70CD9678712}"/>
    <cellStyle name="Normal 8 4 2 2 2 6" xfId="27286" xr:uid="{8F9FC8DE-F28B-4351-BF63-E284869ECA80}"/>
    <cellStyle name="Normal 8 4 2 2 3" xfId="1389" xr:uid="{00000000-0005-0000-0000-0000D61D0000}"/>
    <cellStyle name="Normal 8 4 2 2 3 2" xfId="3619" xr:uid="{00000000-0005-0000-0000-0000D71D0000}"/>
    <cellStyle name="Normal 8 4 2 2 3 2 2" xfId="7841" xr:uid="{00000000-0005-0000-0000-0000D81D0000}"/>
    <cellStyle name="Normal 8 4 2 2 3 2 2 2" xfId="25614" xr:uid="{A04E70B7-A179-4DDA-B401-67C5BEEC7D1A}"/>
    <cellStyle name="Normal 8 4 2 2 3 2 2 2 2" xfId="42508" xr:uid="{4E100CAF-E7D8-49C5-AFBD-40819835B5EF}"/>
    <cellStyle name="Normal 8 4 2 2 3 2 2 3" xfId="17167" xr:uid="{D35E0FD6-41E9-4407-AFD9-71430EA33421}"/>
    <cellStyle name="Normal 8 4 2 2 3 2 2 4" xfId="34061" xr:uid="{D56966E0-39BA-4595-B9A4-A66AC7402251}"/>
    <cellStyle name="Normal 8 4 2 2 3 2 3" xfId="21397" xr:uid="{04BFD1B9-FE86-433D-8AAF-741707460054}"/>
    <cellStyle name="Normal 8 4 2 2 3 2 3 2" xfId="38291" xr:uid="{02B9F717-6D5B-45F2-9686-F530DA882154}"/>
    <cellStyle name="Normal 8 4 2 2 3 2 4" xfId="12950" xr:uid="{1040E061-B244-4837-B7FE-D38767A59FC1}"/>
    <cellStyle name="Normal 8 4 2 2 3 2 5" xfId="29844" xr:uid="{2E4EC917-DA5C-4274-B876-E3692BFC2E15}"/>
    <cellStyle name="Normal 8 4 2 2 3 3" xfId="5696" xr:uid="{00000000-0005-0000-0000-0000D91D0000}"/>
    <cellStyle name="Normal 8 4 2 2 3 3 2" xfId="23469" xr:uid="{EC0D8E58-0B1A-410E-8070-9B7259FE1116}"/>
    <cellStyle name="Normal 8 4 2 2 3 3 2 2" xfId="40363" xr:uid="{0C4FBC4F-9ABA-44A6-B639-0F67A9CB2FF0}"/>
    <cellStyle name="Normal 8 4 2 2 3 3 3" xfId="15022" xr:uid="{2E864380-9E93-4911-B0BE-ED0E7753F4E1}"/>
    <cellStyle name="Normal 8 4 2 2 3 3 4" xfId="31916" xr:uid="{0D1AFC1F-735A-4F2F-AC4B-E9E39A5B127C}"/>
    <cellStyle name="Normal 8 4 2 2 3 4" xfId="19252" xr:uid="{CB4A340E-B8E9-45E7-9B3A-2F9FE6C92C6F}"/>
    <cellStyle name="Normal 8 4 2 2 3 4 2" xfId="36146" xr:uid="{F0A61721-E8C0-4164-ACB3-BBCAAD141647}"/>
    <cellStyle name="Normal 8 4 2 2 3 5" xfId="10805" xr:uid="{9E6344D4-8461-48B5-8FA2-291D547348F2}"/>
    <cellStyle name="Normal 8 4 2 2 3 6" xfId="27699" xr:uid="{51E3921D-245B-411D-B8E2-626F9810C9EC}"/>
    <cellStyle name="Normal 8 4 2 2 4" xfId="1802" xr:uid="{00000000-0005-0000-0000-0000DA1D0000}"/>
    <cellStyle name="Normal 8 4 2 2 4 2" xfId="4032" xr:uid="{00000000-0005-0000-0000-0000DB1D0000}"/>
    <cellStyle name="Normal 8 4 2 2 4 2 2" xfId="8254" xr:uid="{00000000-0005-0000-0000-0000DC1D0000}"/>
    <cellStyle name="Normal 8 4 2 2 4 2 2 2" xfId="26027" xr:uid="{0E9DB4F4-A426-4496-9537-B53D1D6428ED}"/>
    <cellStyle name="Normal 8 4 2 2 4 2 2 2 2" xfId="42921" xr:uid="{1B6AD7F2-029B-4C23-ACD1-A4C5B41171A5}"/>
    <cellStyle name="Normal 8 4 2 2 4 2 2 3" xfId="17580" xr:uid="{5D8C518D-2A21-4D91-AE8E-63A5484BB272}"/>
    <cellStyle name="Normal 8 4 2 2 4 2 2 4" xfId="34474" xr:uid="{1F339A93-AB7A-4537-8B98-BE899C339BF0}"/>
    <cellStyle name="Normal 8 4 2 2 4 2 3" xfId="21810" xr:uid="{988441E0-8DD8-4725-AA40-485F87CF9288}"/>
    <cellStyle name="Normal 8 4 2 2 4 2 3 2" xfId="38704" xr:uid="{83F37539-5C5A-41EF-A7E5-6FE1D1033C28}"/>
    <cellStyle name="Normal 8 4 2 2 4 2 4" xfId="13363" xr:uid="{F64FD719-75BF-4A51-9B68-02C08B127DB2}"/>
    <cellStyle name="Normal 8 4 2 2 4 2 5" xfId="30257" xr:uid="{3A93405B-1B49-4A23-82C0-D455A6C64DD3}"/>
    <cellStyle name="Normal 8 4 2 2 4 3" xfId="6109" xr:uid="{00000000-0005-0000-0000-0000DD1D0000}"/>
    <cellStyle name="Normal 8 4 2 2 4 3 2" xfId="23882" xr:uid="{57CFE4D1-9A6F-4AB2-9541-D7A1D8D3FB05}"/>
    <cellStyle name="Normal 8 4 2 2 4 3 2 2" xfId="40776" xr:uid="{0D2C3008-E6A3-4518-AF86-E2D319866EB9}"/>
    <cellStyle name="Normal 8 4 2 2 4 3 3" xfId="15435" xr:uid="{CBC8F6DB-2616-4591-8D0A-10DF14C6DA82}"/>
    <cellStyle name="Normal 8 4 2 2 4 3 4" xfId="32329" xr:uid="{3ED67D52-844F-469C-A956-5085E1EB383E}"/>
    <cellStyle name="Normal 8 4 2 2 4 4" xfId="19665" xr:uid="{8F16DFA2-1387-476E-88E5-E28B03B19F56}"/>
    <cellStyle name="Normal 8 4 2 2 4 4 2" xfId="36559" xr:uid="{2DE262E2-5F3C-4EA7-A549-35D0C2549964}"/>
    <cellStyle name="Normal 8 4 2 2 4 5" xfId="11218" xr:uid="{BA10BBC5-DACF-4E58-8631-AD817A360EE0}"/>
    <cellStyle name="Normal 8 4 2 2 4 6" xfId="28112" xr:uid="{23C36DF9-5229-4B50-9CD6-B9F03F85EC7D}"/>
    <cellStyle name="Normal 8 4 2 2 5" xfId="2216" xr:uid="{00000000-0005-0000-0000-0000DE1D0000}"/>
    <cellStyle name="Normal 8 4 2 2 5 2" xfId="4445" xr:uid="{00000000-0005-0000-0000-0000DF1D0000}"/>
    <cellStyle name="Normal 8 4 2 2 5 2 2" xfId="8667" xr:uid="{00000000-0005-0000-0000-0000E01D0000}"/>
    <cellStyle name="Normal 8 4 2 2 5 2 2 2" xfId="26440" xr:uid="{244837C3-369C-4370-BA96-E73089051577}"/>
    <cellStyle name="Normal 8 4 2 2 5 2 2 2 2" xfId="43334" xr:uid="{418FA47F-C1E2-4422-988C-5344D9002B5D}"/>
    <cellStyle name="Normal 8 4 2 2 5 2 2 3" xfId="17993" xr:uid="{8268BD8A-1501-4AC2-90AA-65DF23CDF6AA}"/>
    <cellStyle name="Normal 8 4 2 2 5 2 2 4" xfId="34887" xr:uid="{964024C1-2B8D-4CE8-BDDA-E81BE3612253}"/>
    <cellStyle name="Normal 8 4 2 2 5 2 3" xfId="22223" xr:uid="{23383349-71D6-4D5D-A449-D4F54D97D044}"/>
    <cellStyle name="Normal 8 4 2 2 5 2 3 2" xfId="39117" xr:uid="{ABB541DE-BC68-4EC1-9A10-219935E185A7}"/>
    <cellStyle name="Normal 8 4 2 2 5 2 4" xfId="13776" xr:uid="{4F419D6E-89EA-4BC8-9477-CFD2AFB670EC}"/>
    <cellStyle name="Normal 8 4 2 2 5 2 5" xfId="30670" xr:uid="{C508C39C-5090-41DF-8418-460A01F0AD97}"/>
    <cellStyle name="Normal 8 4 2 2 5 3" xfId="6522" xr:uid="{00000000-0005-0000-0000-0000E11D0000}"/>
    <cellStyle name="Normal 8 4 2 2 5 3 2" xfId="24295" xr:uid="{6B9EDEA4-7887-439C-87A5-74D819C4D045}"/>
    <cellStyle name="Normal 8 4 2 2 5 3 2 2" xfId="41189" xr:uid="{1BB05D72-5FB4-4F94-96D7-817B6570A394}"/>
    <cellStyle name="Normal 8 4 2 2 5 3 3" xfId="15848" xr:uid="{54E06314-08E7-46CF-8C15-5214FEB2AB2F}"/>
    <cellStyle name="Normal 8 4 2 2 5 3 4" xfId="32742" xr:uid="{007C33C0-6121-439B-AE8E-FF3DE412DB96}"/>
    <cellStyle name="Normal 8 4 2 2 5 4" xfId="20078" xr:uid="{17324723-76D3-4ACC-9CC1-9336B014E90A}"/>
    <cellStyle name="Normal 8 4 2 2 5 4 2" xfId="36972" xr:uid="{711DA8E5-4C70-47ED-85FA-C8CC5BC1AF50}"/>
    <cellStyle name="Normal 8 4 2 2 5 5" xfId="11631" xr:uid="{986C986D-FE56-485B-AB3C-1500912F9B43}"/>
    <cellStyle name="Normal 8 4 2 2 5 6" xfId="28525" xr:uid="{2D5FFBB5-D89C-4D59-A743-F3D34D47456E}"/>
    <cellStyle name="Normal 8 4 2 2 6" xfId="2652" xr:uid="{00000000-0005-0000-0000-0000E21D0000}"/>
    <cellStyle name="Normal 8 4 2 2 6 2" xfId="6935" xr:uid="{00000000-0005-0000-0000-0000E31D0000}"/>
    <cellStyle name="Normal 8 4 2 2 6 2 2" xfId="24708" xr:uid="{9BDD381B-4225-4422-B70F-47B9F33B251D}"/>
    <cellStyle name="Normal 8 4 2 2 6 2 2 2" xfId="41602" xr:uid="{3CFAD2DC-34B5-4560-BF72-B19B9C711C18}"/>
    <cellStyle name="Normal 8 4 2 2 6 2 3" xfId="16261" xr:uid="{A38F36AC-CF72-43C8-95A3-7ABAD0268879}"/>
    <cellStyle name="Normal 8 4 2 2 6 2 4" xfId="33155" xr:uid="{B4039970-86DC-4CD3-8536-E53E916E8170}"/>
    <cellStyle name="Normal 8 4 2 2 6 3" xfId="20491" xr:uid="{2126E52F-E44F-41AC-AA47-44CA199D2E3A}"/>
    <cellStyle name="Normal 8 4 2 2 6 3 2" xfId="37385" xr:uid="{46BC15B7-B978-4AE2-8822-1BBCD4CAC29E}"/>
    <cellStyle name="Normal 8 4 2 2 6 4" xfId="12044" xr:uid="{26B19C2E-A7E3-49BC-95C6-6534487A7CDE}"/>
    <cellStyle name="Normal 8 4 2 2 6 5" xfId="28938" xr:uid="{F167CD86-F20F-471C-AD3E-A019753FCBEC}"/>
    <cellStyle name="Normal 8 4 2 2 7" xfId="4870" xr:uid="{00000000-0005-0000-0000-0000E41D0000}"/>
    <cellStyle name="Normal 8 4 2 2 7 2" xfId="22643" xr:uid="{063BCAB6-4543-4D98-B775-09E168B27674}"/>
    <cellStyle name="Normal 8 4 2 2 7 2 2" xfId="39537" xr:uid="{3EC574D8-F1B8-4689-9C26-ED1C113D3167}"/>
    <cellStyle name="Normal 8 4 2 2 7 3" xfId="14196" xr:uid="{A5C5B40E-B020-424E-A8B7-259F12D9235E}"/>
    <cellStyle name="Normal 8 4 2 2 7 4" xfId="31090" xr:uid="{FE1AE0CA-E778-4E84-8EEF-2E4F04667CFE}"/>
    <cellStyle name="Normal 8 4 2 2 8" xfId="9144" xr:uid="{EF6B0978-3DE8-47DC-990C-0B47AAC8F1DC}"/>
    <cellStyle name="Normal 8 4 2 2 8 2" xfId="18426" xr:uid="{8B930260-98FB-4AC3-9C2B-849608586BE8}"/>
    <cellStyle name="Normal 8 4 2 2 8 3" xfId="35320" xr:uid="{BC09AF6D-AFC3-44C7-9556-503DA1C8AE5A}"/>
    <cellStyle name="Normal 8 4 2 2 9" xfId="9979" xr:uid="{2C1DA14F-57F0-4AA7-8AEE-5A70BACAF210}"/>
    <cellStyle name="Normal 8 4 2 3" xfId="971" xr:uid="{00000000-0005-0000-0000-0000E51D0000}"/>
    <cellStyle name="Normal 8 4 2 3 2" xfId="3205" xr:uid="{00000000-0005-0000-0000-0000E61D0000}"/>
    <cellStyle name="Normal 8 4 2 3 2 2" xfId="7427" xr:uid="{00000000-0005-0000-0000-0000E71D0000}"/>
    <cellStyle name="Normal 8 4 2 3 2 2 2" xfId="25200" xr:uid="{F71A5B8D-BE14-4853-8D0E-3D672CD64F76}"/>
    <cellStyle name="Normal 8 4 2 3 2 2 2 2" xfId="42094" xr:uid="{E0BA411C-7C2A-412A-B03C-9EC9A4417FB1}"/>
    <cellStyle name="Normal 8 4 2 3 2 2 3" xfId="16753" xr:uid="{E1A63661-F59F-4EF3-BFB2-FA98934AA732}"/>
    <cellStyle name="Normal 8 4 2 3 2 2 4" xfId="33647" xr:uid="{A38559EA-6ACD-43E0-B6A9-C0848DBD60AC}"/>
    <cellStyle name="Normal 8 4 2 3 2 3" xfId="20983" xr:uid="{1AAB0E25-F22A-4005-BD4F-940F7B3FFE1A}"/>
    <cellStyle name="Normal 8 4 2 3 2 3 2" xfId="37877" xr:uid="{A4739973-BCEB-4FEE-BBAB-05AD8D55D2F5}"/>
    <cellStyle name="Normal 8 4 2 3 2 4" xfId="12536" xr:uid="{C5661048-7DB8-40DC-8FA3-C11B89EDB9CE}"/>
    <cellStyle name="Normal 8 4 2 3 2 5" xfId="29430" xr:uid="{32B0DDCB-6D02-4DDE-B40C-0831C279C729}"/>
    <cellStyle name="Normal 8 4 2 3 3" xfId="5282" xr:uid="{00000000-0005-0000-0000-0000E81D0000}"/>
    <cellStyle name="Normal 8 4 2 3 3 2" xfId="23055" xr:uid="{B2BCCC4F-2A47-4ED3-93D3-CF6569AF7FB1}"/>
    <cellStyle name="Normal 8 4 2 3 3 2 2" xfId="39949" xr:uid="{97DFEA00-1107-4916-953B-16396809DB49}"/>
    <cellStyle name="Normal 8 4 2 3 3 3" xfId="14608" xr:uid="{A71B02EA-5CF3-465B-A506-9A6CE3FA0E58}"/>
    <cellStyle name="Normal 8 4 2 3 3 4" xfId="31502" xr:uid="{F251711A-4DD7-4806-A635-746105261185}"/>
    <cellStyle name="Normal 8 4 2 3 4" xfId="9362" xr:uid="{206856BB-FDDB-4012-ABFE-5E991E477A14}"/>
    <cellStyle name="Normal 8 4 2 3 4 2" xfId="18838" xr:uid="{C414CE8B-E1D4-4890-8635-E5C8B3E744CA}"/>
    <cellStyle name="Normal 8 4 2 3 4 3" xfId="35732" xr:uid="{9F46975B-90A4-46EB-BA17-6DC3EFA1BDE6}"/>
    <cellStyle name="Normal 8 4 2 3 5" xfId="10391" xr:uid="{0A9F7AD4-D9A5-4DE6-B5A6-A061F279714A}"/>
    <cellStyle name="Normal 8 4 2 3 6" xfId="27285" xr:uid="{E4E2D1D8-54E2-400A-A21F-B92673DDA5C1}"/>
    <cellStyle name="Normal 8 4 2 4" xfId="1388" xr:uid="{00000000-0005-0000-0000-0000E91D0000}"/>
    <cellStyle name="Normal 8 4 2 4 2" xfId="3618" xr:uid="{00000000-0005-0000-0000-0000EA1D0000}"/>
    <cellStyle name="Normal 8 4 2 4 2 2" xfId="7840" xr:uid="{00000000-0005-0000-0000-0000EB1D0000}"/>
    <cellStyle name="Normal 8 4 2 4 2 2 2" xfId="25613" xr:uid="{F3CD09EA-3DB5-4F06-AE7D-E9401978F846}"/>
    <cellStyle name="Normal 8 4 2 4 2 2 2 2" xfId="42507" xr:uid="{30100ADF-3B3B-4681-83E9-7C1097EC3228}"/>
    <cellStyle name="Normal 8 4 2 4 2 2 3" xfId="17166" xr:uid="{773C6BB7-5ECA-4AA7-92B3-43A5F480F63E}"/>
    <cellStyle name="Normal 8 4 2 4 2 2 4" xfId="34060" xr:uid="{9A3FABDD-8717-4D42-AFA5-FCC583AB60F6}"/>
    <cellStyle name="Normal 8 4 2 4 2 3" xfId="21396" xr:uid="{857AA94D-9B2F-4C33-B430-7EAB78AF0C89}"/>
    <cellStyle name="Normal 8 4 2 4 2 3 2" xfId="38290" xr:uid="{5ED16F9C-6CFD-4AF7-83B3-5EFC51288B87}"/>
    <cellStyle name="Normal 8 4 2 4 2 4" xfId="12949" xr:uid="{B31C0FA8-6635-4325-BDEB-EEAD03A3EA77}"/>
    <cellStyle name="Normal 8 4 2 4 2 5" xfId="29843" xr:uid="{61E8270F-E339-4398-88B0-007EACDC715E}"/>
    <cellStyle name="Normal 8 4 2 4 3" xfId="5695" xr:uid="{00000000-0005-0000-0000-0000EC1D0000}"/>
    <cellStyle name="Normal 8 4 2 4 3 2" xfId="23468" xr:uid="{56B37FC7-34F1-449A-9F72-45C184AB29D6}"/>
    <cellStyle name="Normal 8 4 2 4 3 2 2" xfId="40362" xr:uid="{AFF02BCF-EC71-4334-9003-183280AA3AA8}"/>
    <cellStyle name="Normal 8 4 2 4 3 3" xfId="15021" xr:uid="{3FBB5617-E0B9-4242-9D68-55BCEFD8FEB9}"/>
    <cellStyle name="Normal 8 4 2 4 3 4" xfId="31915" xr:uid="{B08BFE4C-3289-40E1-94C4-17D0E8E8AD46}"/>
    <cellStyle name="Normal 8 4 2 4 4" xfId="19251" xr:uid="{6D758278-2B4A-4765-B4B5-0312E05932C2}"/>
    <cellStyle name="Normal 8 4 2 4 4 2" xfId="36145" xr:uid="{1C7E1684-74F1-4649-8BA4-C9C267990259}"/>
    <cellStyle name="Normal 8 4 2 4 5" xfId="10804" xr:uid="{F1B4CBFA-5A0A-489D-9D3D-DDFE1E5A61D0}"/>
    <cellStyle name="Normal 8 4 2 4 6" xfId="27698" xr:uid="{59E37863-C625-44FF-A491-CAF0E0E7D673}"/>
    <cellStyle name="Normal 8 4 2 5" xfId="1801" xr:uid="{00000000-0005-0000-0000-0000ED1D0000}"/>
    <cellStyle name="Normal 8 4 2 5 2" xfId="4031" xr:uid="{00000000-0005-0000-0000-0000EE1D0000}"/>
    <cellStyle name="Normal 8 4 2 5 2 2" xfId="8253" xr:uid="{00000000-0005-0000-0000-0000EF1D0000}"/>
    <cellStyle name="Normal 8 4 2 5 2 2 2" xfId="26026" xr:uid="{5C268004-9E8B-4B05-A627-0B59D672B383}"/>
    <cellStyle name="Normal 8 4 2 5 2 2 2 2" xfId="42920" xr:uid="{0875A215-AAA3-4A07-9B84-A1A00535335C}"/>
    <cellStyle name="Normal 8 4 2 5 2 2 3" xfId="17579" xr:uid="{01CB557E-697B-418C-AE45-B430AB3A8689}"/>
    <cellStyle name="Normal 8 4 2 5 2 2 4" xfId="34473" xr:uid="{F974D507-1D3D-46E9-99E0-0223D50C022D}"/>
    <cellStyle name="Normal 8 4 2 5 2 3" xfId="21809" xr:uid="{94890D47-3BA8-4DDC-A0DE-9FDB4E7DE777}"/>
    <cellStyle name="Normal 8 4 2 5 2 3 2" xfId="38703" xr:uid="{B4AF6C0E-6C12-4025-9159-A8F65C2AA5F6}"/>
    <cellStyle name="Normal 8 4 2 5 2 4" xfId="13362" xr:uid="{B6D42628-9001-4EB8-BC8B-CF73BF34FB22}"/>
    <cellStyle name="Normal 8 4 2 5 2 5" xfId="30256" xr:uid="{125E4317-53C6-4EA2-994C-9475AFC903E1}"/>
    <cellStyle name="Normal 8 4 2 5 3" xfId="6108" xr:uid="{00000000-0005-0000-0000-0000F01D0000}"/>
    <cellStyle name="Normal 8 4 2 5 3 2" xfId="23881" xr:uid="{61AAC9F2-4B84-4549-A310-A6BF6F3DC27A}"/>
    <cellStyle name="Normal 8 4 2 5 3 2 2" xfId="40775" xr:uid="{BD194440-DFE3-47EF-B6A9-78B70B249138}"/>
    <cellStyle name="Normal 8 4 2 5 3 3" xfId="15434" xr:uid="{BD33440B-F862-4154-86FD-D42B6BEF339A}"/>
    <cellStyle name="Normal 8 4 2 5 3 4" xfId="32328" xr:uid="{C32B26B4-19D0-47AF-92D9-884AF8EAD26A}"/>
    <cellStyle name="Normal 8 4 2 5 4" xfId="19664" xr:uid="{6D4B0A7F-B764-4B4F-9B36-722B510E4CCF}"/>
    <cellStyle name="Normal 8 4 2 5 4 2" xfId="36558" xr:uid="{70090E8E-B74F-49E3-8827-B356CAE1AA51}"/>
    <cellStyle name="Normal 8 4 2 5 5" xfId="11217" xr:uid="{B241B31C-8CA9-4523-BCBD-E1341EADFCDE}"/>
    <cellStyle name="Normal 8 4 2 5 6" xfId="28111" xr:uid="{2E8F515B-2A96-4B24-964A-82BF56172306}"/>
    <cellStyle name="Normal 8 4 2 6" xfId="2215" xr:uid="{00000000-0005-0000-0000-0000F11D0000}"/>
    <cellStyle name="Normal 8 4 2 6 2" xfId="4444" xr:uid="{00000000-0005-0000-0000-0000F21D0000}"/>
    <cellStyle name="Normal 8 4 2 6 2 2" xfId="8666" xr:uid="{00000000-0005-0000-0000-0000F31D0000}"/>
    <cellStyle name="Normal 8 4 2 6 2 2 2" xfId="26439" xr:uid="{EC02746D-BE4C-477D-A581-CBC36D7F8E93}"/>
    <cellStyle name="Normal 8 4 2 6 2 2 2 2" xfId="43333" xr:uid="{5612C960-7D53-486D-8C4F-1C1E58C1682E}"/>
    <cellStyle name="Normal 8 4 2 6 2 2 3" xfId="17992" xr:uid="{5CBFA170-1635-43E9-93F1-2B5D036180FB}"/>
    <cellStyle name="Normal 8 4 2 6 2 2 4" xfId="34886" xr:uid="{86F2CD74-9534-48D8-A893-4A400CCA4479}"/>
    <cellStyle name="Normal 8 4 2 6 2 3" xfId="22222" xr:uid="{0C4B86B7-05C0-466E-8487-BD901A1D2931}"/>
    <cellStyle name="Normal 8 4 2 6 2 3 2" xfId="39116" xr:uid="{ACF05605-C86A-4810-B602-64E090167BFA}"/>
    <cellStyle name="Normal 8 4 2 6 2 4" xfId="13775" xr:uid="{75629434-BE2A-47DF-86CB-DE4D8140CAD5}"/>
    <cellStyle name="Normal 8 4 2 6 2 5" xfId="30669" xr:uid="{E18C0C5A-B387-4101-978C-89E781E60030}"/>
    <cellStyle name="Normal 8 4 2 6 3" xfId="6521" xr:uid="{00000000-0005-0000-0000-0000F41D0000}"/>
    <cellStyle name="Normal 8 4 2 6 3 2" xfId="24294" xr:uid="{D14CA81B-6309-4669-ADF1-904DCC36D113}"/>
    <cellStyle name="Normal 8 4 2 6 3 2 2" xfId="41188" xr:uid="{DEB219FB-26F6-4683-8ADA-50E340F698D4}"/>
    <cellStyle name="Normal 8 4 2 6 3 3" xfId="15847" xr:uid="{EDE419D4-7F24-4CC2-8BDB-3D6888BE550D}"/>
    <cellStyle name="Normal 8 4 2 6 3 4" xfId="32741" xr:uid="{EA064CA6-9F82-4408-B00A-1570976413BF}"/>
    <cellStyle name="Normal 8 4 2 6 4" xfId="20077" xr:uid="{46464210-4DB7-4B17-8052-E7D3F9C688A3}"/>
    <cellStyle name="Normal 8 4 2 6 4 2" xfId="36971" xr:uid="{B58DB410-DFF9-4834-9CBD-45B25E4C207D}"/>
    <cellStyle name="Normal 8 4 2 6 5" xfId="11630" xr:uid="{5B2A8A1D-E854-4346-8249-647D33E0EB36}"/>
    <cellStyle name="Normal 8 4 2 6 6" xfId="28524" xr:uid="{62D29B93-61AB-452E-9CD1-D1D44490C218}"/>
    <cellStyle name="Normal 8 4 2 7" xfId="2651" xr:uid="{00000000-0005-0000-0000-0000F51D0000}"/>
    <cellStyle name="Normal 8 4 2 7 2" xfId="6934" xr:uid="{00000000-0005-0000-0000-0000F61D0000}"/>
    <cellStyle name="Normal 8 4 2 7 2 2" xfId="24707" xr:uid="{404D4CCC-8917-4B7B-A688-CD38C1BA09EE}"/>
    <cellStyle name="Normal 8 4 2 7 2 2 2" xfId="41601" xr:uid="{1252386C-B0AB-4BD9-B93E-D7ECC053FDBA}"/>
    <cellStyle name="Normal 8 4 2 7 2 3" xfId="16260" xr:uid="{8B9B7896-1096-479B-B921-5274A3D669A9}"/>
    <cellStyle name="Normal 8 4 2 7 2 4" xfId="33154" xr:uid="{363BA4F9-5511-4D89-A536-505F41E781A7}"/>
    <cellStyle name="Normal 8 4 2 7 3" xfId="20490" xr:uid="{73EB2D93-3B4C-4F4B-B8EA-5FFD2AB50753}"/>
    <cellStyle name="Normal 8 4 2 7 3 2" xfId="37384" xr:uid="{1FDFFC04-EA9A-4341-A22C-09000B58D75B}"/>
    <cellStyle name="Normal 8 4 2 7 4" xfId="12043" xr:uid="{6025A5E7-E4BA-4271-94CB-614979451D65}"/>
    <cellStyle name="Normal 8 4 2 7 5" xfId="28937" xr:uid="{E7439F32-2601-4925-BB02-084040D796FE}"/>
    <cellStyle name="Normal 8 4 2 8" xfId="4869" xr:uid="{00000000-0005-0000-0000-0000F71D0000}"/>
    <cellStyle name="Normal 8 4 2 8 2" xfId="22642" xr:uid="{2385A140-5EF1-4877-A4E1-92C12678000D}"/>
    <cellStyle name="Normal 8 4 2 8 2 2" xfId="39536" xr:uid="{6303DC11-FD2A-43F1-8855-C0DA443AEED5}"/>
    <cellStyle name="Normal 8 4 2 8 3" xfId="14195" xr:uid="{5169A3A3-6E6D-4130-A785-E38FBEE80A97}"/>
    <cellStyle name="Normal 8 4 2 8 4" xfId="31089" xr:uid="{60992A86-BF02-43A0-B90B-1AE7D714E935}"/>
    <cellStyle name="Normal 8 4 2 9" xfId="8937" xr:uid="{B425CDA4-C1C1-4A6C-AB85-CE28E324A88F}"/>
    <cellStyle name="Normal 8 4 2 9 2" xfId="18425" xr:uid="{2BFE5A99-715A-446F-B2F8-4D4D7DE0EB28}"/>
    <cellStyle name="Normal 8 4 2 9 3" xfId="35319" xr:uid="{C31F22D2-0F89-48CD-830F-3AA823B00E1E}"/>
    <cellStyle name="Normal 8 4 3" xfId="506" xr:uid="{00000000-0005-0000-0000-0000F81D0000}"/>
    <cellStyle name="Normal 8 4 3 10" xfId="26874" xr:uid="{69E72223-41C4-418A-B01A-7BB803C2DF0E}"/>
    <cellStyle name="Normal 8 4 3 2" xfId="973" xr:uid="{00000000-0005-0000-0000-0000F91D0000}"/>
    <cellStyle name="Normal 8 4 3 2 2" xfId="3207" xr:uid="{00000000-0005-0000-0000-0000FA1D0000}"/>
    <cellStyle name="Normal 8 4 3 2 2 2" xfId="7429" xr:uid="{00000000-0005-0000-0000-0000FB1D0000}"/>
    <cellStyle name="Normal 8 4 3 2 2 2 2" xfId="25202" xr:uid="{00E30ACC-7EEB-4BDF-91EC-666AB7CEDC9B}"/>
    <cellStyle name="Normal 8 4 3 2 2 2 2 2" xfId="42096" xr:uid="{4C567AE7-0D04-4CF7-830B-EFB888F1E1FC}"/>
    <cellStyle name="Normal 8 4 3 2 2 2 3" xfId="16755" xr:uid="{A5DC09CB-AA4B-46B6-BC89-B960FE404FE5}"/>
    <cellStyle name="Normal 8 4 3 2 2 2 4" xfId="33649" xr:uid="{75AE7408-1A8B-4CA0-AC7C-6B2ECAC59C0E}"/>
    <cellStyle name="Normal 8 4 3 2 2 3" xfId="20985" xr:uid="{B5B3EC41-1DA7-4345-9C03-8F4A3C25D824}"/>
    <cellStyle name="Normal 8 4 3 2 2 3 2" xfId="37879" xr:uid="{C918EE67-8C5B-4FAD-98B5-87C8AFA99B6F}"/>
    <cellStyle name="Normal 8 4 3 2 2 4" xfId="12538" xr:uid="{D7E4166C-3F0B-45E6-B072-93D4F2721927}"/>
    <cellStyle name="Normal 8 4 3 2 2 5" xfId="29432" xr:uid="{98628058-9A41-4E16-BF8D-C304920FC340}"/>
    <cellStyle name="Normal 8 4 3 2 3" xfId="5284" xr:uid="{00000000-0005-0000-0000-0000FC1D0000}"/>
    <cellStyle name="Normal 8 4 3 2 3 2" xfId="23057" xr:uid="{EA786F11-AC13-420D-B6C6-EB4EDBFC9039}"/>
    <cellStyle name="Normal 8 4 3 2 3 2 2" xfId="39951" xr:uid="{0E6E57E4-87ED-4BAA-84C3-BE762A4D5B51}"/>
    <cellStyle name="Normal 8 4 3 2 3 3" xfId="14610" xr:uid="{15D3065D-376A-47C4-9BE9-1AF16EF4AE30}"/>
    <cellStyle name="Normal 8 4 3 2 3 4" xfId="31504" xr:uid="{8B9CA7B2-18D0-4189-B6C5-E608E5547D22}"/>
    <cellStyle name="Normal 8 4 3 2 4" xfId="9466" xr:uid="{4C42748F-6D34-4D0D-8AE2-FFD5C0CBE26F}"/>
    <cellStyle name="Normal 8 4 3 2 4 2" xfId="18840" xr:uid="{A2E12647-1883-4D00-9C3F-FCB49366A707}"/>
    <cellStyle name="Normal 8 4 3 2 4 3" xfId="35734" xr:uid="{0294CD1D-4E30-418C-BA72-7BC0C8378025}"/>
    <cellStyle name="Normal 8 4 3 2 5" xfId="10393" xr:uid="{E6732B89-31FB-465C-AD8A-70EE2FBEE736}"/>
    <cellStyle name="Normal 8 4 3 2 6" xfId="27287" xr:uid="{D0615D3A-B3FF-46DC-BD42-453BA5BAC7ED}"/>
    <cellStyle name="Normal 8 4 3 3" xfId="1390" xr:uid="{00000000-0005-0000-0000-0000FD1D0000}"/>
    <cellStyle name="Normal 8 4 3 3 2" xfId="3620" xr:uid="{00000000-0005-0000-0000-0000FE1D0000}"/>
    <cellStyle name="Normal 8 4 3 3 2 2" xfId="7842" xr:uid="{00000000-0005-0000-0000-0000FF1D0000}"/>
    <cellStyle name="Normal 8 4 3 3 2 2 2" xfId="25615" xr:uid="{DBF868B8-4B3B-4ED5-A722-50E61B521C66}"/>
    <cellStyle name="Normal 8 4 3 3 2 2 2 2" xfId="42509" xr:uid="{59A3CDBB-2B53-4469-B344-1B0592BA0243}"/>
    <cellStyle name="Normal 8 4 3 3 2 2 3" xfId="17168" xr:uid="{4B102293-BC82-4B43-8FE4-1917115E4407}"/>
    <cellStyle name="Normal 8 4 3 3 2 2 4" xfId="34062" xr:uid="{3B3602C6-6AB7-4D58-8A26-78D0B03034F6}"/>
    <cellStyle name="Normal 8 4 3 3 2 3" xfId="21398" xr:uid="{3F22DE50-07CE-45D5-8DBC-8B067F4DE997}"/>
    <cellStyle name="Normal 8 4 3 3 2 3 2" xfId="38292" xr:uid="{0ED73093-4D16-4E11-89C0-89F449C44778}"/>
    <cellStyle name="Normal 8 4 3 3 2 4" xfId="12951" xr:uid="{42944BBB-2296-4CD0-9BF6-4B81FDCB5A83}"/>
    <cellStyle name="Normal 8 4 3 3 2 5" xfId="29845" xr:uid="{4A7607C2-5FBC-4522-9E51-420A0160FDBC}"/>
    <cellStyle name="Normal 8 4 3 3 3" xfId="5697" xr:uid="{00000000-0005-0000-0000-0000001E0000}"/>
    <cellStyle name="Normal 8 4 3 3 3 2" xfId="23470" xr:uid="{6A1029D1-E3EC-45AB-942C-D648377F3740}"/>
    <cellStyle name="Normal 8 4 3 3 3 2 2" xfId="40364" xr:uid="{12E20935-44D2-4A3F-9825-26BC74DAEA55}"/>
    <cellStyle name="Normal 8 4 3 3 3 3" xfId="15023" xr:uid="{93E1FFE0-5791-4693-B8A6-79A0A5D84B32}"/>
    <cellStyle name="Normal 8 4 3 3 3 4" xfId="31917" xr:uid="{9B98F173-BE07-4C60-8769-0C40F7ADC2AE}"/>
    <cellStyle name="Normal 8 4 3 3 4" xfId="19253" xr:uid="{32CD1622-D217-4DF0-AF4B-FAE3590E6891}"/>
    <cellStyle name="Normal 8 4 3 3 4 2" xfId="36147" xr:uid="{D14F27B5-8167-401B-9F77-05BB7A650194}"/>
    <cellStyle name="Normal 8 4 3 3 5" xfId="10806" xr:uid="{1948B7F8-D41E-4186-AEB7-34D3FAE36170}"/>
    <cellStyle name="Normal 8 4 3 3 6" xfId="27700" xr:uid="{4B6F8F2B-6F46-4778-8CBC-472A8098465A}"/>
    <cellStyle name="Normal 8 4 3 4" xfId="1803" xr:uid="{00000000-0005-0000-0000-0000011E0000}"/>
    <cellStyle name="Normal 8 4 3 4 2" xfId="4033" xr:uid="{00000000-0005-0000-0000-0000021E0000}"/>
    <cellStyle name="Normal 8 4 3 4 2 2" xfId="8255" xr:uid="{00000000-0005-0000-0000-0000031E0000}"/>
    <cellStyle name="Normal 8 4 3 4 2 2 2" xfId="26028" xr:uid="{49305D64-E219-476D-BB73-DBF434FA733E}"/>
    <cellStyle name="Normal 8 4 3 4 2 2 2 2" xfId="42922" xr:uid="{54D96A87-3BB2-4B11-8A9B-6DEAA2039397}"/>
    <cellStyle name="Normal 8 4 3 4 2 2 3" xfId="17581" xr:uid="{C0D483DD-CFEB-4A9C-8CEB-AA49AA1879E8}"/>
    <cellStyle name="Normal 8 4 3 4 2 2 4" xfId="34475" xr:uid="{7AC5E06F-01C8-48DA-A4F9-B51A6EB4BFFC}"/>
    <cellStyle name="Normal 8 4 3 4 2 3" xfId="21811" xr:uid="{5EACB6E3-9A9D-4844-92A0-93A89A3B7312}"/>
    <cellStyle name="Normal 8 4 3 4 2 3 2" xfId="38705" xr:uid="{B503C1CC-BC31-4B18-9AF3-3C22BF65AC1E}"/>
    <cellStyle name="Normal 8 4 3 4 2 4" xfId="13364" xr:uid="{D761ABD5-0986-4812-9DFA-0B3F40131F50}"/>
    <cellStyle name="Normal 8 4 3 4 2 5" xfId="30258" xr:uid="{24FFE8EF-BB79-433E-A7BB-2758CFE8EA99}"/>
    <cellStyle name="Normal 8 4 3 4 3" xfId="6110" xr:uid="{00000000-0005-0000-0000-0000041E0000}"/>
    <cellStyle name="Normal 8 4 3 4 3 2" xfId="23883" xr:uid="{CA36ADA0-EEAD-4DB4-A08E-FB85B46E9C5D}"/>
    <cellStyle name="Normal 8 4 3 4 3 2 2" xfId="40777" xr:uid="{F3F33F7C-7B16-4A2D-A691-13B9BD65FC57}"/>
    <cellStyle name="Normal 8 4 3 4 3 3" xfId="15436" xr:uid="{267FBDB4-D06D-466C-BB53-61E9708A3537}"/>
    <cellStyle name="Normal 8 4 3 4 3 4" xfId="32330" xr:uid="{472796D2-87EE-4361-81FD-42F693DF4294}"/>
    <cellStyle name="Normal 8 4 3 4 4" xfId="19666" xr:uid="{053EC20C-D18F-4AC7-8478-2D84F936B848}"/>
    <cellStyle name="Normal 8 4 3 4 4 2" xfId="36560" xr:uid="{D348ECF2-4B7B-4607-B7B8-B17AE4D8D7F7}"/>
    <cellStyle name="Normal 8 4 3 4 5" xfId="11219" xr:uid="{460FE917-3945-4529-A724-95953F2ACBC2}"/>
    <cellStyle name="Normal 8 4 3 4 6" xfId="28113" xr:uid="{893D8801-7302-488B-A976-48D0E726CFC6}"/>
    <cellStyle name="Normal 8 4 3 5" xfId="2217" xr:uid="{00000000-0005-0000-0000-0000051E0000}"/>
    <cellStyle name="Normal 8 4 3 5 2" xfId="4446" xr:uid="{00000000-0005-0000-0000-0000061E0000}"/>
    <cellStyle name="Normal 8 4 3 5 2 2" xfId="8668" xr:uid="{00000000-0005-0000-0000-0000071E0000}"/>
    <cellStyle name="Normal 8 4 3 5 2 2 2" xfId="26441" xr:uid="{1EE847D4-921A-4B4E-A3E3-AAA8D9A86C37}"/>
    <cellStyle name="Normal 8 4 3 5 2 2 2 2" xfId="43335" xr:uid="{D7B63B73-D710-402D-829E-00F8106CB770}"/>
    <cellStyle name="Normal 8 4 3 5 2 2 3" xfId="17994" xr:uid="{F7F7961C-5145-4703-8213-6ED95F799178}"/>
    <cellStyle name="Normal 8 4 3 5 2 2 4" xfId="34888" xr:uid="{9436E792-8536-4A6B-BB18-B75E577DA651}"/>
    <cellStyle name="Normal 8 4 3 5 2 3" xfId="22224" xr:uid="{348C47E9-E23E-4F31-8ECE-246D533EA1EE}"/>
    <cellStyle name="Normal 8 4 3 5 2 3 2" xfId="39118" xr:uid="{E691531C-7BBE-4E0C-B016-D0A9083A9A3F}"/>
    <cellStyle name="Normal 8 4 3 5 2 4" xfId="13777" xr:uid="{7CE71052-DD4A-4946-BB81-9B0BC984B235}"/>
    <cellStyle name="Normal 8 4 3 5 2 5" xfId="30671" xr:uid="{D6C8D99D-C563-4DFC-BFA7-E8E0F2557436}"/>
    <cellStyle name="Normal 8 4 3 5 3" xfId="6523" xr:uid="{00000000-0005-0000-0000-0000081E0000}"/>
    <cellStyle name="Normal 8 4 3 5 3 2" xfId="24296" xr:uid="{013338BF-8B3D-4E13-B518-570700EBB098}"/>
    <cellStyle name="Normal 8 4 3 5 3 2 2" xfId="41190" xr:uid="{C5203C9A-612A-4BD1-8EB2-2399F251AD71}"/>
    <cellStyle name="Normal 8 4 3 5 3 3" xfId="15849" xr:uid="{ADF4867B-151D-4A87-ABE2-CB62B777304D}"/>
    <cellStyle name="Normal 8 4 3 5 3 4" xfId="32743" xr:uid="{E25E0AD5-DC0A-4BB7-AA75-BB05BF7172DE}"/>
    <cellStyle name="Normal 8 4 3 5 4" xfId="20079" xr:uid="{2F261074-C892-4248-AD52-5125D27067DB}"/>
    <cellStyle name="Normal 8 4 3 5 4 2" xfId="36973" xr:uid="{FD66A1BE-C900-4A8B-9EF4-F89F1C552E97}"/>
    <cellStyle name="Normal 8 4 3 5 5" xfId="11632" xr:uid="{A5A4A543-5ECC-433C-BA45-ECCC619A72B0}"/>
    <cellStyle name="Normal 8 4 3 5 6" xfId="28526" xr:uid="{555E9EB6-B6D5-4F67-9213-152FB71AAF4C}"/>
    <cellStyle name="Normal 8 4 3 6" xfId="2653" xr:uid="{00000000-0005-0000-0000-0000091E0000}"/>
    <cellStyle name="Normal 8 4 3 6 2" xfId="6936" xr:uid="{00000000-0005-0000-0000-00000A1E0000}"/>
    <cellStyle name="Normal 8 4 3 6 2 2" xfId="24709" xr:uid="{635E1BD7-91A2-4EE9-B310-0BEF95CAB792}"/>
    <cellStyle name="Normal 8 4 3 6 2 2 2" xfId="41603" xr:uid="{29EF7F42-3A4B-4C20-B72C-F52235DBD6C1}"/>
    <cellStyle name="Normal 8 4 3 6 2 3" xfId="16262" xr:uid="{92E5C9E3-C90E-4EF9-8FF1-10B3949522F7}"/>
    <cellStyle name="Normal 8 4 3 6 2 4" xfId="33156" xr:uid="{81478637-30E9-46E1-B98E-E083A86224F1}"/>
    <cellStyle name="Normal 8 4 3 6 3" xfId="20492" xr:uid="{B3BB66E6-919E-4AEF-879E-C4C5E3F6E690}"/>
    <cellStyle name="Normal 8 4 3 6 3 2" xfId="37386" xr:uid="{9F1478EB-1544-4688-B641-F239A022D405}"/>
    <cellStyle name="Normal 8 4 3 6 4" xfId="12045" xr:uid="{44819756-2572-4CD7-ACAC-CF94F3C2AF3A}"/>
    <cellStyle name="Normal 8 4 3 6 5" xfId="28939" xr:uid="{F7D6E0EE-2775-48A4-BFAE-A772B8E1310D}"/>
    <cellStyle name="Normal 8 4 3 7" xfId="4871" xr:uid="{00000000-0005-0000-0000-00000B1E0000}"/>
    <cellStyle name="Normal 8 4 3 7 2" xfId="22644" xr:uid="{B8AA7B09-7B17-4F78-BC62-95E2AFE1F7F1}"/>
    <cellStyle name="Normal 8 4 3 7 2 2" xfId="39538" xr:uid="{ED106BD1-3204-46D9-8939-F9044BB879ED}"/>
    <cellStyle name="Normal 8 4 3 7 3" xfId="14197" xr:uid="{EC3D209E-89FC-4DFF-B8B6-DDBCB31B6A14}"/>
    <cellStyle name="Normal 8 4 3 7 4" xfId="31091" xr:uid="{F6A64927-210D-495E-8B9F-47188EEF0E3B}"/>
    <cellStyle name="Normal 8 4 3 8" xfId="9041" xr:uid="{3EA15F1E-D38A-4BB8-BEC6-98D9A94BB79B}"/>
    <cellStyle name="Normal 8 4 3 8 2" xfId="18427" xr:uid="{7F58934F-EF09-4C48-B33F-FA1F89E98E9E}"/>
    <cellStyle name="Normal 8 4 3 8 3" xfId="35321" xr:uid="{6B6A4C27-A7A5-470B-9151-8EAF7EB56218}"/>
    <cellStyle name="Normal 8 4 3 9" xfId="9980" xr:uid="{3A1988B2-6E92-4982-9D99-FE57A3A4E3AF}"/>
    <cellStyle name="Normal 8 4 4" xfId="970" xr:uid="{00000000-0005-0000-0000-00000C1E0000}"/>
    <cellStyle name="Normal 8 4 4 2" xfId="3204" xr:uid="{00000000-0005-0000-0000-00000D1E0000}"/>
    <cellStyle name="Normal 8 4 4 2 2" xfId="7426" xr:uid="{00000000-0005-0000-0000-00000E1E0000}"/>
    <cellStyle name="Normal 8 4 4 2 2 2" xfId="25199" xr:uid="{49BD2096-4486-418C-AE9D-95B272DAD3D0}"/>
    <cellStyle name="Normal 8 4 4 2 2 2 2" xfId="42093" xr:uid="{9E3036B5-AD57-4B53-8C99-835911394CCE}"/>
    <cellStyle name="Normal 8 4 4 2 2 3" xfId="16752" xr:uid="{A6B771E9-1B99-4804-9239-DDEDBE085FA1}"/>
    <cellStyle name="Normal 8 4 4 2 2 4" xfId="33646" xr:uid="{1885A04B-44A7-4AB6-8B80-57BC2F3D14C1}"/>
    <cellStyle name="Normal 8 4 4 2 3" xfId="20982" xr:uid="{385E547D-C9FC-4382-95F5-B2120B0B70F0}"/>
    <cellStyle name="Normal 8 4 4 2 3 2" xfId="37876" xr:uid="{1B25B242-4A18-4021-B95C-9EEBC7AE51DC}"/>
    <cellStyle name="Normal 8 4 4 2 4" xfId="12535" xr:uid="{1361CA94-2E82-4FAF-8F31-7FEBB37A1150}"/>
    <cellStyle name="Normal 8 4 4 2 5" xfId="29429" xr:uid="{D768FA23-14E4-4CE0-AD03-36D0C02DB4C0}"/>
    <cellStyle name="Normal 8 4 4 3" xfId="5281" xr:uid="{00000000-0005-0000-0000-00000F1E0000}"/>
    <cellStyle name="Normal 8 4 4 3 2" xfId="23054" xr:uid="{C71FD14F-6599-4F8D-B0FA-C54DC596E76E}"/>
    <cellStyle name="Normal 8 4 4 3 2 2" xfId="39948" xr:uid="{12D88590-F3E6-4BE4-830E-549AED4910EF}"/>
    <cellStyle name="Normal 8 4 4 3 3" xfId="14607" xr:uid="{C2439998-D8E2-4AFB-8C24-DFAD27C59E20}"/>
    <cellStyle name="Normal 8 4 4 3 4" xfId="31501" xr:uid="{4AC382AB-A294-4E92-A514-EFA7BABC70DA}"/>
    <cellStyle name="Normal 8 4 4 4" xfId="9259" xr:uid="{45904BAA-3C39-482B-A2B6-0FB84C0B889C}"/>
    <cellStyle name="Normal 8 4 4 4 2" xfId="18837" xr:uid="{5EDA33B4-EC33-4646-83A9-F8F13032A23C}"/>
    <cellStyle name="Normal 8 4 4 4 3" xfId="35731" xr:uid="{57E44485-42EE-4510-876B-789F4B5AF256}"/>
    <cellStyle name="Normal 8 4 4 5" xfId="10390" xr:uid="{3ACC3C62-492E-488C-946F-B7179086EABA}"/>
    <cellStyle name="Normal 8 4 4 6" xfId="27284" xr:uid="{F89CCA25-E3DD-450D-B0FF-CA4DEFC9E45A}"/>
    <cellStyle name="Normal 8 4 5" xfId="1387" xr:uid="{00000000-0005-0000-0000-0000101E0000}"/>
    <cellStyle name="Normal 8 4 5 2" xfId="3617" xr:uid="{00000000-0005-0000-0000-0000111E0000}"/>
    <cellStyle name="Normal 8 4 5 2 2" xfId="7839" xr:uid="{00000000-0005-0000-0000-0000121E0000}"/>
    <cellStyle name="Normal 8 4 5 2 2 2" xfId="25612" xr:uid="{74DD1A90-87E1-466B-A06F-7722D5FA14D1}"/>
    <cellStyle name="Normal 8 4 5 2 2 2 2" xfId="42506" xr:uid="{2D70AAB5-17D3-441F-A55D-193DF499B4A7}"/>
    <cellStyle name="Normal 8 4 5 2 2 3" xfId="17165" xr:uid="{E3EE8D9A-D9FC-440F-B1AC-380E092B3CD6}"/>
    <cellStyle name="Normal 8 4 5 2 2 4" xfId="34059" xr:uid="{6D96E48E-47A8-4F76-9425-F329B28993C9}"/>
    <cellStyle name="Normal 8 4 5 2 3" xfId="21395" xr:uid="{0885C713-DFA0-4847-AAFB-5682DE382FA5}"/>
    <cellStyle name="Normal 8 4 5 2 3 2" xfId="38289" xr:uid="{9C5A529D-90A0-4740-98FD-2C46C1B93A39}"/>
    <cellStyle name="Normal 8 4 5 2 4" xfId="12948" xr:uid="{7514AB0F-0A7F-4E08-8BF7-C99BECB10BED}"/>
    <cellStyle name="Normal 8 4 5 2 5" xfId="29842" xr:uid="{98C06914-06EE-4FA9-B06B-7848E0D70AF0}"/>
    <cellStyle name="Normal 8 4 5 3" xfId="5694" xr:uid="{00000000-0005-0000-0000-0000131E0000}"/>
    <cellStyle name="Normal 8 4 5 3 2" xfId="23467" xr:uid="{2F20CFDB-2E5E-4DBE-8A8A-BD63D28A79B4}"/>
    <cellStyle name="Normal 8 4 5 3 2 2" xfId="40361" xr:uid="{67573F16-BD58-4FB8-9CE9-F499DBD1219C}"/>
    <cellStyle name="Normal 8 4 5 3 3" xfId="15020" xr:uid="{946282EF-CC78-463B-A714-2C35942B4FEC}"/>
    <cellStyle name="Normal 8 4 5 3 4" xfId="31914" xr:uid="{96DFA0CC-8673-457A-AC13-40C7735FA1E8}"/>
    <cellStyle name="Normal 8 4 5 4" xfId="19250" xr:uid="{9BF43EFB-8E9A-466A-8CC5-7F53020B4C5A}"/>
    <cellStyle name="Normal 8 4 5 4 2" xfId="36144" xr:uid="{00E8DB29-F786-4850-A98F-2DF34B6C216D}"/>
    <cellStyle name="Normal 8 4 5 5" xfId="10803" xr:uid="{1D582259-3333-4305-84A3-18EE4081D79B}"/>
    <cellStyle name="Normal 8 4 5 6" xfId="27697" xr:uid="{59F22D6C-D6E2-4F43-A265-26CA132D1E67}"/>
    <cellStyle name="Normal 8 4 6" xfId="1800" xr:uid="{00000000-0005-0000-0000-0000141E0000}"/>
    <cellStyle name="Normal 8 4 6 2" xfId="4030" xr:uid="{00000000-0005-0000-0000-0000151E0000}"/>
    <cellStyle name="Normal 8 4 6 2 2" xfId="8252" xr:uid="{00000000-0005-0000-0000-0000161E0000}"/>
    <cellStyle name="Normal 8 4 6 2 2 2" xfId="26025" xr:uid="{CDED53A1-5701-4863-AB56-E6BAB7019E68}"/>
    <cellStyle name="Normal 8 4 6 2 2 2 2" xfId="42919" xr:uid="{DC146214-D222-4FF7-B1CD-8EA34EF05012}"/>
    <cellStyle name="Normal 8 4 6 2 2 3" xfId="17578" xr:uid="{E3406F46-D303-4C5B-A4CF-985196E935A3}"/>
    <cellStyle name="Normal 8 4 6 2 2 4" xfId="34472" xr:uid="{51901793-8C0F-4281-97E6-DCDA4A2F7AAA}"/>
    <cellStyle name="Normal 8 4 6 2 3" xfId="21808" xr:uid="{A85452A2-13EE-4964-8051-313DCD325E4D}"/>
    <cellStyle name="Normal 8 4 6 2 3 2" xfId="38702" xr:uid="{55A0D2DC-3228-434F-88B1-6B5857F763A2}"/>
    <cellStyle name="Normal 8 4 6 2 4" xfId="13361" xr:uid="{77E16F47-A085-4D11-9FFC-0238431D8505}"/>
    <cellStyle name="Normal 8 4 6 2 5" xfId="30255" xr:uid="{008C4568-646A-4FF2-A852-9D4FC242B10D}"/>
    <cellStyle name="Normal 8 4 6 3" xfId="6107" xr:uid="{00000000-0005-0000-0000-0000171E0000}"/>
    <cellStyle name="Normal 8 4 6 3 2" xfId="23880" xr:uid="{12251C4F-7504-4011-8000-A3A519EEE557}"/>
    <cellStyle name="Normal 8 4 6 3 2 2" xfId="40774" xr:uid="{1286AFC7-F6CF-49CB-BB2C-205B8C3101DD}"/>
    <cellStyle name="Normal 8 4 6 3 3" xfId="15433" xr:uid="{08ABFF9F-0F73-4EB8-BB98-318500F6D5AE}"/>
    <cellStyle name="Normal 8 4 6 3 4" xfId="32327" xr:uid="{5115A2F6-71C0-4BA5-9A3B-BA2CF2051B2A}"/>
    <cellStyle name="Normal 8 4 6 4" xfId="19663" xr:uid="{3E674A03-020C-4992-A456-AFE4D260093E}"/>
    <cellStyle name="Normal 8 4 6 4 2" xfId="36557" xr:uid="{DB0F5FB4-56A3-4408-B4D1-5D887F946EEF}"/>
    <cellStyle name="Normal 8 4 6 5" xfId="11216" xr:uid="{8DBED50C-E3B2-43CB-A0D0-C5512FBB6069}"/>
    <cellStyle name="Normal 8 4 6 6" xfId="28110" xr:uid="{7967C794-D7A5-470F-8C0C-D10F41B82D7E}"/>
    <cellStyle name="Normal 8 4 7" xfId="2214" xr:uid="{00000000-0005-0000-0000-0000181E0000}"/>
    <cellStyle name="Normal 8 4 7 2" xfId="4443" xr:uid="{00000000-0005-0000-0000-0000191E0000}"/>
    <cellStyle name="Normal 8 4 7 2 2" xfId="8665" xr:uid="{00000000-0005-0000-0000-00001A1E0000}"/>
    <cellStyle name="Normal 8 4 7 2 2 2" xfId="26438" xr:uid="{C81B9021-F74F-4758-942D-DFAA4077D746}"/>
    <cellStyle name="Normal 8 4 7 2 2 2 2" xfId="43332" xr:uid="{DBC76495-73EF-487C-ABC3-105E76C269B2}"/>
    <cellStyle name="Normal 8 4 7 2 2 3" xfId="17991" xr:uid="{4FC98F21-A0E7-4882-A654-F0D0D55B5B5A}"/>
    <cellStyle name="Normal 8 4 7 2 2 4" xfId="34885" xr:uid="{62F7A0F5-38FA-4D4D-AA56-61EE2480CBB5}"/>
    <cellStyle name="Normal 8 4 7 2 3" xfId="22221" xr:uid="{5C942661-3F29-42F0-9947-C95F03A59F26}"/>
    <cellStyle name="Normal 8 4 7 2 3 2" xfId="39115" xr:uid="{4C678C46-CFFC-4D56-9D2F-BB6DB32CB6A0}"/>
    <cellStyle name="Normal 8 4 7 2 4" xfId="13774" xr:uid="{D49920EB-F470-411F-AE86-A4467C135F52}"/>
    <cellStyle name="Normal 8 4 7 2 5" xfId="30668" xr:uid="{E1D76FF7-42B0-4ADB-A867-A95C79347376}"/>
    <cellStyle name="Normal 8 4 7 3" xfId="6520" xr:uid="{00000000-0005-0000-0000-00001B1E0000}"/>
    <cellStyle name="Normal 8 4 7 3 2" xfId="24293" xr:uid="{B585B811-B272-4411-BFE5-1973BA3382C0}"/>
    <cellStyle name="Normal 8 4 7 3 2 2" xfId="41187" xr:uid="{D1C01345-0865-4144-9996-57489DE903A7}"/>
    <cellStyle name="Normal 8 4 7 3 3" xfId="15846" xr:uid="{0338D269-D800-4117-ACC5-7DD7627E220D}"/>
    <cellStyle name="Normal 8 4 7 3 4" xfId="32740" xr:uid="{9851B68E-34DF-4620-BF7E-6B1E51EBC58C}"/>
    <cellStyle name="Normal 8 4 7 4" xfId="20076" xr:uid="{82E510D0-5800-4984-9929-8297FC1D6C85}"/>
    <cellStyle name="Normal 8 4 7 4 2" xfId="36970" xr:uid="{E96993A6-A683-4980-ABE2-883356528CC0}"/>
    <cellStyle name="Normal 8 4 7 5" xfId="11629" xr:uid="{87304B37-BF69-42A1-9547-7E6FC29754EA}"/>
    <cellStyle name="Normal 8 4 7 6" xfId="28523" xr:uid="{D282C6DF-3857-4717-88EA-33303B510168}"/>
    <cellStyle name="Normal 8 4 8" xfId="2650" xr:uid="{00000000-0005-0000-0000-00001C1E0000}"/>
    <cellStyle name="Normal 8 4 8 2" xfId="6933" xr:uid="{00000000-0005-0000-0000-00001D1E0000}"/>
    <cellStyle name="Normal 8 4 8 2 2" xfId="24706" xr:uid="{685F249A-9BFD-4BDF-B732-C2093CB8D789}"/>
    <cellStyle name="Normal 8 4 8 2 2 2" xfId="41600" xr:uid="{39EF27B0-1D08-41F0-8268-2E4B63258CF1}"/>
    <cellStyle name="Normal 8 4 8 2 3" xfId="16259" xr:uid="{94B12B14-A3E4-44B6-8F2C-33064C51B84D}"/>
    <cellStyle name="Normal 8 4 8 2 4" xfId="33153" xr:uid="{0089C6D4-C112-4475-A1DD-D10337B39ECB}"/>
    <cellStyle name="Normal 8 4 8 3" xfId="20489" xr:uid="{E02ECB57-3857-4B19-B1AD-9B6D1594BA00}"/>
    <cellStyle name="Normal 8 4 8 3 2" xfId="37383" xr:uid="{2C4CAC4F-B5B2-4CCD-A851-A884BFE6ADE9}"/>
    <cellStyle name="Normal 8 4 8 4" xfId="12042" xr:uid="{06A9A391-9DA1-4AF7-AC08-542AAE4FB94F}"/>
    <cellStyle name="Normal 8 4 8 5" xfId="28936" xr:uid="{633E6444-A27E-453D-84F1-952BA01A88E2}"/>
    <cellStyle name="Normal 8 4 9" xfId="4868" xr:uid="{00000000-0005-0000-0000-00001E1E0000}"/>
    <cellStyle name="Normal 8 4 9 2" xfId="22641" xr:uid="{8A21293D-9341-4A4E-8476-1E0F771CA73C}"/>
    <cellStyle name="Normal 8 4 9 2 2" xfId="39535" xr:uid="{CA5C352A-A707-49D0-813F-03FAB4A60A7C}"/>
    <cellStyle name="Normal 8 4 9 3" xfId="14194" xr:uid="{D78A2505-6B4A-4D01-9C33-1E6A23D4091C}"/>
    <cellStyle name="Normal 8 4 9 4" xfId="31088" xr:uid="{62F6FEF5-5DD8-4571-9749-C5A49321193B}"/>
    <cellStyle name="Normal 8 5" xfId="507" xr:uid="{00000000-0005-0000-0000-00001F1E0000}"/>
    <cellStyle name="Normal 8 5 10" xfId="9981" xr:uid="{2EE350F4-9ED4-4E05-B5C5-CE3B6E6B12BA}"/>
    <cellStyle name="Normal 8 5 11" xfId="26875" xr:uid="{CEA9D39A-8539-4892-8BE0-B881CEE0958D}"/>
    <cellStyle name="Normal 8 5 2" xfId="508" xr:uid="{00000000-0005-0000-0000-0000201E0000}"/>
    <cellStyle name="Normal 8 5 2 10" xfId="26876" xr:uid="{2D8C0D96-1417-4693-B74A-232A90918B47}"/>
    <cellStyle name="Normal 8 5 2 2" xfId="975" xr:uid="{00000000-0005-0000-0000-0000211E0000}"/>
    <cellStyle name="Normal 8 5 2 2 2" xfId="3209" xr:uid="{00000000-0005-0000-0000-0000221E0000}"/>
    <cellStyle name="Normal 8 5 2 2 2 2" xfId="7431" xr:uid="{00000000-0005-0000-0000-0000231E0000}"/>
    <cellStyle name="Normal 8 5 2 2 2 2 2" xfId="25204" xr:uid="{9145AE65-B94D-4C50-90CA-BCB2F2EFBDDC}"/>
    <cellStyle name="Normal 8 5 2 2 2 2 2 2" xfId="42098" xr:uid="{FDFFA590-561C-4A4C-BC1B-C575FFA65EE3}"/>
    <cellStyle name="Normal 8 5 2 2 2 2 3" xfId="16757" xr:uid="{0C1BB0B2-053F-454D-995D-C6E437643656}"/>
    <cellStyle name="Normal 8 5 2 2 2 2 4" xfId="33651" xr:uid="{396E49BE-86C0-4D56-BEF9-728FC48C5718}"/>
    <cellStyle name="Normal 8 5 2 2 2 3" xfId="20987" xr:uid="{8E254441-39B5-40CA-8547-7A21B76F17F6}"/>
    <cellStyle name="Normal 8 5 2 2 2 3 2" xfId="37881" xr:uid="{4EC432E3-8924-4806-BA69-DF0F4917FDAB}"/>
    <cellStyle name="Normal 8 5 2 2 2 4" xfId="12540" xr:uid="{65039AB6-7931-451A-8822-1621410806CE}"/>
    <cellStyle name="Normal 8 5 2 2 2 5" xfId="29434" xr:uid="{2EB335FB-FEE8-476F-A599-658DFFAA0DED}"/>
    <cellStyle name="Normal 8 5 2 2 3" xfId="5286" xr:uid="{00000000-0005-0000-0000-0000241E0000}"/>
    <cellStyle name="Normal 8 5 2 2 3 2" xfId="23059" xr:uid="{FE60200A-D863-4A73-BCA1-C143FCDE7ACD}"/>
    <cellStyle name="Normal 8 5 2 2 3 2 2" xfId="39953" xr:uid="{AB0C78D3-4B7E-4AE6-8AE2-A97AC3FB9B19}"/>
    <cellStyle name="Normal 8 5 2 2 3 3" xfId="14612" xr:uid="{C0F72DA8-C03B-4D3D-8577-EA7BCC7A210C}"/>
    <cellStyle name="Normal 8 5 2 2 3 4" xfId="31506" xr:uid="{09CD7CF3-CA3D-410F-B776-41F45B0BD17A}"/>
    <cellStyle name="Normal 8 5 2 2 4" xfId="9477" xr:uid="{62ED1F43-6081-4B0B-94C3-5999D37D11C7}"/>
    <cellStyle name="Normal 8 5 2 2 4 2" xfId="18842" xr:uid="{70FA73DA-6F20-453B-A065-20710AC9A57F}"/>
    <cellStyle name="Normal 8 5 2 2 4 3" xfId="35736" xr:uid="{207E498B-7A15-475A-910D-D124302AC484}"/>
    <cellStyle name="Normal 8 5 2 2 5" xfId="10395" xr:uid="{A4B9C3A7-8530-42B9-8E88-77BA7086E2D4}"/>
    <cellStyle name="Normal 8 5 2 2 6" xfId="27289" xr:uid="{062B5992-7EE2-4180-B1CA-E30FF4825982}"/>
    <cellStyle name="Normal 8 5 2 3" xfId="1392" xr:uid="{00000000-0005-0000-0000-0000251E0000}"/>
    <cellStyle name="Normal 8 5 2 3 2" xfId="3622" xr:uid="{00000000-0005-0000-0000-0000261E0000}"/>
    <cellStyle name="Normal 8 5 2 3 2 2" xfId="7844" xr:uid="{00000000-0005-0000-0000-0000271E0000}"/>
    <cellStyle name="Normal 8 5 2 3 2 2 2" xfId="25617" xr:uid="{15D7E5EA-AE9E-4B12-964F-86F1BF127DE3}"/>
    <cellStyle name="Normal 8 5 2 3 2 2 2 2" xfId="42511" xr:uid="{37B64569-7FB4-4121-B114-51D265C1E647}"/>
    <cellStyle name="Normal 8 5 2 3 2 2 3" xfId="17170" xr:uid="{72473547-FFE8-46DA-B3AA-2C01C1AFE9FA}"/>
    <cellStyle name="Normal 8 5 2 3 2 2 4" xfId="34064" xr:uid="{30918AFF-5BD3-4251-88DD-223CD95C990E}"/>
    <cellStyle name="Normal 8 5 2 3 2 3" xfId="21400" xr:uid="{662BACBB-097F-4D79-8F38-78AD34548ABC}"/>
    <cellStyle name="Normal 8 5 2 3 2 3 2" xfId="38294" xr:uid="{83BA18EC-58CF-4DFF-84D3-784CD69EE703}"/>
    <cellStyle name="Normal 8 5 2 3 2 4" xfId="12953" xr:uid="{D14C46D8-311B-4203-B5F5-E6B433B3EF32}"/>
    <cellStyle name="Normal 8 5 2 3 2 5" xfId="29847" xr:uid="{4591D15E-78DA-4C7E-BAB8-1664B9C302E8}"/>
    <cellStyle name="Normal 8 5 2 3 3" xfId="5699" xr:uid="{00000000-0005-0000-0000-0000281E0000}"/>
    <cellStyle name="Normal 8 5 2 3 3 2" xfId="23472" xr:uid="{C5FC8C81-6C99-4E20-A203-386536422CE1}"/>
    <cellStyle name="Normal 8 5 2 3 3 2 2" xfId="40366" xr:uid="{26756766-98E1-47FA-8447-99F51CAE3D45}"/>
    <cellStyle name="Normal 8 5 2 3 3 3" xfId="15025" xr:uid="{CE5B0016-EDAF-422D-B40F-D07B559CA6E7}"/>
    <cellStyle name="Normal 8 5 2 3 3 4" xfId="31919" xr:uid="{536FCBBB-02EE-4172-A561-BC92F8395ABA}"/>
    <cellStyle name="Normal 8 5 2 3 4" xfId="19255" xr:uid="{53FCD476-BCEB-4718-B2F9-4D8E1A036B7A}"/>
    <cellStyle name="Normal 8 5 2 3 4 2" xfId="36149" xr:uid="{046EA1A5-32AE-4CA1-8427-83EE5D00192E}"/>
    <cellStyle name="Normal 8 5 2 3 5" xfId="10808" xr:uid="{941EDA5F-155A-42E3-AE7A-A320C92FE78C}"/>
    <cellStyle name="Normal 8 5 2 3 6" xfId="27702" xr:uid="{AC4D848D-FB1E-47DE-A174-67408119B145}"/>
    <cellStyle name="Normal 8 5 2 4" xfId="1805" xr:uid="{00000000-0005-0000-0000-0000291E0000}"/>
    <cellStyle name="Normal 8 5 2 4 2" xfId="4035" xr:uid="{00000000-0005-0000-0000-00002A1E0000}"/>
    <cellStyle name="Normal 8 5 2 4 2 2" xfId="8257" xr:uid="{00000000-0005-0000-0000-00002B1E0000}"/>
    <cellStyle name="Normal 8 5 2 4 2 2 2" xfId="26030" xr:uid="{74F57A43-1535-4D29-9A7F-6EBB16E19B7F}"/>
    <cellStyle name="Normal 8 5 2 4 2 2 2 2" xfId="42924" xr:uid="{4CAA5533-6210-4536-B72C-89DF7550DE09}"/>
    <cellStyle name="Normal 8 5 2 4 2 2 3" xfId="17583" xr:uid="{52BF122C-581C-4A44-A63E-EC0E4E7FF364}"/>
    <cellStyle name="Normal 8 5 2 4 2 2 4" xfId="34477" xr:uid="{8277AC4A-B451-4CA8-A78E-653793FAB951}"/>
    <cellStyle name="Normal 8 5 2 4 2 3" xfId="21813" xr:uid="{80ABF0E5-092F-4B16-AE63-8457F2CF14E5}"/>
    <cellStyle name="Normal 8 5 2 4 2 3 2" xfId="38707" xr:uid="{843BDE95-4955-4FD1-AC6C-271827911B22}"/>
    <cellStyle name="Normal 8 5 2 4 2 4" xfId="13366" xr:uid="{E7EACC6F-62F1-41C3-89F3-E5AEA5ACB56B}"/>
    <cellStyle name="Normal 8 5 2 4 2 5" xfId="30260" xr:uid="{4D4CA63A-1AB1-4B00-ADC7-F2CA49F3599D}"/>
    <cellStyle name="Normal 8 5 2 4 3" xfId="6112" xr:uid="{00000000-0005-0000-0000-00002C1E0000}"/>
    <cellStyle name="Normal 8 5 2 4 3 2" xfId="23885" xr:uid="{A571049D-433C-400B-BBE4-B2D2BE98B0B7}"/>
    <cellStyle name="Normal 8 5 2 4 3 2 2" xfId="40779" xr:uid="{6981C9B9-AE9F-4A15-B704-A5152B4AFF67}"/>
    <cellStyle name="Normal 8 5 2 4 3 3" xfId="15438" xr:uid="{8D163F2B-6386-4553-BCE5-904308315536}"/>
    <cellStyle name="Normal 8 5 2 4 3 4" xfId="32332" xr:uid="{02B1B491-196C-488A-A511-596F7D20C2E8}"/>
    <cellStyle name="Normal 8 5 2 4 4" xfId="19668" xr:uid="{D5519C8A-B13D-45F5-935D-2196B9CF5796}"/>
    <cellStyle name="Normal 8 5 2 4 4 2" xfId="36562" xr:uid="{623608C0-2CB2-491F-89E6-402886633113}"/>
    <cellStyle name="Normal 8 5 2 4 5" xfId="11221" xr:uid="{6AE6B970-9540-433E-AF9C-8847D5CB72A8}"/>
    <cellStyle name="Normal 8 5 2 4 6" xfId="28115" xr:uid="{2E25207D-A0B8-4564-8962-A37A936841C3}"/>
    <cellStyle name="Normal 8 5 2 5" xfId="2219" xr:uid="{00000000-0005-0000-0000-00002D1E0000}"/>
    <cellStyle name="Normal 8 5 2 5 2" xfId="4448" xr:uid="{00000000-0005-0000-0000-00002E1E0000}"/>
    <cellStyle name="Normal 8 5 2 5 2 2" xfId="8670" xr:uid="{00000000-0005-0000-0000-00002F1E0000}"/>
    <cellStyle name="Normal 8 5 2 5 2 2 2" xfId="26443" xr:uid="{2625A848-6F86-4871-9EBE-7B09E83DB2E2}"/>
    <cellStyle name="Normal 8 5 2 5 2 2 2 2" xfId="43337" xr:uid="{32E4DCB2-44DB-47CC-8A95-9F66A1C8D904}"/>
    <cellStyle name="Normal 8 5 2 5 2 2 3" xfId="17996" xr:uid="{F0731ACA-4D24-4CD7-8783-601E97EDBA47}"/>
    <cellStyle name="Normal 8 5 2 5 2 2 4" xfId="34890" xr:uid="{DCD06656-7C0C-47DE-ACC4-DC6C9F05193F}"/>
    <cellStyle name="Normal 8 5 2 5 2 3" xfId="22226" xr:uid="{20E3AE86-B51C-4A64-8E8C-89BFC33B5AB2}"/>
    <cellStyle name="Normal 8 5 2 5 2 3 2" xfId="39120" xr:uid="{C1ABBD01-6D50-4C0E-BA06-F13B64C97769}"/>
    <cellStyle name="Normal 8 5 2 5 2 4" xfId="13779" xr:uid="{7C9969AA-7B06-4ADA-A9EA-FE55D3140997}"/>
    <cellStyle name="Normal 8 5 2 5 2 5" xfId="30673" xr:uid="{F665477A-FA35-4253-9EC9-AC31A6963596}"/>
    <cellStyle name="Normal 8 5 2 5 3" xfId="6525" xr:uid="{00000000-0005-0000-0000-0000301E0000}"/>
    <cellStyle name="Normal 8 5 2 5 3 2" xfId="24298" xr:uid="{D507CEC8-0BAA-48EA-9479-EE4020E1B54A}"/>
    <cellStyle name="Normal 8 5 2 5 3 2 2" xfId="41192" xr:uid="{21A254D8-DDF5-42F6-9F7F-A16D787AF6DC}"/>
    <cellStyle name="Normal 8 5 2 5 3 3" xfId="15851" xr:uid="{854212DD-3763-4428-A68A-63344C22B1E1}"/>
    <cellStyle name="Normal 8 5 2 5 3 4" xfId="32745" xr:uid="{C0DD46F3-1D34-4297-94CA-F6111EC34FAF}"/>
    <cellStyle name="Normal 8 5 2 5 4" xfId="20081" xr:uid="{F01C17D4-6F42-47F5-AACF-B7C41F270B18}"/>
    <cellStyle name="Normal 8 5 2 5 4 2" xfId="36975" xr:uid="{318397DB-024A-4D78-ACEF-7B125B37B2B3}"/>
    <cellStyle name="Normal 8 5 2 5 5" xfId="11634" xr:uid="{DAB0C681-18BE-4C57-9B65-A4E52D684410}"/>
    <cellStyle name="Normal 8 5 2 5 6" xfId="28528" xr:uid="{92426C15-1DF9-4A16-97FB-02308459CC60}"/>
    <cellStyle name="Normal 8 5 2 6" xfId="2655" xr:uid="{00000000-0005-0000-0000-0000311E0000}"/>
    <cellStyle name="Normal 8 5 2 6 2" xfId="6938" xr:uid="{00000000-0005-0000-0000-0000321E0000}"/>
    <cellStyle name="Normal 8 5 2 6 2 2" xfId="24711" xr:uid="{E7FDEA86-EF05-4E28-9B9E-730D31AF730A}"/>
    <cellStyle name="Normal 8 5 2 6 2 2 2" xfId="41605" xr:uid="{A93476A0-CDF1-49CF-A90D-D6F9B43990E1}"/>
    <cellStyle name="Normal 8 5 2 6 2 3" xfId="16264" xr:uid="{93A38DAC-02CC-4BA0-BF7C-EBEF99AE4BD1}"/>
    <cellStyle name="Normal 8 5 2 6 2 4" xfId="33158" xr:uid="{2ED27F37-0420-4671-9033-2C6E2A7B7F54}"/>
    <cellStyle name="Normal 8 5 2 6 3" xfId="20494" xr:uid="{A9E02BFA-EB15-4F12-9273-805484B982FC}"/>
    <cellStyle name="Normal 8 5 2 6 3 2" xfId="37388" xr:uid="{8DC011DC-8FB7-4E0B-80CC-33948D6760B8}"/>
    <cellStyle name="Normal 8 5 2 6 4" xfId="12047" xr:uid="{29DA1967-D6DC-4900-9F9F-100451FC48BD}"/>
    <cellStyle name="Normal 8 5 2 6 5" xfId="28941" xr:uid="{2A8F5A46-0D40-4FEA-B855-D5131D861540}"/>
    <cellStyle name="Normal 8 5 2 7" xfId="4873" xr:uid="{00000000-0005-0000-0000-0000331E0000}"/>
    <cellStyle name="Normal 8 5 2 7 2" xfId="22646" xr:uid="{358C85E8-2C9A-4CCF-A878-5B3C55FD3A97}"/>
    <cellStyle name="Normal 8 5 2 7 2 2" xfId="39540" xr:uid="{9D4D3900-089D-41E6-8172-1C6A45811539}"/>
    <cellStyle name="Normal 8 5 2 7 3" xfId="14199" xr:uid="{2998B2C7-EA24-44D8-843A-F25BBB90A417}"/>
    <cellStyle name="Normal 8 5 2 7 4" xfId="31093" xr:uid="{963323DA-2949-4B39-B55D-AFD6586C1030}"/>
    <cellStyle name="Normal 8 5 2 8" xfId="9052" xr:uid="{D754D15A-EECE-4975-9542-AF3C340304E3}"/>
    <cellStyle name="Normal 8 5 2 8 2" xfId="18429" xr:uid="{0E103313-D6DE-438F-9E31-0111469A18E5}"/>
    <cellStyle name="Normal 8 5 2 8 3" xfId="35323" xr:uid="{A27AF0D7-7D0B-4277-8100-24F056B4CBCF}"/>
    <cellStyle name="Normal 8 5 2 9" xfId="9982" xr:uid="{3222E572-63EC-4C9B-A5EE-4151AF9F50E9}"/>
    <cellStyle name="Normal 8 5 3" xfId="974" xr:uid="{00000000-0005-0000-0000-0000341E0000}"/>
    <cellStyle name="Normal 8 5 3 2" xfId="3208" xr:uid="{00000000-0005-0000-0000-0000351E0000}"/>
    <cellStyle name="Normal 8 5 3 2 2" xfId="7430" xr:uid="{00000000-0005-0000-0000-0000361E0000}"/>
    <cellStyle name="Normal 8 5 3 2 2 2" xfId="25203" xr:uid="{C4566BF0-CDEE-4C0F-8538-DD7AEF661486}"/>
    <cellStyle name="Normal 8 5 3 2 2 2 2" xfId="42097" xr:uid="{E7533048-4DCC-4A1A-AABF-CE70DF1FF3B0}"/>
    <cellStyle name="Normal 8 5 3 2 2 3" xfId="16756" xr:uid="{BFEFC7FF-BB28-47BC-BDED-61BFFB8610C8}"/>
    <cellStyle name="Normal 8 5 3 2 2 4" xfId="33650" xr:uid="{D1573C1A-7185-4F4B-884C-CD1D6A5AF482}"/>
    <cellStyle name="Normal 8 5 3 2 3" xfId="20986" xr:uid="{A4AE90F6-76CA-407B-91FA-BD8D6EE43A0D}"/>
    <cellStyle name="Normal 8 5 3 2 3 2" xfId="37880" xr:uid="{2695543A-1193-466B-B400-D088DDD6ACEB}"/>
    <cellStyle name="Normal 8 5 3 2 4" xfId="12539" xr:uid="{8A52618F-CFD3-4B8A-B985-1B50FF6C9D06}"/>
    <cellStyle name="Normal 8 5 3 2 5" xfId="29433" xr:uid="{3055E6D5-9CD5-45CC-87D7-6DE6CF906AEA}"/>
    <cellStyle name="Normal 8 5 3 3" xfId="5285" xr:uid="{00000000-0005-0000-0000-0000371E0000}"/>
    <cellStyle name="Normal 8 5 3 3 2" xfId="23058" xr:uid="{11E9F03D-EC5A-4EA1-86D4-1727FADF954A}"/>
    <cellStyle name="Normal 8 5 3 3 2 2" xfId="39952" xr:uid="{AAA9C238-2CBE-4EBF-8D8F-0DF8A46144A6}"/>
    <cellStyle name="Normal 8 5 3 3 3" xfId="14611" xr:uid="{F605F744-F619-444E-AF47-0FFCC5950BFC}"/>
    <cellStyle name="Normal 8 5 3 3 4" xfId="31505" xr:uid="{CA9AC8A4-C54E-475B-856D-91B413D0FFD4}"/>
    <cellStyle name="Normal 8 5 3 4" xfId="9270" xr:uid="{88F9D262-71F2-4DD2-A7F6-B0DCE74ABD45}"/>
    <cellStyle name="Normal 8 5 3 4 2" xfId="18841" xr:uid="{A1EA47C7-CEF1-4C78-BC0F-E4B7BF97DCBF}"/>
    <cellStyle name="Normal 8 5 3 4 3" xfId="35735" xr:uid="{955DFA04-DC13-45D8-8CAC-776FDDDC0C91}"/>
    <cellStyle name="Normal 8 5 3 5" xfId="10394" xr:uid="{C773A701-B803-48AF-AE37-EB3A0CAD574D}"/>
    <cellStyle name="Normal 8 5 3 6" xfId="27288" xr:uid="{636D0136-0748-4EA9-8C9D-1E4C66E57DEE}"/>
    <cellStyle name="Normal 8 5 4" xfId="1391" xr:uid="{00000000-0005-0000-0000-0000381E0000}"/>
    <cellStyle name="Normal 8 5 4 2" xfId="3621" xr:uid="{00000000-0005-0000-0000-0000391E0000}"/>
    <cellStyle name="Normal 8 5 4 2 2" xfId="7843" xr:uid="{00000000-0005-0000-0000-00003A1E0000}"/>
    <cellStyle name="Normal 8 5 4 2 2 2" xfId="25616" xr:uid="{4759ECED-146E-4EDD-A6AA-32F4295A8127}"/>
    <cellStyle name="Normal 8 5 4 2 2 2 2" xfId="42510" xr:uid="{68C2A569-586E-472E-98E7-CA12DF3875DF}"/>
    <cellStyle name="Normal 8 5 4 2 2 3" xfId="17169" xr:uid="{AC8F7132-671F-483E-8D51-C7F600691B9C}"/>
    <cellStyle name="Normal 8 5 4 2 2 4" xfId="34063" xr:uid="{3AB7F3EF-3A55-4A69-A98A-477E66189E0D}"/>
    <cellStyle name="Normal 8 5 4 2 3" xfId="21399" xr:uid="{ABAF5AE5-3686-4CB7-82FC-FA4EB40215B4}"/>
    <cellStyle name="Normal 8 5 4 2 3 2" xfId="38293" xr:uid="{1C2FA75A-2142-46CE-9826-734829995EB7}"/>
    <cellStyle name="Normal 8 5 4 2 4" xfId="12952" xr:uid="{4E326EFB-3833-446D-9CA8-7CB991ED9D3A}"/>
    <cellStyle name="Normal 8 5 4 2 5" xfId="29846" xr:uid="{ED672436-AC62-409E-9598-C2C157F1C547}"/>
    <cellStyle name="Normal 8 5 4 3" xfId="5698" xr:uid="{00000000-0005-0000-0000-00003B1E0000}"/>
    <cellStyle name="Normal 8 5 4 3 2" xfId="23471" xr:uid="{F992F363-5796-424E-A1C3-63474E37939A}"/>
    <cellStyle name="Normal 8 5 4 3 2 2" xfId="40365" xr:uid="{985778F1-F602-4997-9951-7F3E23CBEAC2}"/>
    <cellStyle name="Normal 8 5 4 3 3" xfId="15024" xr:uid="{FD0DE567-A46A-4F51-8CB4-D8C459A83974}"/>
    <cellStyle name="Normal 8 5 4 3 4" xfId="31918" xr:uid="{72C2BECB-29D4-45EF-BBB5-9418FBC56C15}"/>
    <cellStyle name="Normal 8 5 4 4" xfId="19254" xr:uid="{16EE0FD8-26FE-47BC-8B2B-A0186AE74C69}"/>
    <cellStyle name="Normal 8 5 4 4 2" xfId="36148" xr:uid="{90D2D663-973A-45F3-9C98-67A972A9115B}"/>
    <cellStyle name="Normal 8 5 4 5" xfId="10807" xr:uid="{A9A7DA04-12EF-4E55-BAD6-25F20907A60D}"/>
    <cellStyle name="Normal 8 5 4 6" xfId="27701" xr:uid="{B570E313-D3BA-4590-A9D1-17B874AD6F06}"/>
    <cellStyle name="Normal 8 5 5" xfId="1804" xr:uid="{00000000-0005-0000-0000-00003C1E0000}"/>
    <cellStyle name="Normal 8 5 5 2" xfId="4034" xr:uid="{00000000-0005-0000-0000-00003D1E0000}"/>
    <cellStyle name="Normal 8 5 5 2 2" xfId="8256" xr:uid="{00000000-0005-0000-0000-00003E1E0000}"/>
    <cellStyle name="Normal 8 5 5 2 2 2" xfId="26029" xr:uid="{DF95F657-81E9-44B0-9859-A8C093C6D55B}"/>
    <cellStyle name="Normal 8 5 5 2 2 2 2" xfId="42923" xr:uid="{A16A3E7C-46BE-4194-9ACF-7AEBCEF31191}"/>
    <cellStyle name="Normal 8 5 5 2 2 3" xfId="17582" xr:uid="{31FC689B-7681-434D-8F24-D4DA202D7E04}"/>
    <cellStyle name="Normal 8 5 5 2 2 4" xfId="34476" xr:uid="{C48615BC-2294-408E-AC5F-AA6CB9260A27}"/>
    <cellStyle name="Normal 8 5 5 2 3" xfId="21812" xr:uid="{0759A000-9698-487D-944F-4EE7CE81C698}"/>
    <cellStyle name="Normal 8 5 5 2 3 2" xfId="38706" xr:uid="{72E5023C-5707-4C64-BC4A-7D9406601CD4}"/>
    <cellStyle name="Normal 8 5 5 2 4" xfId="13365" xr:uid="{20F5A4C8-35F7-44E3-AFD7-88E5D8C9D3AA}"/>
    <cellStyle name="Normal 8 5 5 2 5" xfId="30259" xr:uid="{5B77187F-BECD-454D-BB4D-96CB91E71115}"/>
    <cellStyle name="Normal 8 5 5 3" xfId="6111" xr:uid="{00000000-0005-0000-0000-00003F1E0000}"/>
    <cellStyle name="Normal 8 5 5 3 2" xfId="23884" xr:uid="{AE6C19A7-260E-4053-A3B1-E7336FF505C7}"/>
    <cellStyle name="Normal 8 5 5 3 2 2" xfId="40778" xr:uid="{14AAB180-8BDE-4DAE-A751-8D7E684D803D}"/>
    <cellStyle name="Normal 8 5 5 3 3" xfId="15437" xr:uid="{ADFF3858-20B8-4206-91E6-9F81658067CA}"/>
    <cellStyle name="Normal 8 5 5 3 4" xfId="32331" xr:uid="{6F974AF8-B486-43E7-84CA-903A28AE4580}"/>
    <cellStyle name="Normal 8 5 5 4" xfId="19667" xr:uid="{BCCD72C8-FC35-42A2-8F66-232B24EA02E0}"/>
    <cellStyle name="Normal 8 5 5 4 2" xfId="36561" xr:uid="{AD81F5EC-0EF4-4779-B614-78665DA669A5}"/>
    <cellStyle name="Normal 8 5 5 5" xfId="11220" xr:uid="{BEA4838D-D2F4-4644-B752-BCD42400D8E7}"/>
    <cellStyle name="Normal 8 5 5 6" xfId="28114" xr:uid="{8A926B4D-9A50-4338-A025-068EB31C3349}"/>
    <cellStyle name="Normal 8 5 6" xfId="2218" xr:uid="{00000000-0005-0000-0000-0000401E0000}"/>
    <cellStyle name="Normal 8 5 6 2" xfId="4447" xr:uid="{00000000-0005-0000-0000-0000411E0000}"/>
    <cellStyle name="Normal 8 5 6 2 2" xfId="8669" xr:uid="{00000000-0005-0000-0000-0000421E0000}"/>
    <cellStyle name="Normal 8 5 6 2 2 2" xfId="26442" xr:uid="{E2414ADC-081C-46A1-B289-25D336304C35}"/>
    <cellStyle name="Normal 8 5 6 2 2 2 2" xfId="43336" xr:uid="{07F12A91-77C8-4394-BF2A-4E4861CD7DED}"/>
    <cellStyle name="Normal 8 5 6 2 2 3" xfId="17995" xr:uid="{3AA59CDF-AE33-47DD-9B28-5D0E57AEFA05}"/>
    <cellStyle name="Normal 8 5 6 2 2 4" xfId="34889" xr:uid="{E5EE49A9-C671-4947-8776-6665D8795AA4}"/>
    <cellStyle name="Normal 8 5 6 2 3" xfId="22225" xr:uid="{C727AEBB-127A-42CC-9803-C9D62DDA9E14}"/>
    <cellStyle name="Normal 8 5 6 2 3 2" xfId="39119" xr:uid="{3C229B39-B5C3-46DF-B748-7F94E9E76416}"/>
    <cellStyle name="Normal 8 5 6 2 4" xfId="13778" xr:uid="{0B619A4B-4EF9-4927-9FE9-2D57B42A6E74}"/>
    <cellStyle name="Normal 8 5 6 2 5" xfId="30672" xr:uid="{90E5D00F-DAEE-473C-AE96-4EB9DD3B8D2D}"/>
    <cellStyle name="Normal 8 5 6 3" xfId="6524" xr:uid="{00000000-0005-0000-0000-0000431E0000}"/>
    <cellStyle name="Normal 8 5 6 3 2" xfId="24297" xr:uid="{DF2CE4F7-56E6-44D4-BF65-B8960269341D}"/>
    <cellStyle name="Normal 8 5 6 3 2 2" xfId="41191" xr:uid="{80888CA0-653F-4E4D-A33C-1D5AFEF07D93}"/>
    <cellStyle name="Normal 8 5 6 3 3" xfId="15850" xr:uid="{BFCD355C-D6DA-4E9B-B2EB-542AE404A010}"/>
    <cellStyle name="Normal 8 5 6 3 4" xfId="32744" xr:uid="{E9FFAC33-A156-48D2-B00B-878C575F1205}"/>
    <cellStyle name="Normal 8 5 6 4" xfId="20080" xr:uid="{77BEF4F4-2DEF-42E3-80D9-CA68DE42665A}"/>
    <cellStyle name="Normal 8 5 6 4 2" xfId="36974" xr:uid="{85758921-6659-4B11-97D5-85B026E0FC22}"/>
    <cellStyle name="Normal 8 5 6 5" xfId="11633" xr:uid="{01E1AB69-067B-4FA4-8AE6-76B25C13D176}"/>
    <cellStyle name="Normal 8 5 6 6" xfId="28527" xr:uid="{0133DD7F-6309-470A-8921-8DA7749F916B}"/>
    <cellStyle name="Normal 8 5 7" xfId="2654" xr:uid="{00000000-0005-0000-0000-0000441E0000}"/>
    <cellStyle name="Normal 8 5 7 2" xfId="6937" xr:uid="{00000000-0005-0000-0000-0000451E0000}"/>
    <cellStyle name="Normal 8 5 7 2 2" xfId="24710" xr:uid="{C167C68D-E744-409F-B10E-830C5CE626E7}"/>
    <cellStyle name="Normal 8 5 7 2 2 2" xfId="41604" xr:uid="{41879503-73F5-41F0-A1EE-217D3CBBD71B}"/>
    <cellStyle name="Normal 8 5 7 2 3" xfId="16263" xr:uid="{2936ADF4-441F-4830-8BDB-AAA97154DA46}"/>
    <cellStyle name="Normal 8 5 7 2 4" xfId="33157" xr:uid="{13B2395A-EC50-43F9-B674-F66B635735C7}"/>
    <cellStyle name="Normal 8 5 7 3" xfId="20493" xr:uid="{1EF8AD84-4FEE-4C87-A6D8-D53C3E6B7EBE}"/>
    <cellStyle name="Normal 8 5 7 3 2" xfId="37387" xr:uid="{BF5BC497-03DB-4329-A05E-901CEA1E7B79}"/>
    <cellStyle name="Normal 8 5 7 4" xfId="12046" xr:uid="{BC85910E-89AD-417E-BFE8-89A760FDFAFA}"/>
    <cellStyle name="Normal 8 5 7 5" xfId="28940" xr:uid="{CCD94DEC-3D55-4065-AEAF-F4FFDAFD2841}"/>
    <cellStyle name="Normal 8 5 8" xfId="4872" xr:uid="{00000000-0005-0000-0000-0000461E0000}"/>
    <cellStyle name="Normal 8 5 8 2" xfId="22645" xr:uid="{71143E04-38BB-499F-A291-F325A31FA3C0}"/>
    <cellStyle name="Normal 8 5 8 2 2" xfId="39539" xr:uid="{3352D26C-0826-460D-9932-C157DEFAEA07}"/>
    <cellStyle name="Normal 8 5 8 3" xfId="14198" xr:uid="{439605E4-270C-47F0-8F2E-F6326DD763F1}"/>
    <cellStyle name="Normal 8 5 8 4" xfId="31092" xr:uid="{096D2A13-15CF-4CFC-92FE-BAD482743D9B}"/>
    <cellStyle name="Normal 8 5 9" xfId="8845" xr:uid="{C8167C67-59BC-42DE-816D-718433EFB28C}"/>
    <cellStyle name="Normal 8 5 9 2" xfId="18428" xr:uid="{C14E7166-917F-48EC-9CD6-316F87A3EC78}"/>
    <cellStyle name="Normal 8 5 9 3" xfId="35322" xr:uid="{D0AFA0A3-9136-4168-A5B7-D7A420E97E4D}"/>
    <cellStyle name="Normal 8 6" xfId="509" xr:uid="{00000000-0005-0000-0000-0000471E0000}"/>
    <cellStyle name="Normal 8 6 10" xfId="26877" xr:uid="{ECB32161-E17A-4D6D-B99C-DE0AFDE80ECE}"/>
    <cellStyle name="Normal 8 6 2" xfId="976" xr:uid="{00000000-0005-0000-0000-0000481E0000}"/>
    <cellStyle name="Normal 8 6 2 2" xfId="3210" xr:uid="{00000000-0005-0000-0000-0000491E0000}"/>
    <cellStyle name="Normal 8 6 2 2 2" xfId="7432" xr:uid="{00000000-0005-0000-0000-00004A1E0000}"/>
    <cellStyle name="Normal 8 6 2 2 2 2" xfId="25205" xr:uid="{9F576B22-F7B6-4F38-BAC6-2B0F71300119}"/>
    <cellStyle name="Normal 8 6 2 2 2 2 2" xfId="42099" xr:uid="{A5D93E86-5CD9-445F-BE84-53C611ED4467}"/>
    <cellStyle name="Normal 8 6 2 2 2 3" xfId="16758" xr:uid="{24469119-25F1-40B3-B65E-E1FCADAE63F1}"/>
    <cellStyle name="Normal 8 6 2 2 2 4" xfId="33652" xr:uid="{7DFC0AD8-3CEC-4A37-9D5E-DC19CDC8356F}"/>
    <cellStyle name="Normal 8 6 2 2 3" xfId="20988" xr:uid="{D1FB50AD-33BE-41CE-BC7F-897D3BB66D3C}"/>
    <cellStyle name="Normal 8 6 2 2 3 2" xfId="37882" xr:uid="{6DF82DC3-6FA8-4C67-A572-2E1F4C569EF6}"/>
    <cellStyle name="Normal 8 6 2 2 4" xfId="12541" xr:uid="{28D4A19B-91C7-49F6-AD05-5765FC03D7B2}"/>
    <cellStyle name="Normal 8 6 2 2 5" xfId="29435" xr:uid="{7A962533-8184-4897-B7D8-C466D7ABE109}"/>
    <cellStyle name="Normal 8 6 2 3" xfId="5287" xr:uid="{00000000-0005-0000-0000-00004B1E0000}"/>
    <cellStyle name="Normal 8 6 2 3 2" xfId="23060" xr:uid="{E307B260-D446-40A6-9060-A8D9425B4299}"/>
    <cellStyle name="Normal 8 6 2 3 2 2" xfId="39954" xr:uid="{8976BC2D-9CBA-4212-9385-4C9AF0BAFDE8}"/>
    <cellStyle name="Normal 8 6 2 3 3" xfId="14613" xr:uid="{38DE8937-5595-4697-B305-E4E3C1A00065}"/>
    <cellStyle name="Normal 8 6 2 3 4" xfId="31507" xr:uid="{17CE8AD5-5018-4F4F-98B3-254748475B09}"/>
    <cellStyle name="Normal 8 6 2 4" xfId="9386" xr:uid="{45A5CE0D-B006-45BB-A53E-22B23F4367E3}"/>
    <cellStyle name="Normal 8 6 2 4 2" xfId="18843" xr:uid="{BFBFACD9-CF9B-45A9-8CC7-59F1DBB8FC6F}"/>
    <cellStyle name="Normal 8 6 2 4 3" xfId="35737" xr:uid="{6FD3118F-A99C-427A-8176-74BF50E272F2}"/>
    <cellStyle name="Normal 8 6 2 5" xfId="10396" xr:uid="{B67562AE-77B3-4ADC-838A-C77CB07A023F}"/>
    <cellStyle name="Normal 8 6 2 6" xfId="27290" xr:uid="{065086D3-A106-4944-84F4-07067CD5A8D4}"/>
    <cellStyle name="Normal 8 6 3" xfId="1393" xr:uid="{00000000-0005-0000-0000-00004C1E0000}"/>
    <cellStyle name="Normal 8 6 3 2" xfId="3623" xr:uid="{00000000-0005-0000-0000-00004D1E0000}"/>
    <cellStyle name="Normal 8 6 3 2 2" xfId="7845" xr:uid="{00000000-0005-0000-0000-00004E1E0000}"/>
    <cellStyle name="Normal 8 6 3 2 2 2" xfId="25618" xr:uid="{F2F66D9A-FA26-4371-8D77-6979A27E1655}"/>
    <cellStyle name="Normal 8 6 3 2 2 2 2" xfId="42512" xr:uid="{F07AB356-6F8C-4B2F-A1C8-628CEF602F99}"/>
    <cellStyle name="Normal 8 6 3 2 2 3" xfId="17171" xr:uid="{C8F5A999-AD08-4BD5-B9E1-00A1A0CD3356}"/>
    <cellStyle name="Normal 8 6 3 2 2 4" xfId="34065" xr:uid="{05003B09-D3E3-4E30-B7B8-8BBCA04E9401}"/>
    <cellStyle name="Normal 8 6 3 2 3" xfId="21401" xr:uid="{2F87B1F2-3C6F-4D53-A8A8-7AFAB42AD05C}"/>
    <cellStyle name="Normal 8 6 3 2 3 2" xfId="38295" xr:uid="{5C80A508-0EBB-479B-9CA1-4F46C7B5E1B4}"/>
    <cellStyle name="Normal 8 6 3 2 4" xfId="12954" xr:uid="{BA2C627A-9BA9-4D11-9D82-3D6C896A9CD5}"/>
    <cellStyle name="Normal 8 6 3 2 5" xfId="29848" xr:uid="{E96F6ED9-BD50-437A-B69B-CC87A6643539}"/>
    <cellStyle name="Normal 8 6 3 3" xfId="5700" xr:uid="{00000000-0005-0000-0000-00004F1E0000}"/>
    <cellStyle name="Normal 8 6 3 3 2" xfId="23473" xr:uid="{BFB532B4-FD30-40C4-AE97-EE89BE8CCF46}"/>
    <cellStyle name="Normal 8 6 3 3 2 2" xfId="40367" xr:uid="{F54D8D2C-9E14-4889-95BE-5441EE78D35A}"/>
    <cellStyle name="Normal 8 6 3 3 3" xfId="15026" xr:uid="{1C320D6F-71C8-4DFE-AF6A-78AEB6B2883A}"/>
    <cellStyle name="Normal 8 6 3 3 4" xfId="31920" xr:uid="{BB0ACAE3-8772-498F-9B15-9AB85898C9A9}"/>
    <cellStyle name="Normal 8 6 3 4" xfId="19256" xr:uid="{444798EF-2DB3-4C53-8963-B131C2343068}"/>
    <cellStyle name="Normal 8 6 3 4 2" xfId="36150" xr:uid="{DB268634-C0DC-44CF-944C-F6B1C16A8CDD}"/>
    <cellStyle name="Normal 8 6 3 5" xfId="10809" xr:uid="{DAE91179-6C75-4140-80DD-A71E19462B5A}"/>
    <cellStyle name="Normal 8 6 3 6" xfId="27703" xr:uid="{398AF605-AC3F-44E0-98F8-EE72436927C9}"/>
    <cellStyle name="Normal 8 6 4" xfId="1806" xr:uid="{00000000-0005-0000-0000-0000501E0000}"/>
    <cellStyle name="Normal 8 6 4 2" xfId="4036" xr:uid="{00000000-0005-0000-0000-0000511E0000}"/>
    <cellStyle name="Normal 8 6 4 2 2" xfId="8258" xr:uid="{00000000-0005-0000-0000-0000521E0000}"/>
    <cellStyle name="Normal 8 6 4 2 2 2" xfId="26031" xr:uid="{664EADB9-7126-4ED3-AB92-D6E9A5671CE4}"/>
    <cellStyle name="Normal 8 6 4 2 2 2 2" xfId="42925" xr:uid="{C6059B69-4EBB-4CE2-9FE3-464BD817AD3A}"/>
    <cellStyle name="Normal 8 6 4 2 2 3" xfId="17584" xr:uid="{2F4ECB42-BE03-4D3E-AEEF-F674E570AEA0}"/>
    <cellStyle name="Normal 8 6 4 2 2 4" xfId="34478" xr:uid="{3D47B1A4-05DF-456C-87B2-49C414E5A5D6}"/>
    <cellStyle name="Normal 8 6 4 2 3" xfId="21814" xr:uid="{785B756A-6EB5-4E36-A972-58742151EFFB}"/>
    <cellStyle name="Normal 8 6 4 2 3 2" xfId="38708" xr:uid="{82E35570-E8E7-402D-88EF-A45D3E4F6E0E}"/>
    <cellStyle name="Normal 8 6 4 2 4" xfId="13367" xr:uid="{3F2A4D03-EE4F-4C01-B76C-35407F748A49}"/>
    <cellStyle name="Normal 8 6 4 2 5" xfId="30261" xr:uid="{53103C67-26B5-4E3D-BB93-DAAD0F761B1E}"/>
    <cellStyle name="Normal 8 6 4 3" xfId="6113" xr:uid="{00000000-0005-0000-0000-0000531E0000}"/>
    <cellStyle name="Normal 8 6 4 3 2" xfId="23886" xr:uid="{C9902620-B627-43DA-BA60-FA47260D28C0}"/>
    <cellStyle name="Normal 8 6 4 3 2 2" xfId="40780" xr:uid="{33BD1756-FEDC-4717-BFEC-FE876D3A6729}"/>
    <cellStyle name="Normal 8 6 4 3 3" xfId="15439" xr:uid="{01B0DBC0-B28F-48D1-B2EF-22877BE590F4}"/>
    <cellStyle name="Normal 8 6 4 3 4" xfId="32333" xr:uid="{CBDBC815-DE84-4CA6-97CB-6F5B19DE2B18}"/>
    <cellStyle name="Normal 8 6 4 4" xfId="19669" xr:uid="{A7C448ED-36F6-4386-B236-1DA3399A3A8F}"/>
    <cellStyle name="Normal 8 6 4 4 2" xfId="36563" xr:uid="{E3A4210F-9076-420A-B796-6864A0FDCF15}"/>
    <cellStyle name="Normal 8 6 4 5" xfId="11222" xr:uid="{848E9F59-ACE2-4A64-804D-3A3F5B3A1461}"/>
    <cellStyle name="Normal 8 6 4 6" xfId="28116" xr:uid="{4009819B-3883-4107-BF5F-3D3CAC699FDD}"/>
    <cellStyle name="Normal 8 6 5" xfId="2220" xr:uid="{00000000-0005-0000-0000-0000541E0000}"/>
    <cellStyle name="Normal 8 6 5 2" xfId="4449" xr:uid="{00000000-0005-0000-0000-0000551E0000}"/>
    <cellStyle name="Normal 8 6 5 2 2" xfId="8671" xr:uid="{00000000-0005-0000-0000-0000561E0000}"/>
    <cellStyle name="Normal 8 6 5 2 2 2" xfId="26444" xr:uid="{38D025F5-64FC-4C45-B32D-B89111F164BD}"/>
    <cellStyle name="Normal 8 6 5 2 2 2 2" xfId="43338" xr:uid="{E1F3B817-1BA2-472A-92E1-EEFB1B543C96}"/>
    <cellStyle name="Normal 8 6 5 2 2 3" xfId="17997" xr:uid="{F57ABF77-BDBF-49FF-A889-377D2708BEDA}"/>
    <cellStyle name="Normal 8 6 5 2 2 4" xfId="34891" xr:uid="{784E656F-E7DA-4AB3-8A3C-BC7A2FEEA83F}"/>
    <cellStyle name="Normal 8 6 5 2 3" xfId="22227" xr:uid="{CC7FD9F5-30A8-448A-B77F-FD2E9BE5D59B}"/>
    <cellStyle name="Normal 8 6 5 2 3 2" xfId="39121" xr:uid="{AEE84E82-0683-423F-9AA2-C646C11C7684}"/>
    <cellStyle name="Normal 8 6 5 2 4" xfId="13780" xr:uid="{0AE2F35A-3C67-4983-8C01-AF183F85AA3A}"/>
    <cellStyle name="Normal 8 6 5 2 5" xfId="30674" xr:uid="{1191B9EA-1448-4100-A479-6ECC4198C363}"/>
    <cellStyle name="Normal 8 6 5 3" xfId="6526" xr:uid="{00000000-0005-0000-0000-0000571E0000}"/>
    <cellStyle name="Normal 8 6 5 3 2" xfId="24299" xr:uid="{E21AC667-5283-4793-9506-C30318D3AF68}"/>
    <cellStyle name="Normal 8 6 5 3 2 2" xfId="41193" xr:uid="{46BEDF82-0C80-4FDF-A9C3-B695DFD3CE59}"/>
    <cellStyle name="Normal 8 6 5 3 3" xfId="15852" xr:uid="{501FD9ED-5E11-47B8-9CBD-C526A148EE58}"/>
    <cellStyle name="Normal 8 6 5 3 4" xfId="32746" xr:uid="{0197A896-18D7-4C45-A548-0E752813474A}"/>
    <cellStyle name="Normal 8 6 5 4" xfId="20082" xr:uid="{97CB25A4-87F8-4F9E-86F1-470A2681731E}"/>
    <cellStyle name="Normal 8 6 5 4 2" xfId="36976" xr:uid="{3E074CEB-3CD9-461C-A3CF-F9ECE6D55D6E}"/>
    <cellStyle name="Normal 8 6 5 5" xfId="11635" xr:uid="{48AE27E2-2AAA-49EB-AA4B-1A601FF360F8}"/>
    <cellStyle name="Normal 8 6 5 6" xfId="28529" xr:uid="{5E335C85-AD65-4737-9FFC-00A96A82E294}"/>
    <cellStyle name="Normal 8 6 6" xfId="2656" xr:uid="{00000000-0005-0000-0000-0000581E0000}"/>
    <cellStyle name="Normal 8 6 6 2" xfId="6939" xr:uid="{00000000-0005-0000-0000-0000591E0000}"/>
    <cellStyle name="Normal 8 6 6 2 2" xfId="24712" xr:uid="{2154A95D-74F0-495D-BED0-114D55665C39}"/>
    <cellStyle name="Normal 8 6 6 2 2 2" xfId="41606" xr:uid="{0D2DE21C-706A-49F7-A940-DFCC1F7BC762}"/>
    <cellStyle name="Normal 8 6 6 2 3" xfId="16265" xr:uid="{01C3F5D3-00C3-4384-B72D-286875BC0285}"/>
    <cellStyle name="Normal 8 6 6 2 4" xfId="33159" xr:uid="{280DDFFC-B111-4237-A807-42BEFAC32718}"/>
    <cellStyle name="Normal 8 6 6 3" xfId="20495" xr:uid="{7FB8839F-ACEA-4383-BEBD-2434745EF79A}"/>
    <cellStyle name="Normal 8 6 6 3 2" xfId="37389" xr:uid="{F450855D-0C53-4037-970D-CB6E3F9BF333}"/>
    <cellStyle name="Normal 8 6 6 4" xfId="12048" xr:uid="{1B478460-33A2-46CE-A9E8-16908678C181}"/>
    <cellStyle name="Normal 8 6 6 5" xfId="28942" xr:uid="{D070742D-3C5A-42FE-9627-CFF40815EADC}"/>
    <cellStyle name="Normal 8 6 7" xfId="4874" xr:uid="{00000000-0005-0000-0000-00005A1E0000}"/>
    <cellStyle name="Normal 8 6 7 2" xfId="22647" xr:uid="{5E5A9AF5-8C32-48AA-A400-BF9C0270B599}"/>
    <cellStyle name="Normal 8 6 7 2 2" xfId="39541" xr:uid="{DE24C2A8-F903-48FE-99C3-26F27689FC56}"/>
    <cellStyle name="Normal 8 6 7 3" xfId="14200" xr:uid="{9E66288C-0E0E-451A-B879-302CBA519F79}"/>
    <cellStyle name="Normal 8 6 7 4" xfId="31094" xr:uid="{4D4B5CC3-E186-42E8-839B-1F8C59FEA53F}"/>
    <cellStyle name="Normal 8 6 8" xfId="8961" xr:uid="{36060843-7B38-46C3-B2F1-7172ECB11EEE}"/>
    <cellStyle name="Normal 8 6 8 2" xfId="18430" xr:uid="{639E586E-FFB4-41CD-8C0C-39E2261B98FE}"/>
    <cellStyle name="Normal 8 6 8 3" xfId="35324" xr:uid="{C5378CB3-D29E-4F62-86FD-E6DE7CF4A6B9}"/>
    <cellStyle name="Normal 8 6 9" xfId="9983" xr:uid="{88D1352E-93AE-4164-B7B9-E5BD70E82941}"/>
    <cellStyle name="Normal 8 7" xfId="945" xr:uid="{00000000-0005-0000-0000-00005B1E0000}"/>
    <cellStyle name="Normal 8 7 2" xfId="3179" xr:uid="{00000000-0005-0000-0000-00005C1E0000}"/>
    <cellStyle name="Normal 8 7 2 2" xfId="7401" xr:uid="{00000000-0005-0000-0000-00005D1E0000}"/>
    <cellStyle name="Normal 8 7 2 2 2" xfId="25174" xr:uid="{D6AC74F3-B887-45C1-8071-CF7FC9CDCF94}"/>
    <cellStyle name="Normal 8 7 2 2 2 2" xfId="42068" xr:uid="{766CE440-FD10-4A6F-9591-E5B9FFDE76BD}"/>
    <cellStyle name="Normal 8 7 2 2 3" xfId="16727" xr:uid="{64BA6714-7745-4142-9A80-6ABFEE12C79C}"/>
    <cellStyle name="Normal 8 7 2 2 4" xfId="33621" xr:uid="{9154B6BA-5DA7-48A2-B523-6EE7FAF81931}"/>
    <cellStyle name="Normal 8 7 2 3" xfId="20957" xr:uid="{6EDE69CE-E5B1-4A21-9511-B25E7E121A18}"/>
    <cellStyle name="Normal 8 7 2 3 2" xfId="37851" xr:uid="{D2AC3C23-D5B8-48D8-A85A-7875419013EF}"/>
    <cellStyle name="Normal 8 7 2 4" xfId="12510" xr:uid="{D70FDD7A-C644-42DB-9FCA-D26A89800A77}"/>
    <cellStyle name="Normal 8 7 2 5" xfId="29404" xr:uid="{86A4F1B5-B9A1-48DF-9E91-875E6BBCCAD0}"/>
    <cellStyle name="Normal 8 7 3" xfId="5256" xr:uid="{00000000-0005-0000-0000-00005E1E0000}"/>
    <cellStyle name="Normal 8 7 3 2" xfId="23029" xr:uid="{EF403506-3224-4530-B6AC-D857096D2FAA}"/>
    <cellStyle name="Normal 8 7 3 2 2" xfId="39923" xr:uid="{8E9BDB97-5EA2-4D5C-A20B-ECD96EFF62FB}"/>
    <cellStyle name="Normal 8 7 3 3" xfId="14582" xr:uid="{5A0AB506-596B-4C92-AC08-BBD5C481188E}"/>
    <cellStyle name="Normal 8 7 3 4" xfId="31476" xr:uid="{91CD18BA-63BC-43D7-91CE-3829EBDBC68D}"/>
    <cellStyle name="Normal 8 7 4" xfId="9164" xr:uid="{EA2ADDDA-E9AC-4FF8-B08B-61B1D6489A46}"/>
    <cellStyle name="Normal 8 7 4 2" xfId="18812" xr:uid="{D8FB6B1B-3983-4227-A951-210BF5218583}"/>
    <cellStyle name="Normal 8 7 4 3" xfId="35706" xr:uid="{A0C6EE2A-9A87-4EF3-AFF5-58E3EC497349}"/>
    <cellStyle name="Normal 8 7 5" xfId="10365" xr:uid="{450501FB-9989-420D-AF6D-B9CC16B7EA55}"/>
    <cellStyle name="Normal 8 7 6" xfId="27259" xr:uid="{9FA2C51B-F3C0-49A6-AD36-2AA626F9AC2D}"/>
    <cellStyle name="Normal 8 8" xfId="1362" xr:uid="{00000000-0005-0000-0000-00005F1E0000}"/>
    <cellStyle name="Normal 8 8 2" xfId="3592" xr:uid="{00000000-0005-0000-0000-0000601E0000}"/>
    <cellStyle name="Normal 8 8 2 2" xfId="7814" xr:uid="{00000000-0005-0000-0000-0000611E0000}"/>
    <cellStyle name="Normal 8 8 2 2 2" xfId="25587" xr:uid="{EC98B837-9375-45A6-A6E0-84DBC32FD9C9}"/>
    <cellStyle name="Normal 8 8 2 2 2 2" xfId="42481" xr:uid="{AD82E180-09B0-4203-A32E-9D44808230EC}"/>
    <cellStyle name="Normal 8 8 2 2 3" xfId="17140" xr:uid="{AFF77F53-CE69-4ED2-A78F-B3B38189267D}"/>
    <cellStyle name="Normal 8 8 2 2 4" xfId="34034" xr:uid="{ED18D688-9959-4575-A28E-0EC56BAE2562}"/>
    <cellStyle name="Normal 8 8 2 3" xfId="21370" xr:uid="{52EADFC8-AB55-4570-A1D0-4A5C519B0CEB}"/>
    <cellStyle name="Normal 8 8 2 3 2" xfId="38264" xr:uid="{A7C3F78D-EC22-4623-8FEF-F98BFE98BFB4}"/>
    <cellStyle name="Normal 8 8 2 4" xfId="12923" xr:uid="{9CE5785B-C437-49E3-97D4-0FD482220D4D}"/>
    <cellStyle name="Normal 8 8 2 5" xfId="29817" xr:uid="{493A3372-71C8-44F1-A032-CDAF13072FAC}"/>
    <cellStyle name="Normal 8 8 3" xfId="5669" xr:uid="{00000000-0005-0000-0000-0000621E0000}"/>
    <cellStyle name="Normal 8 8 3 2" xfId="23442" xr:uid="{657B18FB-6D49-4FBE-8802-93C3D6462B8D}"/>
    <cellStyle name="Normal 8 8 3 2 2" xfId="40336" xr:uid="{FF3893D6-1C15-43BB-8EF4-1A971B448837}"/>
    <cellStyle name="Normal 8 8 3 3" xfId="14995" xr:uid="{475487E5-CA25-4DD4-A419-C9DEEE5CB52D}"/>
    <cellStyle name="Normal 8 8 3 4" xfId="31889" xr:uid="{2C5501BA-AC25-43DB-B6B2-087AB127ABB2}"/>
    <cellStyle name="Normal 8 8 4" xfId="19225" xr:uid="{7AB47501-6ED1-4643-B0BF-D6521C851675}"/>
    <cellStyle name="Normal 8 8 4 2" xfId="36119" xr:uid="{7B3DBFE9-8254-42C8-8AF5-5855409EE1D7}"/>
    <cellStyle name="Normal 8 8 5" xfId="10778" xr:uid="{72902802-3683-4589-AEEE-F51E5DAC9F3F}"/>
    <cellStyle name="Normal 8 8 6" xfId="27672" xr:uid="{40AD7BD5-8AE6-420A-97D0-5E4C797ABD42}"/>
    <cellStyle name="Normal 8 9" xfId="1775" xr:uid="{00000000-0005-0000-0000-0000631E0000}"/>
    <cellStyle name="Normal 8 9 2" xfId="4005" xr:uid="{00000000-0005-0000-0000-0000641E0000}"/>
    <cellStyle name="Normal 8 9 2 2" xfId="8227" xr:uid="{00000000-0005-0000-0000-0000651E0000}"/>
    <cellStyle name="Normal 8 9 2 2 2" xfId="26000" xr:uid="{414D8272-C838-430A-8059-FE0BBE243007}"/>
    <cellStyle name="Normal 8 9 2 2 2 2" xfId="42894" xr:uid="{EBB4DD13-DBC2-401E-BC8F-091095161676}"/>
    <cellStyle name="Normal 8 9 2 2 3" xfId="17553" xr:uid="{16575C21-57B1-47AE-9920-DB7BF57871D2}"/>
    <cellStyle name="Normal 8 9 2 2 4" xfId="34447" xr:uid="{57C82336-9CC5-4140-85FB-445ACDA8F901}"/>
    <cellStyle name="Normal 8 9 2 3" xfId="21783" xr:uid="{BA314C29-1764-483D-8588-7F533A46C12A}"/>
    <cellStyle name="Normal 8 9 2 3 2" xfId="38677" xr:uid="{8C898BBD-EF30-462A-9927-347905BBC964}"/>
    <cellStyle name="Normal 8 9 2 4" xfId="13336" xr:uid="{59691752-6EDF-4DFE-A0EE-54863173C952}"/>
    <cellStyle name="Normal 8 9 2 5" xfId="30230" xr:uid="{A8E3156C-D578-43A4-A381-3507B139535E}"/>
    <cellStyle name="Normal 8 9 3" xfId="6082" xr:uid="{00000000-0005-0000-0000-0000661E0000}"/>
    <cellStyle name="Normal 8 9 3 2" xfId="23855" xr:uid="{5D1ADD3B-0FD5-4ADB-95E8-4D8DBEF7934D}"/>
    <cellStyle name="Normal 8 9 3 2 2" xfId="40749" xr:uid="{E7E893FA-CDE4-4280-B042-340EE8822386}"/>
    <cellStyle name="Normal 8 9 3 3" xfId="15408" xr:uid="{1668E884-B8C1-4D03-9243-1B1360137A97}"/>
    <cellStyle name="Normal 8 9 3 4" xfId="32302" xr:uid="{3A2E019C-6FAE-46F4-90DC-3C4C6954E766}"/>
    <cellStyle name="Normal 8 9 4" xfId="19638" xr:uid="{20FBD5E3-B089-4602-8F8C-B1EDCF562262}"/>
    <cellStyle name="Normal 8 9 4 2" xfId="36532" xr:uid="{E34365DD-77B5-404E-B543-ADF87F95407A}"/>
    <cellStyle name="Normal 8 9 5" xfId="11191" xr:uid="{4C44CCBB-4212-48EF-8221-90E3A2CBC5A8}"/>
    <cellStyle name="Normal 8 9 6" xfId="28085" xr:uid="{698B0484-437D-41E5-81F6-B4D41370737B}"/>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0 2 2" xfId="24713" xr:uid="{5A68BCB8-2E19-4ABF-92DB-73EBC513D788}"/>
    <cellStyle name="Normal 9 2 10 2 2 2" xfId="41607" xr:uid="{30D01E58-D13C-4C9E-8EB3-56070FB1C878}"/>
    <cellStyle name="Normal 9 2 10 2 3" xfId="16266" xr:uid="{1B7E42A4-1B3F-4F37-BBA4-B31AF343B421}"/>
    <cellStyle name="Normal 9 2 10 2 4" xfId="33160" xr:uid="{7C5DA654-62F3-40B5-B7CB-4C95DAB8C81B}"/>
    <cellStyle name="Normal 9 2 10 3" xfId="20496" xr:uid="{94B2FA2E-E99F-4D41-8DE2-EA413F19D9F7}"/>
    <cellStyle name="Normal 9 2 10 3 2" xfId="37390" xr:uid="{4D9F5B64-1FD5-48FE-930C-1D1B612C5503}"/>
    <cellStyle name="Normal 9 2 10 4" xfId="12049" xr:uid="{ED703D55-83E6-448C-8F5A-D5E16A3050B1}"/>
    <cellStyle name="Normal 9 2 10 5" xfId="28943" xr:uid="{897A2BDA-65D1-4F88-A16C-3DF1CB837B13}"/>
    <cellStyle name="Normal 9 2 11" xfId="4875" xr:uid="{00000000-0005-0000-0000-00006B1E0000}"/>
    <cellStyle name="Normal 9 2 11 2" xfId="22648" xr:uid="{3D96D8D8-C637-4872-A6A0-3E6ABA32C9BA}"/>
    <cellStyle name="Normal 9 2 11 2 2" xfId="39542" xr:uid="{19C2A96E-3700-42C9-8466-D485A4022D73}"/>
    <cellStyle name="Normal 9 2 11 3" xfId="14201" xr:uid="{0C361E25-F31A-4A5E-A7BC-543A20ADBABE}"/>
    <cellStyle name="Normal 9 2 11 4" xfId="31095" xr:uid="{544487BB-F96E-4801-9F47-1221B1742CEF}"/>
    <cellStyle name="Normal 9 2 12" xfId="8754" xr:uid="{9024D06A-4C5F-4C89-BCDB-29B8C924FF52}"/>
    <cellStyle name="Normal 9 2 12 2" xfId="18431" xr:uid="{644D56A4-B914-451B-98D0-F225DAE5FE4A}"/>
    <cellStyle name="Normal 9 2 12 3" xfId="35325" xr:uid="{1A4B50B4-4C31-472F-9631-9EBA958DE9AA}"/>
    <cellStyle name="Normal 9 2 13" xfId="9984" xr:uid="{E85FB65F-9695-476B-AD6B-C6EA1EAD81B0}"/>
    <cellStyle name="Normal 9 2 14" xfId="26878" xr:uid="{F90648B8-7279-45F4-B6E0-997681D92A39}"/>
    <cellStyle name="Normal 9 2 2" xfId="512" xr:uid="{00000000-0005-0000-0000-00006C1E0000}"/>
    <cellStyle name="Normal 9 2 2 10" xfId="4876" xr:uid="{00000000-0005-0000-0000-00006D1E0000}"/>
    <cellStyle name="Normal 9 2 2 10 2" xfId="22649" xr:uid="{FBF620BD-15BE-4E03-91A8-4B511775707B}"/>
    <cellStyle name="Normal 9 2 2 10 2 2" xfId="39543" xr:uid="{B4B3D984-E69C-4414-B30B-BE96C00BDE2A}"/>
    <cellStyle name="Normal 9 2 2 10 3" xfId="14202" xr:uid="{8CAF24BA-B4C1-4736-BF55-230CB84E553E}"/>
    <cellStyle name="Normal 9 2 2 10 4" xfId="31096" xr:uid="{FFB584D4-BC4A-44EC-ADFF-766DECE90FBC}"/>
    <cellStyle name="Normal 9 2 2 11" xfId="8785" xr:uid="{3048542E-ED39-45ED-9C91-0140D2CF60D9}"/>
    <cellStyle name="Normal 9 2 2 11 2" xfId="18432" xr:uid="{75195DCB-552C-4A55-A736-C20764B2045C}"/>
    <cellStyle name="Normal 9 2 2 11 3" xfId="35326" xr:uid="{7AAE0767-5E47-4EB0-B8FB-70A2CF57C330}"/>
    <cellStyle name="Normal 9 2 2 12" xfId="9985" xr:uid="{561794A1-7B93-4860-A3FB-E4DE8C61E344}"/>
    <cellStyle name="Normal 9 2 2 13" xfId="26879" xr:uid="{FAB726D3-1FD7-421B-A50C-DA14C8EA66B3}"/>
    <cellStyle name="Normal 9 2 2 2" xfId="513" xr:uid="{00000000-0005-0000-0000-00006E1E0000}"/>
    <cellStyle name="Normal 9 2 2 2 10" xfId="8839" xr:uid="{3B2DC7F4-4F49-4AE2-9279-EFD4857A149B}"/>
    <cellStyle name="Normal 9 2 2 2 10 2" xfId="18433" xr:uid="{32DE9349-5A86-42B4-8FD7-A72609E93107}"/>
    <cellStyle name="Normal 9 2 2 2 10 3" xfId="35327" xr:uid="{45BECA7D-4F1D-49F8-B24E-6B8D70BC3084}"/>
    <cellStyle name="Normal 9 2 2 2 11" xfId="9986" xr:uid="{B1E9C809-FB34-4381-8257-76E59C06625B}"/>
    <cellStyle name="Normal 9 2 2 2 12" xfId="26880" xr:uid="{D5D430FC-608E-486B-B77E-EE86219B7E29}"/>
    <cellStyle name="Normal 9 2 2 2 2" xfId="514" xr:uid="{00000000-0005-0000-0000-00006F1E0000}"/>
    <cellStyle name="Normal 9 2 2 2 2 10" xfId="9987" xr:uid="{7159AF5D-9A32-4CFE-967A-576F2FAC27AB}"/>
    <cellStyle name="Normal 9 2 2 2 2 11" xfId="26881" xr:uid="{7BBAB383-7BC5-4907-84FA-1B49E08EF55E}"/>
    <cellStyle name="Normal 9 2 2 2 2 2" xfId="515" xr:uid="{00000000-0005-0000-0000-0000701E0000}"/>
    <cellStyle name="Normal 9 2 2 2 2 2 10" xfId="26882" xr:uid="{E4838757-13D0-4BF4-8A2A-A39E38B0E251}"/>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2 2 2" xfId="25210" xr:uid="{55F5F3D1-077B-403B-AD5B-FB4EF987CB07}"/>
    <cellStyle name="Normal 9 2 2 2 2 2 2 2 2 2 2" xfId="42104" xr:uid="{55B3822E-CB08-4B93-9A27-46A2983A5982}"/>
    <cellStyle name="Normal 9 2 2 2 2 2 2 2 2 3" xfId="16763" xr:uid="{3916CA74-F334-42FE-8194-6559EAA0E4AA}"/>
    <cellStyle name="Normal 9 2 2 2 2 2 2 2 2 4" xfId="33657" xr:uid="{E33A525A-E210-4F6C-94B0-B536BC0C120D}"/>
    <cellStyle name="Normal 9 2 2 2 2 2 2 2 3" xfId="20993" xr:uid="{99B8712A-599D-472A-BE0D-4BAAA6227A48}"/>
    <cellStyle name="Normal 9 2 2 2 2 2 2 2 3 2" xfId="37887" xr:uid="{6D3A59C3-2C1F-4277-B247-16F08A66008C}"/>
    <cellStyle name="Normal 9 2 2 2 2 2 2 2 4" xfId="12546" xr:uid="{9EA073E5-5165-4D47-A902-62F3B69ECE02}"/>
    <cellStyle name="Normal 9 2 2 2 2 2 2 2 5" xfId="29440" xr:uid="{30013524-BDF5-406E-B3A6-CCE7FFC7853A}"/>
    <cellStyle name="Normal 9 2 2 2 2 2 2 3" xfId="5292" xr:uid="{00000000-0005-0000-0000-0000741E0000}"/>
    <cellStyle name="Normal 9 2 2 2 2 2 2 3 2" xfId="23065" xr:uid="{7747192A-6ECB-4C3F-9C0D-E23873190EAC}"/>
    <cellStyle name="Normal 9 2 2 2 2 2 2 3 2 2" xfId="39959" xr:uid="{2A223696-59F3-4F0D-885E-036F3E2E3420}"/>
    <cellStyle name="Normal 9 2 2 2 2 2 2 3 3" xfId="14618" xr:uid="{E74B0877-1462-4E61-A709-B24804446618}"/>
    <cellStyle name="Normal 9 2 2 2 2 2 2 3 4" xfId="31512" xr:uid="{1C1EEADA-9430-4131-84B2-ACE5D4CFABE7}"/>
    <cellStyle name="Normal 9 2 2 2 2 2 2 4" xfId="9574" xr:uid="{00EB170D-8A20-4280-B781-E452C3590555}"/>
    <cellStyle name="Normal 9 2 2 2 2 2 2 4 2" xfId="18848" xr:uid="{0C3B2FA1-DA3A-48A1-A9D7-AEEA40925002}"/>
    <cellStyle name="Normal 9 2 2 2 2 2 2 4 3" xfId="35742" xr:uid="{7704D05D-5E01-4E9A-A4C0-3FA80E6B0D99}"/>
    <cellStyle name="Normal 9 2 2 2 2 2 2 5" xfId="10401" xr:uid="{7FA98E50-C2B6-4DFF-9E85-8715AEB4A03B}"/>
    <cellStyle name="Normal 9 2 2 2 2 2 2 6" xfId="27295" xr:uid="{BC728586-07A6-4DBB-9AB3-42C7C2B69451}"/>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2 2 2" xfId="25623" xr:uid="{898A49FC-4B5D-4D5A-A5A3-44FE66594DC7}"/>
    <cellStyle name="Normal 9 2 2 2 2 2 3 2 2 2 2" xfId="42517" xr:uid="{EA1ECB41-DFEA-4AF8-B176-14701B191C64}"/>
    <cellStyle name="Normal 9 2 2 2 2 2 3 2 2 3" xfId="17176" xr:uid="{F543904C-93FC-4AE6-ACB1-97EB9F6DCC4B}"/>
    <cellStyle name="Normal 9 2 2 2 2 2 3 2 2 4" xfId="34070" xr:uid="{165EEA46-7900-4F10-93B8-72485C5A8982}"/>
    <cellStyle name="Normal 9 2 2 2 2 2 3 2 3" xfId="21406" xr:uid="{1B1510E0-19CE-493E-8832-9DFECC8EA660}"/>
    <cellStyle name="Normal 9 2 2 2 2 2 3 2 3 2" xfId="38300" xr:uid="{7DA9ADA3-1403-4783-9CDD-FBF56BA8D4AB}"/>
    <cellStyle name="Normal 9 2 2 2 2 2 3 2 4" xfId="12959" xr:uid="{1D1BE5B5-EFF4-4848-ABB8-CA3FA3188415}"/>
    <cellStyle name="Normal 9 2 2 2 2 2 3 2 5" xfId="29853" xr:uid="{4CB1F6EB-7451-4B82-B250-06E8D7C93DA1}"/>
    <cellStyle name="Normal 9 2 2 2 2 2 3 3" xfId="5705" xr:uid="{00000000-0005-0000-0000-0000781E0000}"/>
    <cellStyle name="Normal 9 2 2 2 2 2 3 3 2" xfId="23478" xr:uid="{3C5F6069-4E89-422D-B708-64AC39528270}"/>
    <cellStyle name="Normal 9 2 2 2 2 2 3 3 2 2" xfId="40372" xr:uid="{91AEFDCA-2570-4993-AD79-BD55FAAD982D}"/>
    <cellStyle name="Normal 9 2 2 2 2 2 3 3 3" xfId="15031" xr:uid="{16E6BBFE-60DD-4173-949F-8E1E594CB4C2}"/>
    <cellStyle name="Normal 9 2 2 2 2 2 3 3 4" xfId="31925" xr:uid="{5E758A27-D556-4D0A-B85A-8BEFA3B2D81F}"/>
    <cellStyle name="Normal 9 2 2 2 2 2 3 4" xfId="19261" xr:uid="{783E1325-2F49-4C5C-8327-7A4BF3B27378}"/>
    <cellStyle name="Normal 9 2 2 2 2 2 3 4 2" xfId="36155" xr:uid="{C8FF214C-1E22-4454-B5A4-DC5937A2CC81}"/>
    <cellStyle name="Normal 9 2 2 2 2 2 3 5" xfId="10814" xr:uid="{26ACB98E-5BD8-440D-8CD3-D646D29FE5EA}"/>
    <cellStyle name="Normal 9 2 2 2 2 2 3 6" xfId="27708" xr:uid="{55565D0A-1E3A-48D9-A904-5E45765F545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2 2 2" xfId="26036" xr:uid="{CFC109E1-521A-476B-B830-FDE294F379FA}"/>
    <cellStyle name="Normal 9 2 2 2 2 2 4 2 2 2 2" xfId="42930" xr:uid="{DE70C833-F765-493F-BDDC-5F76AB5772D9}"/>
    <cellStyle name="Normal 9 2 2 2 2 2 4 2 2 3" xfId="17589" xr:uid="{5B7AAB2A-5A6B-4437-AB1D-74425E1F52A1}"/>
    <cellStyle name="Normal 9 2 2 2 2 2 4 2 2 4" xfId="34483" xr:uid="{A721B7EE-A315-4304-81CD-B2FAD620403C}"/>
    <cellStyle name="Normal 9 2 2 2 2 2 4 2 3" xfId="21819" xr:uid="{B98D4AEF-D893-4D08-BB4D-0BA692E3BFE5}"/>
    <cellStyle name="Normal 9 2 2 2 2 2 4 2 3 2" xfId="38713" xr:uid="{C4D11385-4063-4A37-AD5F-2A996465913D}"/>
    <cellStyle name="Normal 9 2 2 2 2 2 4 2 4" xfId="13372" xr:uid="{8D3E765C-DC85-43AC-BA6D-5270D954052D}"/>
    <cellStyle name="Normal 9 2 2 2 2 2 4 2 5" xfId="30266" xr:uid="{0060E02D-6248-4C64-9563-2B9D6CD14332}"/>
    <cellStyle name="Normal 9 2 2 2 2 2 4 3" xfId="6118" xr:uid="{00000000-0005-0000-0000-00007C1E0000}"/>
    <cellStyle name="Normal 9 2 2 2 2 2 4 3 2" xfId="23891" xr:uid="{A8C5926F-E77A-479B-9FE1-3AA821617F65}"/>
    <cellStyle name="Normal 9 2 2 2 2 2 4 3 2 2" xfId="40785" xr:uid="{9D22AFBB-5158-4331-B625-8D476B92C4B0}"/>
    <cellStyle name="Normal 9 2 2 2 2 2 4 3 3" xfId="15444" xr:uid="{F8E3A9EC-8B9B-476E-B8A8-B78798272841}"/>
    <cellStyle name="Normal 9 2 2 2 2 2 4 3 4" xfId="32338" xr:uid="{5EF4CBB0-7568-445D-8798-CA377A5701DA}"/>
    <cellStyle name="Normal 9 2 2 2 2 2 4 4" xfId="19674" xr:uid="{8348CA1B-6D96-4626-AC92-847D963F25ED}"/>
    <cellStyle name="Normal 9 2 2 2 2 2 4 4 2" xfId="36568" xr:uid="{08A35438-888A-4DAF-9285-89F29A91F945}"/>
    <cellStyle name="Normal 9 2 2 2 2 2 4 5" xfId="11227" xr:uid="{8ACD5112-F98D-44D4-8343-0599560FEA59}"/>
    <cellStyle name="Normal 9 2 2 2 2 2 4 6" xfId="28121" xr:uid="{1BA782EB-C0E3-4168-9B42-7AD5460E64C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2 2 2" xfId="26449" xr:uid="{2A7E7D83-CD6F-433F-9453-BAB236B56CA3}"/>
    <cellStyle name="Normal 9 2 2 2 2 2 5 2 2 2 2" xfId="43343" xr:uid="{13563A1B-5530-4734-B521-2BB4991DB79B}"/>
    <cellStyle name="Normal 9 2 2 2 2 2 5 2 2 3" xfId="18002" xr:uid="{B5FAADF7-E6BE-4FC0-99FD-5C8C130AC22F}"/>
    <cellStyle name="Normal 9 2 2 2 2 2 5 2 2 4" xfId="34896" xr:uid="{2A00D2FA-3F11-4A96-9ED6-49CF5853B8FF}"/>
    <cellStyle name="Normal 9 2 2 2 2 2 5 2 3" xfId="22232" xr:uid="{AEA544DA-205F-4D8B-B234-A47FEA05AA52}"/>
    <cellStyle name="Normal 9 2 2 2 2 2 5 2 3 2" xfId="39126" xr:uid="{3CDEA0F1-D309-4AA7-9006-9345A88F3CA1}"/>
    <cellStyle name="Normal 9 2 2 2 2 2 5 2 4" xfId="13785" xr:uid="{BBD48ED0-CBAF-4DD6-A607-272EA5C97358}"/>
    <cellStyle name="Normal 9 2 2 2 2 2 5 2 5" xfId="30679" xr:uid="{1588ACB3-5CDC-462B-B051-A5E213E08B2D}"/>
    <cellStyle name="Normal 9 2 2 2 2 2 5 3" xfId="6531" xr:uid="{00000000-0005-0000-0000-0000801E0000}"/>
    <cellStyle name="Normal 9 2 2 2 2 2 5 3 2" xfId="24304" xr:uid="{54ECCE01-6663-4102-8567-27724A7049F9}"/>
    <cellStyle name="Normal 9 2 2 2 2 2 5 3 2 2" xfId="41198" xr:uid="{9D9F2DDB-7EFF-444B-93AF-86BB267F6924}"/>
    <cellStyle name="Normal 9 2 2 2 2 2 5 3 3" xfId="15857" xr:uid="{7277EE88-FE19-487C-B365-C997B890DF26}"/>
    <cellStyle name="Normal 9 2 2 2 2 2 5 3 4" xfId="32751" xr:uid="{4BAFC566-5112-417C-A720-DD07DD13290B}"/>
    <cellStyle name="Normal 9 2 2 2 2 2 5 4" xfId="20087" xr:uid="{35402D35-D5BF-4030-94AE-6E8F8E0C2480}"/>
    <cellStyle name="Normal 9 2 2 2 2 2 5 4 2" xfId="36981" xr:uid="{722EAB97-9735-4249-97AA-43880278C085}"/>
    <cellStyle name="Normal 9 2 2 2 2 2 5 5" xfId="11640" xr:uid="{59167F5D-5F90-4086-B8E7-23D329F57C87}"/>
    <cellStyle name="Normal 9 2 2 2 2 2 5 6" xfId="28534" xr:uid="{5091FEFC-E6AB-4763-B2D5-0EE3B86855B1}"/>
    <cellStyle name="Normal 9 2 2 2 2 2 6" xfId="2661" xr:uid="{00000000-0005-0000-0000-0000811E0000}"/>
    <cellStyle name="Normal 9 2 2 2 2 2 6 2" xfId="6944" xr:uid="{00000000-0005-0000-0000-0000821E0000}"/>
    <cellStyle name="Normal 9 2 2 2 2 2 6 2 2" xfId="24717" xr:uid="{0F2F5063-A340-4181-A7FE-DD8BE3D98B80}"/>
    <cellStyle name="Normal 9 2 2 2 2 2 6 2 2 2" xfId="41611" xr:uid="{15392872-9899-4004-86A8-2091C821C44C}"/>
    <cellStyle name="Normal 9 2 2 2 2 2 6 2 3" xfId="16270" xr:uid="{9EDD8061-21B1-45A8-ABA6-054F93F479DF}"/>
    <cellStyle name="Normal 9 2 2 2 2 2 6 2 4" xfId="33164" xr:uid="{FCAA58BD-FC47-4E42-AEBE-203763F32994}"/>
    <cellStyle name="Normal 9 2 2 2 2 2 6 3" xfId="20500" xr:uid="{374A0C21-55E3-4999-B1C7-74E931BD3EEC}"/>
    <cellStyle name="Normal 9 2 2 2 2 2 6 3 2" xfId="37394" xr:uid="{E984E2D8-957F-4E44-8F19-327401354EC6}"/>
    <cellStyle name="Normal 9 2 2 2 2 2 6 4" xfId="12053" xr:uid="{F153BB67-7BAB-4AFC-AB4C-F835B3073D30}"/>
    <cellStyle name="Normal 9 2 2 2 2 2 6 5" xfId="28947" xr:uid="{7643CD19-66C2-4DEB-AA68-223BDA1861EA}"/>
    <cellStyle name="Normal 9 2 2 2 2 2 7" xfId="4879" xr:uid="{00000000-0005-0000-0000-0000831E0000}"/>
    <cellStyle name="Normal 9 2 2 2 2 2 7 2" xfId="22652" xr:uid="{CB99B651-FEA5-4FCE-A43A-40329DB68724}"/>
    <cellStyle name="Normal 9 2 2 2 2 2 7 2 2" xfId="39546" xr:uid="{36F6528F-9AE1-42D4-86D3-6738BA5CD148}"/>
    <cellStyle name="Normal 9 2 2 2 2 2 7 3" xfId="14205" xr:uid="{EA2DFBF7-0202-4155-97C9-34B05D38F4BD}"/>
    <cellStyle name="Normal 9 2 2 2 2 2 7 4" xfId="31099" xr:uid="{1E7E2A87-54EF-46D6-A520-81ED8872D9F8}"/>
    <cellStyle name="Normal 9 2 2 2 2 2 8" xfId="9149" xr:uid="{6C0BEC1E-EE3B-4956-830C-8775C93DB46A}"/>
    <cellStyle name="Normal 9 2 2 2 2 2 8 2" xfId="18435" xr:uid="{F3546046-C92F-4EE7-BA90-F7BACE83D1BC}"/>
    <cellStyle name="Normal 9 2 2 2 2 2 8 3" xfId="35329" xr:uid="{8F681C64-AF02-4C3E-B7CD-2E6924570605}"/>
    <cellStyle name="Normal 9 2 2 2 2 2 9" xfId="9988" xr:uid="{787647DC-18BF-446F-A9B3-298943EBFD19}"/>
    <cellStyle name="Normal 9 2 2 2 2 3" xfId="981" xr:uid="{00000000-0005-0000-0000-0000841E0000}"/>
    <cellStyle name="Normal 9 2 2 2 2 3 2" xfId="3214" xr:uid="{00000000-0005-0000-0000-0000851E0000}"/>
    <cellStyle name="Normal 9 2 2 2 2 3 2 2" xfId="7436" xr:uid="{00000000-0005-0000-0000-0000861E0000}"/>
    <cellStyle name="Normal 9 2 2 2 2 3 2 2 2" xfId="25209" xr:uid="{D4EC9A3D-7539-44EE-B115-4022B76432C7}"/>
    <cellStyle name="Normal 9 2 2 2 2 3 2 2 2 2" xfId="42103" xr:uid="{18BEB9F8-9DCA-41A2-8BB3-26B2B4683C0D}"/>
    <cellStyle name="Normal 9 2 2 2 2 3 2 2 3" xfId="16762" xr:uid="{1369CDE1-AD8D-4CDD-9FC0-41101E06A45B}"/>
    <cellStyle name="Normal 9 2 2 2 2 3 2 2 4" xfId="33656" xr:uid="{F67A1E3F-0EFB-467D-8251-0E1961D21BA3}"/>
    <cellStyle name="Normal 9 2 2 2 2 3 2 3" xfId="20992" xr:uid="{068AF803-909C-42F2-94B8-16FDDEAB7E7B}"/>
    <cellStyle name="Normal 9 2 2 2 2 3 2 3 2" xfId="37886" xr:uid="{6FBB2DF6-6D33-4D01-9466-4A70567F0EEA}"/>
    <cellStyle name="Normal 9 2 2 2 2 3 2 4" xfId="12545" xr:uid="{B52BF312-20E6-4638-848E-C32E0D7862A8}"/>
    <cellStyle name="Normal 9 2 2 2 2 3 2 5" xfId="29439" xr:uid="{966F2C77-C513-4F22-BD0A-9B039EE2683C}"/>
    <cellStyle name="Normal 9 2 2 2 2 3 3" xfId="5291" xr:uid="{00000000-0005-0000-0000-0000871E0000}"/>
    <cellStyle name="Normal 9 2 2 2 2 3 3 2" xfId="23064" xr:uid="{2D8117DD-90EA-496D-A641-95DC9A38DA91}"/>
    <cellStyle name="Normal 9 2 2 2 2 3 3 2 2" xfId="39958" xr:uid="{A39BBC43-5131-4B76-B28F-B00825E4549C}"/>
    <cellStyle name="Normal 9 2 2 2 2 3 3 3" xfId="14617" xr:uid="{6BB8BF1F-3169-4FB2-BCEE-49D12D2417A1}"/>
    <cellStyle name="Normal 9 2 2 2 2 3 3 4" xfId="31511" xr:uid="{C9EB22AB-5A4D-42F4-AC75-AF13F30D139C}"/>
    <cellStyle name="Normal 9 2 2 2 2 3 4" xfId="9367" xr:uid="{4A654E22-020A-4B0F-8753-639C44EA908A}"/>
    <cellStyle name="Normal 9 2 2 2 2 3 4 2" xfId="18847" xr:uid="{FC77BF13-91A8-4507-A326-886AF7DC3031}"/>
    <cellStyle name="Normal 9 2 2 2 2 3 4 3" xfId="35741" xr:uid="{F10ED86A-E089-4E03-8859-620F01D5DB23}"/>
    <cellStyle name="Normal 9 2 2 2 2 3 5" xfId="10400" xr:uid="{43772BD1-1B72-4801-BDA0-A0E2239FA997}"/>
    <cellStyle name="Normal 9 2 2 2 2 3 6" xfId="27294" xr:uid="{7D2BDA45-FB00-42B4-9C73-FC8B175CC7E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2 2 2" xfId="25622" xr:uid="{DBFED4F0-5BF9-464C-8EF6-8487D662601C}"/>
    <cellStyle name="Normal 9 2 2 2 2 4 2 2 2 2" xfId="42516" xr:uid="{31221DE4-BE70-4E8B-B6B1-A3105D1F0A61}"/>
    <cellStyle name="Normal 9 2 2 2 2 4 2 2 3" xfId="17175" xr:uid="{863BD537-F7D2-4092-B93D-7023571D0ED9}"/>
    <cellStyle name="Normal 9 2 2 2 2 4 2 2 4" xfId="34069" xr:uid="{CEEAD807-2C81-4E43-B43E-F22348758B99}"/>
    <cellStyle name="Normal 9 2 2 2 2 4 2 3" xfId="21405" xr:uid="{37B9B54D-1900-411A-B945-C4B52EE9FA69}"/>
    <cellStyle name="Normal 9 2 2 2 2 4 2 3 2" xfId="38299" xr:uid="{E6FC77F3-960E-4A35-9A6F-C15DFBE4C961}"/>
    <cellStyle name="Normal 9 2 2 2 2 4 2 4" xfId="12958" xr:uid="{EDF3997D-BAF6-4D03-85E6-205F025150D2}"/>
    <cellStyle name="Normal 9 2 2 2 2 4 2 5" xfId="29852" xr:uid="{EC2CF509-7456-4F89-92D8-D4C142F18E34}"/>
    <cellStyle name="Normal 9 2 2 2 2 4 3" xfId="5704" xr:uid="{00000000-0005-0000-0000-00008B1E0000}"/>
    <cellStyle name="Normal 9 2 2 2 2 4 3 2" xfId="23477" xr:uid="{C9DC25E9-B43E-4015-B982-BA3A51D86457}"/>
    <cellStyle name="Normal 9 2 2 2 2 4 3 2 2" xfId="40371" xr:uid="{F22E0714-3430-4D56-B09F-4D33B634212D}"/>
    <cellStyle name="Normal 9 2 2 2 2 4 3 3" xfId="15030" xr:uid="{9ACFC018-3811-4BA3-B9DC-C1F8A42F1FE9}"/>
    <cellStyle name="Normal 9 2 2 2 2 4 3 4" xfId="31924" xr:uid="{5BE0B8E4-84AD-474F-80D5-3D94CBCCE0C1}"/>
    <cellStyle name="Normal 9 2 2 2 2 4 4" xfId="19260" xr:uid="{517F5269-4BF9-4EAB-9142-827E62B519AF}"/>
    <cellStyle name="Normal 9 2 2 2 2 4 4 2" xfId="36154" xr:uid="{BAB460F5-8833-47A4-9DEE-8F1448D2E92D}"/>
    <cellStyle name="Normal 9 2 2 2 2 4 5" xfId="10813" xr:uid="{791E4334-6F22-4146-8DFF-69DBE7118958}"/>
    <cellStyle name="Normal 9 2 2 2 2 4 6" xfId="27707" xr:uid="{BE4BAC8D-4281-46ED-A3A3-F80520F94AAE}"/>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2 2 2" xfId="26035" xr:uid="{51BD5FC1-B719-43FE-AE09-2548ABD02B40}"/>
    <cellStyle name="Normal 9 2 2 2 2 5 2 2 2 2" xfId="42929" xr:uid="{EB73417D-4E7F-49B7-96DE-5CF9F87EF1E7}"/>
    <cellStyle name="Normal 9 2 2 2 2 5 2 2 3" xfId="17588" xr:uid="{C22A0651-B212-4F4B-A1BA-C1ED9C37B12A}"/>
    <cellStyle name="Normal 9 2 2 2 2 5 2 2 4" xfId="34482" xr:uid="{21C7FB8A-2A43-4CB7-A69B-85B1B136EFF7}"/>
    <cellStyle name="Normal 9 2 2 2 2 5 2 3" xfId="21818" xr:uid="{2D02262D-C262-4202-A9F8-7CC2C312A0D7}"/>
    <cellStyle name="Normal 9 2 2 2 2 5 2 3 2" xfId="38712" xr:uid="{1D4F6679-ACA2-4F95-B6D9-939F8FD9D6E1}"/>
    <cellStyle name="Normal 9 2 2 2 2 5 2 4" xfId="13371" xr:uid="{33C08A3E-4B39-40F4-94E2-273A2E62F463}"/>
    <cellStyle name="Normal 9 2 2 2 2 5 2 5" xfId="30265" xr:uid="{208C9CE0-F1BE-4D35-89A7-FC369B33CDE6}"/>
    <cellStyle name="Normal 9 2 2 2 2 5 3" xfId="6117" xr:uid="{00000000-0005-0000-0000-00008F1E0000}"/>
    <cellStyle name="Normal 9 2 2 2 2 5 3 2" xfId="23890" xr:uid="{BAA468F9-7F65-42A8-BAD4-5925C7846518}"/>
    <cellStyle name="Normal 9 2 2 2 2 5 3 2 2" xfId="40784" xr:uid="{6A2BDB40-C8D3-44F2-B5D9-9E5C5B04D084}"/>
    <cellStyle name="Normal 9 2 2 2 2 5 3 3" xfId="15443" xr:uid="{528EB373-24D0-4A45-9772-6CE921534860}"/>
    <cellStyle name="Normal 9 2 2 2 2 5 3 4" xfId="32337" xr:uid="{CEED33B1-541E-47BA-96B1-545870991276}"/>
    <cellStyle name="Normal 9 2 2 2 2 5 4" xfId="19673" xr:uid="{AD4799FD-CDE9-4781-BF4A-E09677301E9E}"/>
    <cellStyle name="Normal 9 2 2 2 2 5 4 2" xfId="36567" xr:uid="{E50272E7-B549-4E49-BA87-2799D0E474C7}"/>
    <cellStyle name="Normal 9 2 2 2 2 5 5" xfId="11226" xr:uid="{7020844D-9EA8-4055-B4BB-FCB6DD5B104C}"/>
    <cellStyle name="Normal 9 2 2 2 2 5 6" xfId="28120" xr:uid="{332369AD-2346-4889-B74B-FCE55922DB11}"/>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2 2 2" xfId="26448" xr:uid="{B5F44596-A2B8-4BC8-B28D-EB596820EF52}"/>
    <cellStyle name="Normal 9 2 2 2 2 6 2 2 2 2" xfId="43342" xr:uid="{94E28A22-AD9D-4E4E-9D15-321F65338D55}"/>
    <cellStyle name="Normal 9 2 2 2 2 6 2 2 3" xfId="18001" xr:uid="{F4ECB5ED-7C2C-4E8C-BB59-DBD723CBF6B1}"/>
    <cellStyle name="Normal 9 2 2 2 2 6 2 2 4" xfId="34895" xr:uid="{1439D63F-5FC0-482C-8599-4A337F5083DE}"/>
    <cellStyle name="Normal 9 2 2 2 2 6 2 3" xfId="22231" xr:uid="{5A4F80DD-92E4-4CB3-97CF-5696905AE2B2}"/>
    <cellStyle name="Normal 9 2 2 2 2 6 2 3 2" xfId="39125" xr:uid="{5791D7D2-CEAD-4E44-9491-56F4465359A7}"/>
    <cellStyle name="Normal 9 2 2 2 2 6 2 4" xfId="13784" xr:uid="{5DF1549D-C254-4361-875A-2CD85DED459B}"/>
    <cellStyle name="Normal 9 2 2 2 2 6 2 5" xfId="30678" xr:uid="{6A6B526A-B65E-4249-B261-0B59D90A58CA}"/>
    <cellStyle name="Normal 9 2 2 2 2 6 3" xfId="6530" xr:uid="{00000000-0005-0000-0000-0000931E0000}"/>
    <cellStyle name="Normal 9 2 2 2 2 6 3 2" xfId="24303" xr:uid="{4F47519F-7BBA-49EA-B0F8-A5D544B3A339}"/>
    <cellStyle name="Normal 9 2 2 2 2 6 3 2 2" xfId="41197" xr:uid="{6B9F530B-7EAE-4062-9DDE-ECF3D9C307B1}"/>
    <cellStyle name="Normal 9 2 2 2 2 6 3 3" xfId="15856" xr:uid="{5A3B03C9-5EA6-4975-B202-7EE2317FEC12}"/>
    <cellStyle name="Normal 9 2 2 2 2 6 3 4" xfId="32750" xr:uid="{C2AABDA7-0091-45FC-9F35-B1E47227E8C7}"/>
    <cellStyle name="Normal 9 2 2 2 2 6 4" xfId="20086" xr:uid="{01674C6C-5A90-4D8E-82B6-F345B3402EF4}"/>
    <cellStyle name="Normal 9 2 2 2 2 6 4 2" xfId="36980" xr:uid="{3D17563A-E866-4017-8F20-811FE6E31889}"/>
    <cellStyle name="Normal 9 2 2 2 2 6 5" xfId="11639" xr:uid="{B24A9CB8-137A-40D6-9F87-364301924613}"/>
    <cellStyle name="Normal 9 2 2 2 2 6 6" xfId="28533" xr:uid="{7E831708-2853-4059-9A57-5BFD2A900B0D}"/>
    <cellStyle name="Normal 9 2 2 2 2 7" xfId="2660" xr:uid="{00000000-0005-0000-0000-0000941E0000}"/>
    <cellStyle name="Normal 9 2 2 2 2 7 2" xfId="6943" xr:uid="{00000000-0005-0000-0000-0000951E0000}"/>
    <cellStyle name="Normal 9 2 2 2 2 7 2 2" xfId="24716" xr:uid="{27D87714-E170-440D-B052-9894FAA39D7B}"/>
    <cellStyle name="Normal 9 2 2 2 2 7 2 2 2" xfId="41610" xr:uid="{D933506F-D64C-4F68-89F4-12CCDE55FFFC}"/>
    <cellStyle name="Normal 9 2 2 2 2 7 2 3" xfId="16269" xr:uid="{788A5117-CDA7-490A-B91C-CDE979D0D52C}"/>
    <cellStyle name="Normal 9 2 2 2 2 7 2 4" xfId="33163" xr:uid="{ABC31C7C-AC23-4CD9-81BF-B25902E31F3B}"/>
    <cellStyle name="Normal 9 2 2 2 2 7 3" xfId="20499" xr:uid="{D3F1222D-4702-40AA-B695-7E69826A0172}"/>
    <cellStyle name="Normal 9 2 2 2 2 7 3 2" xfId="37393" xr:uid="{0A0D8FAA-3D79-47D0-8393-5A2D55ADD1DD}"/>
    <cellStyle name="Normal 9 2 2 2 2 7 4" xfId="12052" xr:uid="{E429E4F5-3633-4767-AFF5-6F3517F4DF1B}"/>
    <cellStyle name="Normal 9 2 2 2 2 7 5" xfId="28946" xr:uid="{8C1C3E5D-48AB-4D6E-B58A-CCFC854A53F3}"/>
    <cellStyle name="Normal 9 2 2 2 2 8" xfId="4878" xr:uid="{00000000-0005-0000-0000-0000961E0000}"/>
    <cellStyle name="Normal 9 2 2 2 2 8 2" xfId="22651" xr:uid="{8380E630-CC5F-4429-AB32-A9C2468D70EA}"/>
    <cellStyle name="Normal 9 2 2 2 2 8 2 2" xfId="39545" xr:uid="{B5A95CA3-281A-45AC-AF38-3800562DB01E}"/>
    <cellStyle name="Normal 9 2 2 2 2 8 3" xfId="14204" xr:uid="{F67165BC-5C3B-44EC-94C0-097EEF34FDCC}"/>
    <cellStyle name="Normal 9 2 2 2 2 8 4" xfId="31098" xr:uid="{9001E988-724C-42C3-815E-F98CA1C58D1A}"/>
    <cellStyle name="Normal 9 2 2 2 2 9" xfId="8942" xr:uid="{0DE8A022-819C-4D6A-B102-31C1C7F429A5}"/>
    <cellStyle name="Normal 9 2 2 2 2 9 2" xfId="18434" xr:uid="{8916C827-2E68-4801-B9C7-DEB579135597}"/>
    <cellStyle name="Normal 9 2 2 2 2 9 3" xfId="35328" xr:uid="{80E222B3-A4A7-4ADD-853E-1885F8067671}"/>
    <cellStyle name="Normal 9 2 2 2 3" xfId="516" xr:uid="{00000000-0005-0000-0000-0000971E0000}"/>
    <cellStyle name="Normal 9 2 2 2 3 10" xfId="26883" xr:uid="{8561FE06-0EC6-4BD5-ABF9-949A2A723D07}"/>
    <cellStyle name="Normal 9 2 2 2 3 2" xfId="983" xr:uid="{00000000-0005-0000-0000-0000981E0000}"/>
    <cellStyle name="Normal 9 2 2 2 3 2 2" xfId="3216" xr:uid="{00000000-0005-0000-0000-0000991E0000}"/>
    <cellStyle name="Normal 9 2 2 2 3 2 2 2" xfId="7438" xr:uid="{00000000-0005-0000-0000-00009A1E0000}"/>
    <cellStyle name="Normal 9 2 2 2 3 2 2 2 2" xfId="25211" xr:uid="{B169991F-9E07-4380-8DB9-D7E0313DF33F}"/>
    <cellStyle name="Normal 9 2 2 2 3 2 2 2 2 2" xfId="42105" xr:uid="{E3B620F6-B2B9-4F1F-A552-2E6618B11C28}"/>
    <cellStyle name="Normal 9 2 2 2 3 2 2 2 3" xfId="16764" xr:uid="{F0E86167-DB38-4E9E-9BC9-D11C480E2455}"/>
    <cellStyle name="Normal 9 2 2 2 3 2 2 2 4" xfId="33658" xr:uid="{8720F84B-F7C1-445C-8FB0-D1B08B582286}"/>
    <cellStyle name="Normal 9 2 2 2 3 2 2 3" xfId="20994" xr:uid="{47CBAC9E-4C17-4F3D-9FCB-41287DB60042}"/>
    <cellStyle name="Normal 9 2 2 2 3 2 2 3 2" xfId="37888" xr:uid="{F4F0137E-207A-4D8A-A2ED-823655AA49DD}"/>
    <cellStyle name="Normal 9 2 2 2 3 2 2 4" xfId="12547" xr:uid="{625FB205-0D46-4746-868E-43B73E775458}"/>
    <cellStyle name="Normal 9 2 2 2 3 2 2 5" xfId="29441" xr:uid="{3D19D712-9840-4B30-8534-8B75D9F788B3}"/>
    <cellStyle name="Normal 9 2 2 2 3 2 3" xfId="5293" xr:uid="{00000000-0005-0000-0000-00009B1E0000}"/>
    <cellStyle name="Normal 9 2 2 2 3 2 3 2" xfId="23066" xr:uid="{5BDE306C-86AE-47FE-9F09-21FF3992C696}"/>
    <cellStyle name="Normal 9 2 2 2 3 2 3 2 2" xfId="39960" xr:uid="{3DD468F8-A978-49DE-B326-E0E334CC48DD}"/>
    <cellStyle name="Normal 9 2 2 2 3 2 3 3" xfId="14619" xr:uid="{29BAE730-DE37-4A6D-9809-A50690A9C27E}"/>
    <cellStyle name="Normal 9 2 2 2 3 2 3 4" xfId="31513" xr:uid="{BE42C9FC-2DD4-4028-81B0-DB4B70BD2AF5}"/>
    <cellStyle name="Normal 9 2 2 2 3 2 4" xfId="9471" xr:uid="{E472D827-532E-42C0-B781-9E63FEBCFCF5}"/>
    <cellStyle name="Normal 9 2 2 2 3 2 4 2" xfId="18849" xr:uid="{9A1CBF7A-399C-49DC-BF99-5BAF3BBC56CD}"/>
    <cellStyle name="Normal 9 2 2 2 3 2 4 3" xfId="35743" xr:uid="{E57F892E-2F07-4E47-AE83-9F280C0DBB36}"/>
    <cellStyle name="Normal 9 2 2 2 3 2 5" xfId="10402" xr:uid="{3426DC8D-9160-4EF7-A192-0068785A6BCD}"/>
    <cellStyle name="Normal 9 2 2 2 3 2 6" xfId="27296" xr:uid="{A85658CE-72B3-42C6-9C75-1795E4F631E3}"/>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2 2 2" xfId="25624" xr:uid="{3E8E9F7F-6404-4AEB-9031-85F3275FB529}"/>
    <cellStyle name="Normal 9 2 2 2 3 3 2 2 2 2" xfId="42518" xr:uid="{2FCD3443-6FA3-4B05-84DD-E8F2605AA832}"/>
    <cellStyle name="Normal 9 2 2 2 3 3 2 2 3" xfId="17177" xr:uid="{E3391532-E9C5-4081-BAC5-9BD729FA9312}"/>
    <cellStyle name="Normal 9 2 2 2 3 3 2 2 4" xfId="34071" xr:uid="{830D6523-2CBC-4FEC-8700-CDB1D830B377}"/>
    <cellStyle name="Normal 9 2 2 2 3 3 2 3" xfId="21407" xr:uid="{39C3A0F8-D614-44E2-B436-87D8496C0992}"/>
    <cellStyle name="Normal 9 2 2 2 3 3 2 3 2" xfId="38301" xr:uid="{771D3666-2F73-4C2D-BD7A-829143FC5407}"/>
    <cellStyle name="Normal 9 2 2 2 3 3 2 4" xfId="12960" xr:uid="{082E3347-A5F9-4A82-905A-229FD3407073}"/>
    <cellStyle name="Normal 9 2 2 2 3 3 2 5" xfId="29854" xr:uid="{7CD84D18-A954-4EA0-9F54-16FE008707DF}"/>
    <cellStyle name="Normal 9 2 2 2 3 3 3" xfId="5706" xr:uid="{00000000-0005-0000-0000-00009F1E0000}"/>
    <cellStyle name="Normal 9 2 2 2 3 3 3 2" xfId="23479" xr:uid="{CF6BF562-8273-46E8-ACCE-B29C99940A58}"/>
    <cellStyle name="Normal 9 2 2 2 3 3 3 2 2" xfId="40373" xr:uid="{BDBAC13A-B94B-4F4D-984E-E9AFE2711610}"/>
    <cellStyle name="Normal 9 2 2 2 3 3 3 3" xfId="15032" xr:uid="{6470085A-6D45-4BE9-A29E-AFE9BBF9E4A5}"/>
    <cellStyle name="Normal 9 2 2 2 3 3 3 4" xfId="31926" xr:uid="{E4431E4C-05E5-4C6A-A93C-FDF340FD26B2}"/>
    <cellStyle name="Normal 9 2 2 2 3 3 4" xfId="19262" xr:uid="{46A944A1-1250-4992-98AC-4C043B7B9ED8}"/>
    <cellStyle name="Normal 9 2 2 2 3 3 4 2" xfId="36156" xr:uid="{B3D68097-5D60-49D3-969C-72F45AD0DBD9}"/>
    <cellStyle name="Normal 9 2 2 2 3 3 5" xfId="10815" xr:uid="{3931BC45-96F9-4325-AEB7-480D6685ED45}"/>
    <cellStyle name="Normal 9 2 2 2 3 3 6" xfId="27709" xr:uid="{FF9A4B2F-629B-45D9-B0F7-E13C2006876B}"/>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2 2 2" xfId="26037" xr:uid="{DF102657-7ECD-43F3-A4D1-CFB04F3D3CDD}"/>
    <cellStyle name="Normal 9 2 2 2 3 4 2 2 2 2" xfId="42931" xr:uid="{DFF19CE0-8E84-4B86-897A-DFFDB2168BED}"/>
    <cellStyle name="Normal 9 2 2 2 3 4 2 2 3" xfId="17590" xr:uid="{01A8D762-0583-414A-971F-BA3B6F960100}"/>
    <cellStyle name="Normal 9 2 2 2 3 4 2 2 4" xfId="34484" xr:uid="{034B5E87-0036-40D2-A428-ABB51AB9F30F}"/>
    <cellStyle name="Normal 9 2 2 2 3 4 2 3" xfId="21820" xr:uid="{B0BEF4B8-5EC0-4092-B14F-3100522DA8A8}"/>
    <cellStyle name="Normal 9 2 2 2 3 4 2 3 2" xfId="38714" xr:uid="{E1410FB8-E5EB-4541-B5ED-E920099E113A}"/>
    <cellStyle name="Normal 9 2 2 2 3 4 2 4" xfId="13373" xr:uid="{FA27AC5C-A31E-4CFF-8E83-E362BF223A20}"/>
    <cellStyle name="Normal 9 2 2 2 3 4 2 5" xfId="30267" xr:uid="{1B20371D-74D3-41E2-8491-9843E9A38231}"/>
    <cellStyle name="Normal 9 2 2 2 3 4 3" xfId="6119" xr:uid="{00000000-0005-0000-0000-0000A31E0000}"/>
    <cellStyle name="Normal 9 2 2 2 3 4 3 2" xfId="23892" xr:uid="{ED413759-1A1A-4AFB-9CF9-E3F7EA220B0B}"/>
    <cellStyle name="Normal 9 2 2 2 3 4 3 2 2" xfId="40786" xr:uid="{DF571814-469A-4B49-A70B-F03A2846FE10}"/>
    <cellStyle name="Normal 9 2 2 2 3 4 3 3" xfId="15445" xr:uid="{73D93B72-C585-48C8-9A27-4FDB6F7092A2}"/>
    <cellStyle name="Normal 9 2 2 2 3 4 3 4" xfId="32339" xr:uid="{A66BB560-A5B1-43A3-AA64-3C353951FF77}"/>
    <cellStyle name="Normal 9 2 2 2 3 4 4" xfId="19675" xr:uid="{E2DC7AC5-712D-48A7-A4B3-C080156B4E05}"/>
    <cellStyle name="Normal 9 2 2 2 3 4 4 2" xfId="36569" xr:uid="{BF902939-2923-471E-99C5-77D6E82D31FE}"/>
    <cellStyle name="Normal 9 2 2 2 3 4 5" xfId="11228" xr:uid="{109C122D-7DE7-4F46-BC51-B710CAB6C70F}"/>
    <cellStyle name="Normal 9 2 2 2 3 4 6" xfId="28122" xr:uid="{AC4C8F18-134B-4125-8473-ABCC25134AE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2 2 2" xfId="26450" xr:uid="{860E4C53-2960-4EDA-BA83-ADB131E3C1F5}"/>
    <cellStyle name="Normal 9 2 2 2 3 5 2 2 2 2" xfId="43344" xr:uid="{CA3394EF-C964-42CD-BEED-C0E1672C8868}"/>
    <cellStyle name="Normal 9 2 2 2 3 5 2 2 3" xfId="18003" xr:uid="{8B69D966-FABD-4915-B28B-5FF29E418C50}"/>
    <cellStyle name="Normal 9 2 2 2 3 5 2 2 4" xfId="34897" xr:uid="{278F5606-1950-4863-847C-2F86C1523428}"/>
    <cellStyle name="Normal 9 2 2 2 3 5 2 3" xfId="22233" xr:uid="{0E4DC05C-C5E9-4A7B-8244-F2C4EFE2F2E2}"/>
    <cellStyle name="Normal 9 2 2 2 3 5 2 3 2" xfId="39127" xr:uid="{6D6CF1DF-A904-4343-9EB1-88BBDFB4F850}"/>
    <cellStyle name="Normal 9 2 2 2 3 5 2 4" xfId="13786" xr:uid="{D56033AD-B7D8-48E8-9629-13EADA8F40A3}"/>
    <cellStyle name="Normal 9 2 2 2 3 5 2 5" xfId="30680" xr:uid="{444DDE43-8312-4F11-AF4C-A90B0D787D6B}"/>
    <cellStyle name="Normal 9 2 2 2 3 5 3" xfId="6532" xr:uid="{00000000-0005-0000-0000-0000A71E0000}"/>
    <cellStyle name="Normal 9 2 2 2 3 5 3 2" xfId="24305" xr:uid="{50A1CD2D-C4A9-43D5-ACBC-152378052185}"/>
    <cellStyle name="Normal 9 2 2 2 3 5 3 2 2" xfId="41199" xr:uid="{F673D1E4-37FD-4FC6-A9A0-07B4FA0342D8}"/>
    <cellStyle name="Normal 9 2 2 2 3 5 3 3" xfId="15858" xr:uid="{BBF54695-F596-42B5-A938-1B75B6FC1E0E}"/>
    <cellStyle name="Normal 9 2 2 2 3 5 3 4" xfId="32752" xr:uid="{73608977-B6F5-4839-9A97-22739CD0E432}"/>
    <cellStyle name="Normal 9 2 2 2 3 5 4" xfId="20088" xr:uid="{9A045FF6-3B26-4192-920B-B803E160E127}"/>
    <cellStyle name="Normal 9 2 2 2 3 5 4 2" xfId="36982" xr:uid="{DD44B9B9-38D2-47B0-ADA0-B16440F1B4D9}"/>
    <cellStyle name="Normal 9 2 2 2 3 5 5" xfId="11641" xr:uid="{780C3E0C-F713-47DA-AD83-F5C9C2FD1183}"/>
    <cellStyle name="Normal 9 2 2 2 3 5 6" xfId="28535" xr:uid="{955EE399-DA02-4B2B-93F4-9A2E66D95435}"/>
    <cellStyle name="Normal 9 2 2 2 3 6" xfId="2662" xr:uid="{00000000-0005-0000-0000-0000A81E0000}"/>
    <cellStyle name="Normal 9 2 2 2 3 6 2" xfId="6945" xr:uid="{00000000-0005-0000-0000-0000A91E0000}"/>
    <cellStyle name="Normal 9 2 2 2 3 6 2 2" xfId="24718" xr:uid="{630416FA-00D7-4ECA-9036-C21ED67F73B4}"/>
    <cellStyle name="Normal 9 2 2 2 3 6 2 2 2" xfId="41612" xr:uid="{A5F37BEE-59E0-4650-B747-39EA76B6E029}"/>
    <cellStyle name="Normal 9 2 2 2 3 6 2 3" xfId="16271" xr:uid="{FAE5EFD9-3C35-42CF-8055-CBC442E0B660}"/>
    <cellStyle name="Normal 9 2 2 2 3 6 2 4" xfId="33165" xr:uid="{E9915092-0F94-423E-8DFE-BE43BE6F67C6}"/>
    <cellStyle name="Normal 9 2 2 2 3 6 3" xfId="20501" xr:uid="{DFA316C5-F20F-48F3-AF65-F6E5DDDE8801}"/>
    <cellStyle name="Normal 9 2 2 2 3 6 3 2" xfId="37395" xr:uid="{1557775D-BE60-4002-AF00-1827CF9ED6E7}"/>
    <cellStyle name="Normal 9 2 2 2 3 6 4" xfId="12054" xr:uid="{35BE6B86-1BA9-4747-AE56-8023E81F4024}"/>
    <cellStyle name="Normal 9 2 2 2 3 6 5" xfId="28948" xr:uid="{CA1DD867-1150-42BB-8B3F-03FAF66535E1}"/>
    <cellStyle name="Normal 9 2 2 2 3 7" xfId="4880" xr:uid="{00000000-0005-0000-0000-0000AA1E0000}"/>
    <cellStyle name="Normal 9 2 2 2 3 7 2" xfId="22653" xr:uid="{94AA0E11-38CA-4408-B82A-093265217EC3}"/>
    <cellStyle name="Normal 9 2 2 2 3 7 2 2" xfId="39547" xr:uid="{53A9A387-EA81-4159-BE65-7FE719826306}"/>
    <cellStyle name="Normal 9 2 2 2 3 7 3" xfId="14206" xr:uid="{2ECCC612-ACDF-4EA7-9BBC-17CCED13E024}"/>
    <cellStyle name="Normal 9 2 2 2 3 7 4" xfId="31100" xr:uid="{0D5D27AE-3E0A-4E10-8240-DCF5D91C2F79}"/>
    <cellStyle name="Normal 9 2 2 2 3 8" xfId="9046" xr:uid="{6B7E07C7-E90B-4AE9-8FE8-76EF28E8FC85}"/>
    <cellStyle name="Normal 9 2 2 2 3 8 2" xfId="18436" xr:uid="{2087C680-2081-4B36-B6F4-FCDE9339FA3E}"/>
    <cellStyle name="Normal 9 2 2 2 3 8 3" xfId="35330" xr:uid="{60E0561E-AC08-46AC-8063-AE65E5A949B9}"/>
    <cellStyle name="Normal 9 2 2 2 3 9" xfId="9989" xr:uid="{F8470C84-4BCF-4E13-B340-07E0F8CD3FE2}"/>
    <cellStyle name="Normal 9 2 2 2 4" xfId="980" xr:uid="{00000000-0005-0000-0000-0000AB1E0000}"/>
    <cellStyle name="Normal 9 2 2 2 4 2" xfId="3213" xr:uid="{00000000-0005-0000-0000-0000AC1E0000}"/>
    <cellStyle name="Normal 9 2 2 2 4 2 2" xfId="7435" xr:uid="{00000000-0005-0000-0000-0000AD1E0000}"/>
    <cellStyle name="Normal 9 2 2 2 4 2 2 2" xfId="25208" xr:uid="{29A56F2A-7BF1-4E03-90EF-71C7F2C9B46F}"/>
    <cellStyle name="Normal 9 2 2 2 4 2 2 2 2" xfId="42102" xr:uid="{EF579DD1-5135-4F46-8B6B-75FC8AC38BD5}"/>
    <cellStyle name="Normal 9 2 2 2 4 2 2 3" xfId="16761" xr:uid="{E8626616-F6E4-41C1-A6AF-4F8B02457FB4}"/>
    <cellStyle name="Normal 9 2 2 2 4 2 2 4" xfId="33655" xr:uid="{874D4EEB-2E70-44DD-B82A-03C0DDEB0010}"/>
    <cellStyle name="Normal 9 2 2 2 4 2 3" xfId="20991" xr:uid="{59693BC4-6D21-4F68-9AF4-B5676399A915}"/>
    <cellStyle name="Normal 9 2 2 2 4 2 3 2" xfId="37885" xr:uid="{6C29944F-51DD-4D6A-B28F-A87C7B7BAC7F}"/>
    <cellStyle name="Normal 9 2 2 2 4 2 4" xfId="12544" xr:uid="{E60903A6-3BDD-4DF5-9F16-9F34493CEFE4}"/>
    <cellStyle name="Normal 9 2 2 2 4 2 5" xfId="29438" xr:uid="{32D4C291-965C-4EF9-AA19-D6AB4928D8B8}"/>
    <cellStyle name="Normal 9 2 2 2 4 3" xfId="5290" xr:uid="{00000000-0005-0000-0000-0000AE1E0000}"/>
    <cellStyle name="Normal 9 2 2 2 4 3 2" xfId="23063" xr:uid="{6CD011D3-86D4-4441-9817-2871CFAAD23F}"/>
    <cellStyle name="Normal 9 2 2 2 4 3 2 2" xfId="39957" xr:uid="{A7BE3E9A-7F76-46FC-A44A-9868AAC4E657}"/>
    <cellStyle name="Normal 9 2 2 2 4 3 3" xfId="14616" xr:uid="{76C76B3E-FC31-4C26-A98A-7038FB174930}"/>
    <cellStyle name="Normal 9 2 2 2 4 3 4" xfId="31510" xr:uid="{F9EB62B7-911A-4331-80AC-ECCAFC59C71D}"/>
    <cellStyle name="Normal 9 2 2 2 4 4" xfId="9264" xr:uid="{0137E036-48D9-4B3B-9B73-0002A19DDE9E}"/>
    <cellStyle name="Normal 9 2 2 2 4 4 2" xfId="18846" xr:uid="{C006E257-3F4D-4E94-AC0E-F7673B4D9BEE}"/>
    <cellStyle name="Normal 9 2 2 2 4 4 3" xfId="35740" xr:uid="{E21E4301-4D55-4E38-A0CE-BCF9D0029233}"/>
    <cellStyle name="Normal 9 2 2 2 4 5" xfId="10399" xr:uid="{34F03565-A9D7-431F-B83D-47DBC4CD1329}"/>
    <cellStyle name="Normal 9 2 2 2 4 6" xfId="27293" xr:uid="{445A62BB-1654-4DF9-B4DD-85C89E38918B}"/>
    <cellStyle name="Normal 9 2 2 2 5" xfId="1396" xr:uid="{00000000-0005-0000-0000-0000AF1E0000}"/>
    <cellStyle name="Normal 9 2 2 2 5 2" xfId="3626" xr:uid="{00000000-0005-0000-0000-0000B01E0000}"/>
    <cellStyle name="Normal 9 2 2 2 5 2 2" xfId="7848" xr:uid="{00000000-0005-0000-0000-0000B11E0000}"/>
    <cellStyle name="Normal 9 2 2 2 5 2 2 2" xfId="25621" xr:uid="{F742786F-017C-4076-947F-878486EBA02E}"/>
    <cellStyle name="Normal 9 2 2 2 5 2 2 2 2" xfId="42515" xr:uid="{B91FA9B5-C010-45A2-90D1-9E2606056DA6}"/>
    <cellStyle name="Normal 9 2 2 2 5 2 2 3" xfId="17174" xr:uid="{7B1D195F-0D0E-4632-80D8-A7F08E74177E}"/>
    <cellStyle name="Normal 9 2 2 2 5 2 2 4" xfId="34068" xr:uid="{3B91E246-5FCE-4547-85B8-AD54E28E4663}"/>
    <cellStyle name="Normal 9 2 2 2 5 2 3" xfId="21404" xr:uid="{5A124FA7-A7EA-4C28-9BE6-1F2B9A894306}"/>
    <cellStyle name="Normal 9 2 2 2 5 2 3 2" xfId="38298" xr:uid="{355E8A3B-4561-4007-8B28-D8669DF09548}"/>
    <cellStyle name="Normal 9 2 2 2 5 2 4" xfId="12957" xr:uid="{99FE553A-2F14-4BC4-809D-B0B1ADFAF453}"/>
    <cellStyle name="Normal 9 2 2 2 5 2 5" xfId="29851" xr:uid="{EDE6555A-BB21-46DD-8F99-AF4E567F2EA4}"/>
    <cellStyle name="Normal 9 2 2 2 5 3" xfId="5703" xr:uid="{00000000-0005-0000-0000-0000B21E0000}"/>
    <cellStyle name="Normal 9 2 2 2 5 3 2" xfId="23476" xr:uid="{BE5A3285-A297-439B-9A0A-879A22E099B8}"/>
    <cellStyle name="Normal 9 2 2 2 5 3 2 2" xfId="40370" xr:uid="{FB0DDBFD-79E8-4CCC-9E93-A01246E720F6}"/>
    <cellStyle name="Normal 9 2 2 2 5 3 3" xfId="15029" xr:uid="{5EA8F97D-20D8-49DA-9E16-CC748C2AD0AB}"/>
    <cellStyle name="Normal 9 2 2 2 5 3 4" xfId="31923" xr:uid="{21C8929A-E4DF-4667-900F-272D65471A56}"/>
    <cellStyle name="Normal 9 2 2 2 5 4" xfId="19259" xr:uid="{669E4CC6-3225-46C7-858D-4729B39F2730}"/>
    <cellStyle name="Normal 9 2 2 2 5 4 2" xfId="36153" xr:uid="{92D18A83-AAA6-49CD-976F-6486DE98A633}"/>
    <cellStyle name="Normal 9 2 2 2 5 5" xfId="10812" xr:uid="{B156B2B9-344D-41B4-A817-C1FF52E805E6}"/>
    <cellStyle name="Normal 9 2 2 2 5 6" xfId="27706" xr:uid="{3FE0F002-D53A-4F97-8FC3-805DEF6D8475}"/>
    <cellStyle name="Normal 9 2 2 2 6" xfId="1809" xr:uid="{00000000-0005-0000-0000-0000B31E0000}"/>
    <cellStyle name="Normal 9 2 2 2 6 2" xfId="4039" xr:uid="{00000000-0005-0000-0000-0000B41E0000}"/>
    <cellStyle name="Normal 9 2 2 2 6 2 2" xfId="8261" xr:uid="{00000000-0005-0000-0000-0000B51E0000}"/>
    <cellStyle name="Normal 9 2 2 2 6 2 2 2" xfId="26034" xr:uid="{A2CFA9E0-4672-4D39-94B0-2788E463AFAE}"/>
    <cellStyle name="Normal 9 2 2 2 6 2 2 2 2" xfId="42928" xr:uid="{A9A15F1E-8E4D-4CA6-A377-29141C4D842E}"/>
    <cellStyle name="Normal 9 2 2 2 6 2 2 3" xfId="17587" xr:uid="{FA9A0C85-C7B7-4AD6-85E6-CEB5B1A67B32}"/>
    <cellStyle name="Normal 9 2 2 2 6 2 2 4" xfId="34481" xr:uid="{95749605-C67B-4A26-A702-4299F83C5E31}"/>
    <cellStyle name="Normal 9 2 2 2 6 2 3" xfId="21817" xr:uid="{48C7EE4A-806B-45E9-AA6A-3C995244AC93}"/>
    <cellStyle name="Normal 9 2 2 2 6 2 3 2" xfId="38711" xr:uid="{3CA7206E-D87B-4BD1-81B1-EFB41533A979}"/>
    <cellStyle name="Normal 9 2 2 2 6 2 4" xfId="13370" xr:uid="{62A35484-48EE-4BC3-A448-9C1693AD5C97}"/>
    <cellStyle name="Normal 9 2 2 2 6 2 5" xfId="30264" xr:uid="{E7427574-2B61-41FA-AB1A-88974131D704}"/>
    <cellStyle name="Normal 9 2 2 2 6 3" xfId="6116" xr:uid="{00000000-0005-0000-0000-0000B61E0000}"/>
    <cellStyle name="Normal 9 2 2 2 6 3 2" xfId="23889" xr:uid="{63D0FB98-C995-438A-8AFA-712430EAEE80}"/>
    <cellStyle name="Normal 9 2 2 2 6 3 2 2" xfId="40783" xr:uid="{0D5578CC-C483-477B-8A0A-3209CACDB5A9}"/>
    <cellStyle name="Normal 9 2 2 2 6 3 3" xfId="15442" xr:uid="{7F6C8695-D35E-4A9C-B469-9B153D9ED94C}"/>
    <cellStyle name="Normal 9 2 2 2 6 3 4" xfId="32336" xr:uid="{E8965ABA-C69A-4A94-B3A4-769E33EBE18B}"/>
    <cellStyle name="Normal 9 2 2 2 6 4" xfId="19672" xr:uid="{F454D97A-03DB-4A4F-AB84-DE6E5F7D7F66}"/>
    <cellStyle name="Normal 9 2 2 2 6 4 2" xfId="36566" xr:uid="{8F735ACE-C6DC-428B-B334-66A20CE45E0E}"/>
    <cellStyle name="Normal 9 2 2 2 6 5" xfId="11225" xr:uid="{317EEFC9-3520-47FB-BBAA-CD41E4D3D9F2}"/>
    <cellStyle name="Normal 9 2 2 2 6 6" xfId="28119" xr:uid="{7B985D99-E380-4DDE-8B35-EDE42070BAA0}"/>
    <cellStyle name="Normal 9 2 2 2 7" xfId="2223" xr:uid="{00000000-0005-0000-0000-0000B71E0000}"/>
    <cellStyle name="Normal 9 2 2 2 7 2" xfId="4452" xr:uid="{00000000-0005-0000-0000-0000B81E0000}"/>
    <cellStyle name="Normal 9 2 2 2 7 2 2" xfId="8674" xr:uid="{00000000-0005-0000-0000-0000B91E0000}"/>
    <cellStyle name="Normal 9 2 2 2 7 2 2 2" xfId="26447" xr:uid="{18BD8C9F-4051-4220-B7E8-999BDADFF46D}"/>
    <cellStyle name="Normal 9 2 2 2 7 2 2 2 2" xfId="43341" xr:uid="{781EBF92-837B-4B43-92FC-894FE33AA819}"/>
    <cellStyle name="Normal 9 2 2 2 7 2 2 3" xfId="18000" xr:uid="{C3D539EF-4816-44FB-AF05-710F271C6340}"/>
    <cellStyle name="Normal 9 2 2 2 7 2 2 4" xfId="34894" xr:uid="{C39BEC9C-C3EA-4D7E-BB12-FAF337233D47}"/>
    <cellStyle name="Normal 9 2 2 2 7 2 3" xfId="22230" xr:uid="{DF4F21CD-32CC-4161-96AB-599C594A521F}"/>
    <cellStyle name="Normal 9 2 2 2 7 2 3 2" xfId="39124" xr:uid="{A08457B1-7D66-4682-8369-D88CE7C1BB15}"/>
    <cellStyle name="Normal 9 2 2 2 7 2 4" xfId="13783" xr:uid="{BDD8C332-C813-494E-A481-53D1E2DE1C2D}"/>
    <cellStyle name="Normal 9 2 2 2 7 2 5" xfId="30677" xr:uid="{E6777B95-BF74-4C26-AE4D-DEEEE75F4234}"/>
    <cellStyle name="Normal 9 2 2 2 7 3" xfId="6529" xr:uid="{00000000-0005-0000-0000-0000BA1E0000}"/>
    <cellStyle name="Normal 9 2 2 2 7 3 2" xfId="24302" xr:uid="{939746B3-FB45-43D7-8F93-14B568653B0C}"/>
    <cellStyle name="Normal 9 2 2 2 7 3 2 2" xfId="41196" xr:uid="{859B01DA-864A-40D7-82A2-C8E4D7EAB7BF}"/>
    <cellStyle name="Normal 9 2 2 2 7 3 3" xfId="15855" xr:uid="{C2A3CC78-1341-4E0D-8D48-8F92B6F1CB80}"/>
    <cellStyle name="Normal 9 2 2 2 7 3 4" xfId="32749" xr:uid="{F3FF6297-356E-4130-9EDC-5CCF7B58B14C}"/>
    <cellStyle name="Normal 9 2 2 2 7 4" xfId="20085" xr:uid="{BD7C4887-D81F-4802-A42A-48F709384900}"/>
    <cellStyle name="Normal 9 2 2 2 7 4 2" xfId="36979" xr:uid="{08C87E92-BFC7-4E30-BD3C-B37851A400B0}"/>
    <cellStyle name="Normal 9 2 2 2 7 5" xfId="11638" xr:uid="{A87FDB74-1C8D-4B1F-BBBD-09CD18887CF1}"/>
    <cellStyle name="Normal 9 2 2 2 7 6" xfId="28532" xr:uid="{D8F15774-182F-44E5-BB14-02806C0FADC8}"/>
    <cellStyle name="Normal 9 2 2 2 8" xfId="2659" xr:uid="{00000000-0005-0000-0000-0000BB1E0000}"/>
    <cellStyle name="Normal 9 2 2 2 8 2" xfId="6942" xr:uid="{00000000-0005-0000-0000-0000BC1E0000}"/>
    <cellStyle name="Normal 9 2 2 2 8 2 2" xfId="24715" xr:uid="{9B0310C6-D36C-4F71-A4D2-539B7A70E39C}"/>
    <cellStyle name="Normal 9 2 2 2 8 2 2 2" xfId="41609" xr:uid="{B4F2881B-CDB3-4916-A3D8-BBF89F29E836}"/>
    <cellStyle name="Normal 9 2 2 2 8 2 3" xfId="16268" xr:uid="{78DE8127-F8A8-4575-972B-56512D477A89}"/>
    <cellStyle name="Normal 9 2 2 2 8 2 4" xfId="33162" xr:uid="{8033988A-2BE5-490B-8579-EF2825332D25}"/>
    <cellStyle name="Normal 9 2 2 2 8 3" xfId="20498" xr:uid="{1AF9779E-28CA-44C0-AB45-E09D32C579E5}"/>
    <cellStyle name="Normal 9 2 2 2 8 3 2" xfId="37392" xr:uid="{6F108101-A942-42D5-BE6C-5858EA31E391}"/>
    <cellStyle name="Normal 9 2 2 2 8 4" xfId="12051" xr:uid="{AD126B1D-147A-4F52-8477-1131519511B2}"/>
    <cellStyle name="Normal 9 2 2 2 8 5" xfId="28945" xr:uid="{F86EB3AB-37B9-4970-8A03-1A8AD6A2E998}"/>
    <cellStyle name="Normal 9 2 2 2 9" xfId="4877" xr:uid="{00000000-0005-0000-0000-0000BD1E0000}"/>
    <cellStyle name="Normal 9 2 2 2 9 2" xfId="22650" xr:uid="{5BBD4011-42B6-4087-A13D-783DEB473EE9}"/>
    <cellStyle name="Normal 9 2 2 2 9 2 2" xfId="39544" xr:uid="{CF2AF3A3-EEF6-4D00-812F-A5E002EC9208}"/>
    <cellStyle name="Normal 9 2 2 2 9 3" xfId="14203" xr:uid="{0C9BC7C2-DE5B-4E63-B15F-CAB424205756}"/>
    <cellStyle name="Normal 9 2 2 2 9 4" xfId="31097" xr:uid="{BB984757-E1CA-4C69-AB9E-7D02BD10A173}"/>
    <cellStyle name="Normal 9 2 2 3" xfId="517" xr:uid="{00000000-0005-0000-0000-0000BE1E0000}"/>
    <cellStyle name="Normal 9 2 2 3 10" xfId="9990" xr:uid="{085421A3-FEFF-45A5-945C-1DC8484A3C6B}"/>
    <cellStyle name="Normal 9 2 2 3 11" xfId="26884" xr:uid="{7414350E-5FDF-4B28-9FD0-6BFDD1A53FD1}"/>
    <cellStyle name="Normal 9 2 2 3 2" xfId="518" xr:uid="{00000000-0005-0000-0000-0000BF1E0000}"/>
    <cellStyle name="Normal 9 2 2 3 2 10" xfId="26885" xr:uid="{A0658D32-D1C2-4E03-86BB-25E27BC8BAA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2 2 2" xfId="25213" xr:uid="{B3F9CA2D-C545-4447-AFF3-5817FEA40DFD}"/>
    <cellStyle name="Normal 9 2 2 3 2 2 2 2 2 2" xfId="42107" xr:uid="{090068A9-08E9-4E35-8CB9-488499B6FAEE}"/>
    <cellStyle name="Normal 9 2 2 3 2 2 2 2 3" xfId="16766" xr:uid="{3C9500D7-FEE0-4F93-83BE-7765BD358647}"/>
    <cellStyle name="Normal 9 2 2 3 2 2 2 2 4" xfId="33660" xr:uid="{A96382EF-EDB0-49A8-AF0C-CDC737FB8500}"/>
    <cellStyle name="Normal 9 2 2 3 2 2 2 3" xfId="20996" xr:uid="{65562856-3FDC-460C-8743-3EDB4BD85502}"/>
    <cellStyle name="Normal 9 2 2 3 2 2 2 3 2" xfId="37890" xr:uid="{24972F31-B81D-4B54-924A-D45C5F6A8B43}"/>
    <cellStyle name="Normal 9 2 2 3 2 2 2 4" xfId="12549" xr:uid="{42A95635-BF56-445C-9750-C22B40C6BA8E}"/>
    <cellStyle name="Normal 9 2 2 3 2 2 2 5" xfId="29443" xr:uid="{32D12F1F-433C-47A1-A090-C365C278A8CF}"/>
    <cellStyle name="Normal 9 2 2 3 2 2 3" xfId="5295" xr:uid="{00000000-0005-0000-0000-0000C31E0000}"/>
    <cellStyle name="Normal 9 2 2 3 2 2 3 2" xfId="23068" xr:uid="{394F786D-B09B-460E-B700-303CE892EF93}"/>
    <cellStyle name="Normal 9 2 2 3 2 2 3 2 2" xfId="39962" xr:uid="{C96CC068-1E23-4B54-A0A4-8D5128656198}"/>
    <cellStyle name="Normal 9 2 2 3 2 2 3 3" xfId="14621" xr:uid="{34218FC9-A0F7-41D5-9D75-A69289B94B2C}"/>
    <cellStyle name="Normal 9 2 2 3 2 2 3 4" xfId="31515" xr:uid="{D326CE7C-3494-4884-85AD-0028B8F56444}"/>
    <cellStyle name="Normal 9 2 2 3 2 2 4" xfId="9520" xr:uid="{57CFBD10-691F-4DF8-8020-B75E98FF60DD}"/>
    <cellStyle name="Normal 9 2 2 3 2 2 4 2" xfId="18851" xr:uid="{62DA40E0-A2B7-45A0-B641-0CE15A39FC3B}"/>
    <cellStyle name="Normal 9 2 2 3 2 2 4 3" xfId="35745" xr:uid="{841FC1AE-3039-4E4B-9151-5F2EF1527B43}"/>
    <cellStyle name="Normal 9 2 2 3 2 2 5" xfId="10404" xr:uid="{B996514B-0CC5-422C-8A88-1077AEDDFEA8}"/>
    <cellStyle name="Normal 9 2 2 3 2 2 6" xfId="27298" xr:uid="{AA95D5B7-BDA4-4909-AA0A-26F79254A9C0}"/>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2 2 2" xfId="25626" xr:uid="{C41D588B-AFEC-4E1B-A388-502805F7AA53}"/>
    <cellStyle name="Normal 9 2 2 3 2 3 2 2 2 2" xfId="42520" xr:uid="{901CBA79-97CE-4F11-9C2D-C1E627569ABF}"/>
    <cellStyle name="Normal 9 2 2 3 2 3 2 2 3" xfId="17179" xr:uid="{6C228E3C-4924-40B6-8963-32101CAE60C9}"/>
    <cellStyle name="Normal 9 2 2 3 2 3 2 2 4" xfId="34073" xr:uid="{0478963B-F132-4A35-B987-E01DB38B48DA}"/>
    <cellStyle name="Normal 9 2 2 3 2 3 2 3" xfId="21409" xr:uid="{92CA7987-8BAC-4519-BCDD-7F792E15BAF7}"/>
    <cellStyle name="Normal 9 2 2 3 2 3 2 3 2" xfId="38303" xr:uid="{0D2FB476-0EAB-4E37-9648-463570588A1F}"/>
    <cellStyle name="Normal 9 2 2 3 2 3 2 4" xfId="12962" xr:uid="{785E69EC-99CD-4DEC-AE63-4686E6DBCF95}"/>
    <cellStyle name="Normal 9 2 2 3 2 3 2 5" xfId="29856" xr:uid="{807EB972-D6B1-4180-9B14-D44EB76FE774}"/>
    <cellStyle name="Normal 9 2 2 3 2 3 3" xfId="5708" xr:uid="{00000000-0005-0000-0000-0000C71E0000}"/>
    <cellStyle name="Normal 9 2 2 3 2 3 3 2" xfId="23481" xr:uid="{B9FDD938-7C3F-4CEA-B0B3-B20B08B7B460}"/>
    <cellStyle name="Normal 9 2 2 3 2 3 3 2 2" xfId="40375" xr:uid="{62D5089D-444A-4576-B4FD-50DA6058878C}"/>
    <cellStyle name="Normal 9 2 2 3 2 3 3 3" xfId="15034" xr:uid="{65761A21-3035-45B7-A948-FB0B59EC84EF}"/>
    <cellStyle name="Normal 9 2 2 3 2 3 3 4" xfId="31928" xr:uid="{89B6519A-F227-411E-A756-00EDAB44D60B}"/>
    <cellStyle name="Normal 9 2 2 3 2 3 4" xfId="19264" xr:uid="{3A6821A4-50D4-4340-ACEB-AC4AFD9620CF}"/>
    <cellStyle name="Normal 9 2 2 3 2 3 4 2" xfId="36158" xr:uid="{80CC32C7-D653-499D-AD18-BE2C5BCC0D85}"/>
    <cellStyle name="Normal 9 2 2 3 2 3 5" xfId="10817" xr:uid="{DA85FB52-2FE7-4D7E-BD68-402DC9EB6AF9}"/>
    <cellStyle name="Normal 9 2 2 3 2 3 6" xfId="27711" xr:uid="{C8ED2A12-4E7D-432E-A373-B369514E2D8A}"/>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2 2 2" xfId="26039" xr:uid="{F4065130-135A-41E8-A4BC-68FF1528A127}"/>
    <cellStyle name="Normal 9 2 2 3 2 4 2 2 2 2" xfId="42933" xr:uid="{E4230446-049C-4C33-9D95-9322FDEC9ED4}"/>
    <cellStyle name="Normal 9 2 2 3 2 4 2 2 3" xfId="17592" xr:uid="{42A8C517-CABA-4C45-AD03-597D1E6B17EE}"/>
    <cellStyle name="Normal 9 2 2 3 2 4 2 2 4" xfId="34486" xr:uid="{5389833B-DEE4-4C4F-B4F7-EDBA96F912AE}"/>
    <cellStyle name="Normal 9 2 2 3 2 4 2 3" xfId="21822" xr:uid="{30ECF6F4-880D-4E23-BCF3-3AE45601D147}"/>
    <cellStyle name="Normal 9 2 2 3 2 4 2 3 2" xfId="38716" xr:uid="{52A42A96-3C9F-45A8-A089-F02820D25C97}"/>
    <cellStyle name="Normal 9 2 2 3 2 4 2 4" xfId="13375" xr:uid="{F825AD1D-7F3C-4926-83F5-92AD79BE61C8}"/>
    <cellStyle name="Normal 9 2 2 3 2 4 2 5" xfId="30269" xr:uid="{D073C524-912E-4465-B4B9-FA47067C29AB}"/>
    <cellStyle name="Normal 9 2 2 3 2 4 3" xfId="6121" xr:uid="{00000000-0005-0000-0000-0000CB1E0000}"/>
    <cellStyle name="Normal 9 2 2 3 2 4 3 2" xfId="23894" xr:uid="{22B1775C-D962-4647-B158-1F3D04132871}"/>
    <cellStyle name="Normal 9 2 2 3 2 4 3 2 2" xfId="40788" xr:uid="{EC14C8CC-C776-493C-AC42-4F596B5924D9}"/>
    <cellStyle name="Normal 9 2 2 3 2 4 3 3" xfId="15447" xr:uid="{228238B8-2527-487E-8F9E-B6F7FBF8E656}"/>
    <cellStyle name="Normal 9 2 2 3 2 4 3 4" xfId="32341" xr:uid="{F56339C7-FFCE-4A46-BE27-0B30A075BA7B}"/>
    <cellStyle name="Normal 9 2 2 3 2 4 4" xfId="19677" xr:uid="{F2D1129D-7917-4573-A9B7-5F0F38DE8D34}"/>
    <cellStyle name="Normal 9 2 2 3 2 4 4 2" xfId="36571" xr:uid="{9EBC8DC2-1500-47AE-A60B-92CB1538683A}"/>
    <cellStyle name="Normal 9 2 2 3 2 4 5" xfId="11230" xr:uid="{870353DE-E4F2-4CD7-9C39-4AEF4A3A2CC9}"/>
    <cellStyle name="Normal 9 2 2 3 2 4 6" xfId="28124" xr:uid="{665019A0-2746-498F-AD5C-3B231A927C32}"/>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2 2 2" xfId="26452" xr:uid="{06A3711D-3AB1-4EBD-87EE-F79428F6A422}"/>
    <cellStyle name="Normal 9 2 2 3 2 5 2 2 2 2" xfId="43346" xr:uid="{DEFCD06D-08CD-447E-A219-C6EC31688B41}"/>
    <cellStyle name="Normal 9 2 2 3 2 5 2 2 3" xfId="18005" xr:uid="{E925F58A-13A4-4C08-AA1B-37ECF15E306C}"/>
    <cellStyle name="Normal 9 2 2 3 2 5 2 2 4" xfId="34899" xr:uid="{07E99358-60B3-4F71-B6DC-C3D6D0B55294}"/>
    <cellStyle name="Normal 9 2 2 3 2 5 2 3" xfId="22235" xr:uid="{D36B6CDC-2F0D-4A52-87B5-9DCAC8E0F5DA}"/>
    <cellStyle name="Normal 9 2 2 3 2 5 2 3 2" xfId="39129" xr:uid="{BEF8B5BF-3F80-422D-A6BF-BCDE631C302A}"/>
    <cellStyle name="Normal 9 2 2 3 2 5 2 4" xfId="13788" xr:uid="{B1C2CC8F-63D6-4A14-A49D-A0252495DD14}"/>
    <cellStyle name="Normal 9 2 2 3 2 5 2 5" xfId="30682" xr:uid="{ABBA62CB-24B5-4736-BF9A-A0AE17708E19}"/>
    <cellStyle name="Normal 9 2 2 3 2 5 3" xfId="6534" xr:uid="{00000000-0005-0000-0000-0000CF1E0000}"/>
    <cellStyle name="Normal 9 2 2 3 2 5 3 2" xfId="24307" xr:uid="{B4ED14CF-5861-41AF-B30D-6141D2C2F53B}"/>
    <cellStyle name="Normal 9 2 2 3 2 5 3 2 2" xfId="41201" xr:uid="{B5DF4843-FFC6-47F9-A272-C920AB1FDFA7}"/>
    <cellStyle name="Normal 9 2 2 3 2 5 3 3" xfId="15860" xr:uid="{CD982053-365D-443E-9BA4-C81210B43CBA}"/>
    <cellStyle name="Normal 9 2 2 3 2 5 3 4" xfId="32754" xr:uid="{53781395-F5D3-4ECA-88B4-98B54737B146}"/>
    <cellStyle name="Normal 9 2 2 3 2 5 4" xfId="20090" xr:uid="{6EF050E3-F979-46BA-ACB3-A73D96D5A031}"/>
    <cellStyle name="Normal 9 2 2 3 2 5 4 2" xfId="36984" xr:uid="{2704D531-84CC-48D9-93AA-C544E66BEEE4}"/>
    <cellStyle name="Normal 9 2 2 3 2 5 5" xfId="11643" xr:uid="{E01F0597-0281-4DAE-88C7-B0E1D6633831}"/>
    <cellStyle name="Normal 9 2 2 3 2 5 6" xfId="28537" xr:uid="{1A3D48F9-C233-49EA-A5E1-D56472098F95}"/>
    <cellStyle name="Normal 9 2 2 3 2 6" xfId="2664" xr:uid="{00000000-0005-0000-0000-0000D01E0000}"/>
    <cellStyle name="Normal 9 2 2 3 2 6 2" xfId="6947" xr:uid="{00000000-0005-0000-0000-0000D11E0000}"/>
    <cellStyle name="Normal 9 2 2 3 2 6 2 2" xfId="24720" xr:uid="{B229AD1E-3DA0-4756-9CA2-139675261371}"/>
    <cellStyle name="Normal 9 2 2 3 2 6 2 2 2" xfId="41614" xr:uid="{D098FF93-5515-4C72-BA04-33A8F4AEE91F}"/>
    <cellStyle name="Normal 9 2 2 3 2 6 2 3" xfId="16273" xr:uid="{B1411017-7481-4050-AA74-7EF7E5DED117}"/>
    <cellStyle name="Normal 9 2 2 3 2 6 2 4" xfId="33167" xr:uid="{9749CD2A-9C7B-4AC5-8E55-65D7E06E6581}"/>
    <cellStyle name="Normal 9 2 2 3 2 6 3" xfId="20503" xr:uid="{1AF60F80-357B-4486-944E-E82C710FE3B1}"/>
    <cellStyle name="Normal 9 2 2 3 2 6 3 2" xfId="37397" xr:uid="{3E8FF3D3-EA41-447F-BA6B-FB50F8DB108E}"/>
    <cellStyle name="Normal 9 2 2 3 2 6 4" xfId="12056" xr:uid="{AC49006F-618F-4F99-BB93-0C65C797331C}"/>
    <cellStyle name="Normal 9 2 2 3 2 6 5" xfId="28950" xr:uid="{F5C308A7-C469-42F3-9DD3-2BE3FD9B3FB3}"/>
    <cellStyle name="Normal 9 2 2 3 2 7" xfId="4882" xr:uid="{00000000-0005-0000-0000-0000D21E0000}"/>
    <cellStyle name="Normal 9 2 2 3 2 7 2" xfId="22655" xr:uid="{0ADC05B3-C1B7-4E18-BD32-53DC587003B1}"/>
    <cellStyle name="Normal 9 2 2 3 2 7 2 2" xfId="39549" xr:uid="{36FDF2A6-D132-468C-90EB-788355704563}"/>
    <cellStyle name="Normal 9 2 2 3 2 7 3" xfId="14208" xr:uid="{8ECAA7AF-91B0-4262-9A60-008CCCD6E305}"/>
    <cellStyle name="Normal 9 2 2 3 2 7 4" xfId="31102" xr:uid="{67D7338A-A100-4417-987F-A38F023F2F9F}"/>
    <cellStyle name="Normal 9 2 2 3 2 8" xfId="9095" xr:uid="{D95088B7-D227-4E97-A9B9-DA61436DD386}"/>
    <cellStyle name="Normal 9 2 2 3 2 8 2" xfId="18438" xr:uid="{88C307FB-C74E-460E-B85F-4F684ADFDC27}"/>
    <cellStyle name="Normal 9 2 2 3 2 8 3" xfId="35332" xr:uid="{E39A37E6-BBED-47F6-850A-1DFD2871B08A}"/>
    <cellStyle name="Normal 9 2 2 3 2 9" xfId="9991" xr:uid="{710E7DDE-77EA-486A-B4DD-6F1694CAC977}"/>
    <cellStyle name="Normal 9 2 2 3 3" xfId="984" xr:uid="{00000000-0005-0000-0000-0000D31E0000}"/>
    <cellStyle name="Normal 9 2 2 3 3 2" xfId="3217" xr:uid="{00000000-0005-0000-0000-0000D41E0000}"/>
    <cellStyle name="Normal 9 2 2 3 3 2 2" xfId="7439" xr:uid="{00000000-0005-0000-0000-0000D51E0000}"/>
    <cellStyle name="Normal 9 2 2 3 3 2 2 2" xfId="25212" xr:uid="{B3B79938-457A-43C5-B2CA-F0D36E642B8C}"/>
    <cellStyle name="Normal 9 2 2 3 3 2 2 2 2" xfId="42106" xr:uid="{1B216AC2-30CA-4B0B-A780-E43897271534}"/>
    <cellStyle name="Normal 9 2 2 3 3 2 2 3" xfId="16765" xr:uid="{5F5FC975-735D-4FE6-81DF-B9A7874B243E}"/>
    <cellStyle name="Normal 9 2 2 3 3 2 2 4" xfId="33659" xr:uid="{83DA1AAF-30D4-4230-BE6F-5CC9AE21855E}"/>
    <cellStyle name="Normal 9 2 2 3 3 2 3" xfId="20995" xr:uid="{1DCD5D23-5463-45B8-AC3A-9B0D72D1F40E}"/>
    <cellStyle name="Normal 9 2 2 3 3 2 3 2" xfId="37889" xr:uid="{7955013B-15EC-4475-8E75-7B6FCD0CCBE2}"/>
    <cellStyle name="Normal 9 2 2 3 3 2 4" xfId="12548" xr:uid="{B7C9801F-937A-4D7B-B326-7623B2D41559}"/>
    <cellStyle name="Normal 9 2 2 3 3 2 5" xfId="29442" xr:uid="{FCD80418-F383-4434-83A4-B3DF3AD3342A}"/>
    <cellStyle name="Normal 9 2 2 3 3 3" xfId="5294" xr:uid="{00000000-0005-0000-0000-0000D61E0000}"/>
    <cellStyle name="Normal 9 2 2 3 3 3 2" xfId="23067" xr:uid="{26181BE2-D3EA-45C1-99D8-A3E624EAAD4C}"/>
    <cellStyle name="Normal 9 2 2 3 3 3 2 2" xfId="39961" xr:uid="{133664EB-ACE5-475E-BDD2-1EFBB556DE19}"/>
    <cellStyle name="Normal 9 2 2 3 3 3 3" xfId="14620" xr:uid="{45D15C6C-B3E2-41B2-992A-57AE9C10CE23}"/>
    <cellStyle name="Normal 9 2 2 3 3 3 4" xfId="31514" xr:uid="{A2F3B428-CE48-4DA3-BD43-B3DBBAE750C1}"/>
    <cellStyle name="Normal 9 2 2 3 3 4" xfId="9313" xr:uid="{FDDC600D-FDDD-4FFC-9820-DFD7E0768F33}"/>
    <cellStyle name="Normal 9 2 2 3 3 4 2" xfId="18850" xr:uid="{449E84B3-95E7-4300-B645-CFA38F6C15DA}"/>
    <cellStyle name="Normal 9 2 2 3 3 4 3" xfId="35744" xr:uid="{47EE48DA-2CCF-4727-B433-FA35B4924B4F}"/>
    <cellStyle name="Normal 9 2 2 3 3 5" xfId="10403" xr:uid="{E0D214AC-9BB2-4E6F-8432-260BBEAD9E36}"/>
    <cellStyle name="Normal 9 2 2 3 3 6" xfId="27297" xr:uid="{B10695FC-846F-48F9-9CF1-9594EC7994EE}"/>
    <cellStyle name="Normal 9 2 2 3 4" xfId="1400" xr:uid="{00000000-0005-0000-0000-0000D71E0000}"/>
    <cellStyle name="Normal 9 2 2 3 4 2" xfId="3630" xr:uid="{00000000-0005-0000-0000-0000D81E0000}"/>
    <cellStyle name="Normal 9 2 2 3 4 2 2" xfId="7852" xr:uid="{00000000-0005-0000-0000-0000D91E0000}"/>
    <cellStyle name="Normal 9 2 2 3 4 2 2 2" xfId="25625" xr:uid="{F157D505-46DB-4EEC-98B4-0213411CC9B3}"/>
    <cellStyle name="Normal 9 2 2 3 4 2 2 2 2" xfId="42519" xr:uid="{3938BE46-BE2E-43EC-941A-D05DC364D1D4}"/>
    <cellStyle name="Normal 9 2 2 3 4 2 2 3" xfId="17178" xr:uid="{42458DEF-5556-4F16-8388-69AB35D01966}"/>
    <cellStyle name="Normal 9 2 2 3 4 2 2 4" xfId="34072" xr:uid="{FE69AEEF-6FB3-429A-B4F1-A922286EA149}"/>
    <cellStyle name="Normal 9 2 2 3 4 2 3" xfId="21408" xr:uid="{B98404A6-08E5-4096-9112-164CBC2DDD18}"/>
    <cellStyle name="Normal 9 2 2 3 4 2 3 2" xfId="38302" xr:uid="{5A52901C-8586-4432-93B0-C0EAF399E193}"/>
    <cellStyle name="Normal 9 2 2 3 4 2 4" xfId="12961" xr:uid="{BC093900-42D8-4591-BC3C-9E482FE48E30}"/>
    <cellStyle name="Normal 9 2 2 3 4 2 5" xfId="29855" xr:uid="{2E3F984D-838B-4627-809E-964E6A8C6171}"/>
    <cellStyle name="Normal 9 2 2 3 4 3" xfId="5707" xr:uid="{00000000-0005-0000-0000-0000DA1E0000}"/>
    <cellStyle name="Normal 9 2 2 3 4 3 2" xfId="23480" xr:uid="{B2379111-7EC5-4866-A6D6-5AAA0A0E7AF9}"/>
    <cellStyle name="Normal 9 2 2 3 4 3 2 2" xfId="40374" xr:uid="{D5CF48FD-E7BD-4E5D-B66E-6A0664F2E397}"/>
    <cellStyle name="Normal 9 2 2 3 4 3 3" xfId="15033" xr:uid="{805B23D5-4E45-4F58-8098-42E2198F4D3A}"/>
    <cellStyle name="Normal 9 2 2 3 4 3 4" xfId="31927" xr:uid="{194694B8-E950-46E5-B011-F2343FA8CEB1}"/>
    <cellStyle name="Normal 9 2 2 3 4 4" xfId="19263" xr:uid="{0A0C2319-3903-43C1-919D-3901E4C27572}"/>
    <cellStyle name="Normal 9 2 2 3 4 4 2" xfId="36157" xr:uid="{9431295C-FB8C-4D78-BC97-D70AF75035D5}"/>
    <cellStyle name="Normal 9 2 2 3 4 5" xfId="10816" xr:uid="{712D5A14-DA22-43D5-B735-656F2F45D46C}"/>
    <cellStyle name="Normal 9 2 2 3 4 6" xfId="27710" xr:uid="{70F770A7-A9F0-4392-BC9F-3A4510EDEDA9}"/>
    <cellStyle name="Normal 9 2 2 3 5" xfId="1813" xr:uid="{00000000-0005-0000-0000-0000DB1E0000}"/>
    <cellStyle name="Normal 9 2 2 3 5 2" xfId="4043" xr:uid="{00000000-0005-0000-0000-0000DC1E0000}"/>
    <cellStyle name="Normal 9 2 2 3 5 2 2" xfId="8265" xr:uid="{00000000-0005-0000-0000-0000DD1E0000}"/>
    <cellStyle name="Normal 9 2 2 3 5 2 2 2" xfId="26038" xr:uid="{607C7538-C337-4FA8-9DA7-761C8509D587}"/>
    <cellStyle name="Normal 9 2 2 3 5 2 2 2 2" xfId="42932" xr:uid="{07A68289-D324-47ED-A4A1-B93BD6E29062}"/>
    <cellStyle name="Normal 9 2 2 3 5 2 2 3" xfId="17591" xr:uid="{714D490D-6BB4-42AB-938F-690711900FF8}"/>
    <cellStyle name="Normal 9 2 2 3 5 2 2 4" xfId="34485" xr:uid="{5C7BFA90-464C-4F01-828F-1BA79AEB6787}"/>
    <cellStyle name="Normal 9 2 2 3 5 2 3" xfId="21821" xr:uid="{17A4BF00-B88D-4FBA-86EA-C41C68E73932}"/>
    <cellStyle name="Normal 9 2 2 3 5 2 3 2" xfId="38715" xr:uid="{A9BA2DE5-4BA6-4829-8A7D-6322952F62C7}"/>
    <cellStyle name="Normal 9 2 2 3 5 2 4" xfId="13374" xr:uid="{03AC2360-3454-4520-9ACD-60ECE3357204}"/>
    <cellStyle name="Normal 9 2 2 3 5 2 5" xfId="30268" xr:uid="{DEBBF1FA-1AFB-4A4A-A530-9C81AB0FA380}"/>
    <cellStyle name="Normal 9 2 2 3 5 3" xfId="6120" xr:uid="{00000000-0005-0000-0000-0000DE1E0000}"/>
    <cellStyle name="Normal 9 2 2 3 5 3 2" xfId="23893" xr:uid="{1D8EA240-16D3-40A0-B8B8-5813547AD253}"/>
    <cellStyle name="Normal 9 2 2 3 5 3 2 2" xfId="40787" xr:uid="{FEFBBEDB-4E6B-4EEE-914A-944B8326F6ED}"/>
    <cellStyle name="Normal 9 2 2 3 5 3 3" xfId="15446" xr:uid="{D89E421C-B9D8-42E0-8AF0-42722EEDD31B}"/>
    <cellStyle name="Normal 9 2 2 3 5 3 4" xfId="32340" xr:uid="{2B8AC344-949E-46C8-8B60-9CD44842BA9D}"/>
    <cellStyle name="Normal 9 2 2 3 5 4" xfId="19676" xr:uid="{4B97E34E-97C6-4560-9C05-F1B8B90F9489}"/>
    <cellStyle name="Normal 9 2 2 3 5 4 2" xfId="36570" xr:uid="{A68C5184-B706-4DB8-BF4A-882BE34871C9}"/>
    <cellStyle name="Normal 9 2 2 3 5 5" xfId="11229" xr:uid="{5034F0AE-79B8-46D2-8355-A5C0B119BB7D}"/>
    <cellStyle name="Normal 9 2 2 3 5 6" xfId="28123" xr:uid="{387A7E92-F300-438C-88D5-88010C14E43B}"/>
    <cellStyle name="Normal 9 2 2 3 6" xfId="2227" xr:uid="{00000000-0005-0000-0000-0000DF1E0000}"/>
    <cellStyle name="Normal 9 2 2 3 6 2" xfId="4456" xr:uid="{00000000-0005-0000-0000-0000E01E0000}"/>
    <cellStyle name="Normal 9 2 2 3 6 2 2" xfId="8678" xr:uid="{00000000-0005-0000-0000-0000E11E0000}"/>
    <cellStyle name="Normal 9 2 2 3 6 2 2 2" xfId="26451" xr:uid="{9CCC2288-4C8E-46CB-A4D2-E965D0685ABE}"/>
    <cellStyle name="Normal 9 2 2 3 6 2 2 2 2" xfId="43345" xr:uid="{DC84CE13-2D5D-4098-9D3B-4E54E15F9AD3}"/>
    <cellStyle name="Normal 9 2 2 3 6 2 2 3" xfId="18004" xr:uid="{30C8C37E-5A1B-4EB1-B298-12DB92DCC33C}"/>
    <cellStyle name="Normal 9 2 2 3 6 2 2 4" xfId="34898" xr:uid="{F91EE128-5741-49B4-82C3-4F4712B67329}"/>
    <cellStyle name="Normal 9 2 2 3 6 2 3" xfId="22234" xr:uid="{DE5582AE-800C-4045-8A0C-E3383C58660B}"/>
    <cellStyle name="Normal 9 2 2 3 6 2 3 2" xfId="39128" xr:uid="{98E5B95F-485B-4F29-A7B8-E8F513FE3860}"/>
    <cellStyle name="Normal 9 2 2 3 6 2 4" xfId="13787" xr:uid="{46C9A051-D8BC-4AF9-BDED-D6C790D729BE}"/>
    <cellStyle name="Normal 9 2 2 3 6 2 5" xfId="30681" xr:uid="{466D2486-8925-417E-AB6B-96DCF2228126}"/>
    <cellStyle name="Normal 9 2 2 3 6 3" xfId="6533" xr:uid="{00000000-0005-0000-0000-0000E21E0000}"/>
    <cellStyle name="Normal 9 2 2 3 6 3 2" xfId="24306" xr:uid="{F0C9AE1C-EAF7-4BB2-AF2A-C03D1669DA09}"/>
    <cellStyle name="Normal 9 2 2 3 6 3 2 2" xfId="41200" xr:uid="{EE0806C8-F4BA-4EDC-BE67-B968E053F423}"/>
    <cellStyle name="Normal 9 2 2 3 6 3 3" xfId="15859" xr:uid="{44EE04E5-EEF6-4646-B7C7-2E4AA274E4FB}"/>
    <cellStyle name="Normal 9 2 2 3 6 3 4" xfId="32753" xr:uid="{0D8F2FA9-4631-4108-9D13-8F0C35F8F781}"/>
    <cellStyle name="Normal 9 2 2 3 6 4" xfId="20089" xr:uid="{87317A72-D1A6-4D25-8397-7A5ED232ACD7}"/>
    <cellStyle name="Normal 9 2 2 3 6 4 2" xfId="36983" xr:uid="{F3EAD89E-CB95-4E89-A9EE-CAFDD16FA415}"/>
    <cellStyle name="Normal 9 2 2 3 6 5" xfId="11642" xr:uid="{65421C1E-2FBA-4C82-9397-A346D4167739}"/>
    <cellStyle name="Normal 9 2 2 3 6 6" xfId="28536" xr:uid="{51309BF1-196A-47DA-AB4B-D2E0660EF9D6}"/>
    <cellStyle name="Normal 9 2 2 3 7" xfId="2663" xr:uid="{00000000-0005-0000-0000-0000E31E0000}"/>
    <cellStyle name="Normal 9 2 2 3 7 2" xfId="6946" xr:uid="{00000000-0005-0000-0000-0000E41E0000}"/>
    <cellStyle name="Normal 9 2 2 3 7 2 2" xfId="24719" xr:uid="{8F1798CD-2104-4665-8C9E-B36FC7F2E44C}"/>
    <cellStyle name="Normal 9 2 2 3 7 2 2 2" xfId="41613" xr:uid="{9048F2B7-A9C8-4608-A2C3-609AE3935228}"/>
    <cellStyle name="Normal 9 2 2 3 7 2 3" xfId="16272" xr:uid="{1DDC205A-BDF0-432D-AA9E-FD63F507CA2F}"/>
    <cellStyle name="Normal 9 2 2 3 7 2 4" xfId="33166" xr:uid="{4C241B4E-8C47-493C-848F-ADE7B2FF703D}"/>
    <cellStyle name="Normal 9 2 2 3 7 3" xfId="20502" xr:uid="{392E87FD-0DD0-4544-B70F-99923A7A8570}"/>
    <cellStyle name="Normal 9 2 2 3 7 3 2" xfId="37396" xr:uid="{27107581-AE1F-4B97-9CDC-782C4441CD18}"/>
    <cellStyle name="Normal 9 2 2 3 7 4" xfId="12055" xr:uid="{853183F0-3DA2-46EB-820B-6DAE5693B49A}"/>
    <cellStyle name="Normal 9 2 2 3 7 5" xfId="28949" xr:uid="{920F291E-C453-48C2-900C-934568E628CA}"/>
    <cellStyle name="Normal 9 2 2 3 8" xfId="4881" xr:uid="{00000000-0005-0000-0000-0000E51E0000}"/>
    <cellStyle name="Normal 9 2 2 3 8 2" xfId="22654" xr:uid="{FA6DDBA3-9DD5-4296-B855-5D40C63EAC64}"/>
    <cellStyle name="Normal 9 2 2 3 8 2 2" xfId="39548" xr:uid="{1AEB4A01-5D9B-4452-BE64-5D69D689FE79}"/>
    <cellStyle name="Normal 9 2 2 3 8 3" xfId="14207" xr:uid="{2175F8AB-BC47-422D-AF3B-09D31BE47910}"/>
    <cellStyle name="Normal 9 2 2 3 8 4" xfId="31101" xr:uid="{F8C345D2-58F2-44C5-8402-45528AEF5DCA}"/>
    <cellStyle name="Normal 9 2 2 3 9" xfId="8888" xr:uid="{47457178-62A7-4ACA-95A1-433BF4FD3D65}"/>
    <cellStyle name="Normal 9 2 2 3 9 2" xfId="18437" xr:uid="{D46E4153-0A25-4BB1-8256-4888CA46C62B}"/>
    <cellStyle name="Normal 9 2 2 3 9 3" xfId="35331" xr:uid="{0B1A72E0-D0F4-4216-B70D-ABAA258AD056}"/>
    <cellStyle name="Normal 9 2 2 4" xfId="519" xr:uid="{00000000-0005-0000-0000-0000E61E0000}"/>
    <cellStyle name="Normal 9 2 2 4 10" xfId="26886" xr:uid="{D81671B5-3FF5-40CA-BB0F-179085FD25FF}"/>
    <cellStyle name="Normal 9 2 2 4 2" xfId="986" xr:uid="{00000000-0005-0000-0000-0000E71E0000}"/>
    <cellStyle name="Normal 9 2 2 4 2 2" xfId="3219" xr:uid="{00000000-0005-0000-0000-0000E81E0000}"/>
    <cellStyle name="Normal 9 2 2 4 2 2 2" xfId="7441" xr:uid="{00000000-0005-0000-0000-0000E91E0000}"/>
    <cellStyle name="Normal 9 2 2 4 2 2 2 2" xfId="25214" xr:uid="{8830C1CF-FDFA-4202-B741-993B81D78549}"/>
    <cellStyle name="Normal 9 2 2 4 2 2 2 2 2" xfId="42108" xr:uid="{966D9D87-1A54-4B9F-BA31-23159D1C348E}"/>
    <cellStyle name="Normal 9 2 2 4 2 2 2 3" xfId="16767" xr:uid="{45C70EB7-8199-403D-A31E-7B1D3B2ED062}"/>
    <cellStyle name="Normal 9 2 2 4 2 2 2 4" xfId="33661" xr:uid="{4EC49152-9F03-4BEC-8AB3-CF77CB87C378}"/>
    <cellStyle name="Normal 9 2 2 4 2 2 3" xfId="20997" xr:uid="{68B20B96-498E-4079-8995-116ADB0AA4C6}"/>
    <cellStyle name="Normal 9 2 2 4 2 2 3 2" xfId="37891" xr:uid="{5A76C3C3-A1E8-4076-BE66-1DCCD5F1D507}"/>
    <cellStyle name="Normal 9 2 2 4 2 2 4" xfId="12550" xr:uid="{1AD19EAC-4E69-4787-B24E-70B5AD796122}"/>
    <cellStyle name="Normal 9 2 2 4 2 2 5" xfId="29444" xr:uid="{0EA83E88-57BC-41E2-9DBC-E464A67E856C}"/>
    <cellStyle name="Normal 9 2 2 4 2 3" xfId="5296" xr:uid="{00000000-0005-0000-0000-0000EA1E0000}"/>
    <cellStyle name="Normal 9 2 2 4 2 3 2" xfId="23069" xr:uid="{DD9B2A3F-771C-4252-89EA-C1A6BCC0627A}"/>
    <cellStyle name="Normal 9 2 2 4 2 3 2 2" xfId="39963" xr:uid="{EC25305E-96F9-4919-AE8A-3CE4A5CF2EF4}"/>
    <cellStyle name="Normal 9 2 2 4 2 3 3" xfId="14622" xr:uid="{C7D5E4E9-7BCE-45A2-8E9F-02C4C38D1985}"/>
    <cellStyle name="Normal 9 2 2 4 2 3 4" xfId="31516" xr:uid="{51ACEFD0-46B3-4336-8F79-324161815300}"/>
    <cellStyle name="Normal 9 2 2 4 2 4" xfId="9417" xr:uid="{FDB8A679-B5B8-4E9B-808D-E68F6CA01958}"/>
    <cellStyle name="Normal 9 2 2 4 2 4 2" xfId="18852" xr:uid="{0B51CFDC-4337-4066-B999-8CFD45C9E975}"/>
    <cellStyle name="Normal 9 2 2 4 2 4 3" xfId="35746" xr:uid="{9F70B17F-4FB6-455A-8F51-1297D09B2FD0}"/>
    <cellStyle name="Normal 9 2 2 4 2 5" xfId="10405" xr:uid="{509DCE76-1FE7-4B11-9B7A-6EF5C39F9793}"/>
    <cellStyle name="Normal 9 2 2 4 2 6" xfId="27299" xr:uid="{48418E83-5A12-4233-8291-664D94C1C2B3}"/>
    <cellStyle name="Normal 9 2 2 4 3" xfId="1402" xr:uid="{00000000-0005-0000-0000-0000EB1E0000}"/>
    <cellStyle name="Normal 9 2 2 4 3 2" xfId="3632" xr:uid="{00000000-0005-0000-0000-0000EC1E0000}"/>
    <cellStyle name="Normal 9 2 2 4 3 2 2" xfId="7854" xr:uid="{00000000-0005-0000-0000-0000ED1E0000}"/>
    <cellStyle name="Normal 9 2 2 4 3 2 2 2" xfId="25627" xr:uid="{8AB44A21-0BFD-48B6-BF51-EB4F43569B0E}"/>
    <cellStyle name="Normal 9 2 2 4 3 2 2 2 2" xfId="42521" xr:uid="{B59DB04C-F2CD-4BC8-BB47-0B4F4A80E20F}"/>
    <cellStyle name="Normal 9 2 2 4 3 2 2 3" xfId="17180" xr:uid="{F1555F20-985A-4299-85BF-13C49B296D3B}"/>
    <cellStyle name="Normal 9 2 2 4 3 2 2 4" xfId="34074" xr:uid="{45143588-2362-4495-861C-62311FF09E05}"/>
    <cellStyle name="Normal 9 2 2 4 3 2 3" xfId="21410" xr:uid="{2150388B-C694-4834-9FC2-DF79D9D18FAF}"/>
    <cellStyle name="Normal 9 2 2 4 3 2 3 2" xfId="38304" xr:uid="{7533980E-9FC2-42D9-8448-7635B75D3AB7}"/>
    <cellStyle name="Normal 9 2 2 4 3 2 4" xfId="12963" xr:uid="{A7C65764-4348-4FF2-81FB-AFA2CF2FBE87}"/>
    <cellStyle name="Normal 9 2 2 4 3 2 5" xfId="29857" xr:uid="{C588F89F-C7E2-4171-B7F2-8B33B303AA5E}"/>
    <cellStyle name="Normal 9 2 2 4 3 3" xfId="5709" xr:uid="{00000000-0005-0000-0000-0000EE1E0000}"/>
    <cellStyle name="Normal 9 2 2 4 3 3 2" xfId="23482" xr:uid="{653B2ED1-56ED-46C5-B785-B74B8BBC2197}"/>
    <cellStyle name="Normal 9 2 2 4 3 3 2 2" xfId="40376" xr:uid="{0D935259-426E-4534-993B-EAC2F3DB9ACE}"/>
    <cellStyle name="Normal 9 2 2 4 3 3 3" xfId="15035" xr:uid="{35449C76-4389-4A41-8D99-BAF0B25BF03E}"/>
    <cellStyle name="Normal 9 2 2 4 3 3 4" xfId="31929" xr:uid="{F4E8DD0F-06C4-4C21-8093-7D6761512376}"/>
    <cellStyle name="Normal 9 2 2 4 3 4" xfId="19265" xr:uid="{961BCD66-6642-449D-B9A1-F21117765096}"/>
    <cellStyle name="Normal 9 2 2 4 3 4 2" xfId="36159" xr:uid="{EF669630-3DAC-48C8-8458-5445DD7666A4}"/>
    <cellStyle name="Normal 9 2 2 4 3 5" xfId="10818" xr:uid="{2897285D-05D8-4A65-870D-3415D656C71C}"/>
    <cellStyle name="Normal 9 2 2 4 3 6" xfId="27712" xr:uid="{68E8B70D-6180-40C1-B415-964FABF68AED}"/>
    <cellStyle name="Normal 9 2 2 4 4" xfId="1815" xr:uid="{00000000-0005-0000-0000-0000EF1E0000}"/>
    <cellStyle name="Normal 9 2 2 4 4 2" xfId="4045" xr:uid="{00000000-0005-0000-0000-0000F01E0000}"/>
    <cellStyle name="Normal 9 2 2 4 4 2 2" xfId="8267" xr:uid="{00000000-0005-0000-0000-0000F11E0000}"/>
    <cellStyle name="Normal 9 2 2 4 4 2 2 2" xfId="26040" xr:uid="{81E2F929-80E4-4106-B911-D14E02E19FC4}"/>
    <cellStyle name="Normal 9 2 2 4 4 2 2 2 2" xfId="42934" xr:uid="{AFCBB821-2D6A-41A9-A473-A201F106247B}"/>
    <cellStyle name="Normal 9 2 2 4 4 2 2 3" xfId="17593" xr:uid="{4F31EC30-8C77-4209-ABAF-41329FBCC3E1}"/>
    <cellStyle name="Normal 9 2 2 4 4 2 2 4" xfId="34487" xr:uid="{5632E195-D4CD-433B-9A27-37EC16DCBDED}"/>
    <cellStyle name="Normal 9 2 2 4 4 2 3" xfId="21823" xr:uid="{457967C8-6B57-421D-B7B9-C1772787BAD5}"/>
    <cellStyle name="Normal 9 2 2 4 4 2 3 2" xfId="38717" xr:uid="{05EC731B-4001-4A94-B8F2-BDFE0FCD9193}"/>
    <cellStyle name="Normal 9 2 2 4 4 2 4" xfId="13376" xr:uid="{270BB520-B5E8-4FE0-B1A0-352DE1C3D996}"/>
    <cellStyle name="Normal 9 2 2 4 4 2 5" xfId="30270" xr:uid="{52FB46F7-44A0-449D-BA6F-E2E0949613D4}"/>
    <cellStyle name="Normal 9 2 2 4 4 3" xfId="6122" xr:uid="{00000000-0005-0000-0000-0000F21E0000}"/>
    <cellStyle name="Normal 9 2 2 4 4 3 2" xfId="23895" xr:uid="{4827085F-2672-48DB-9194-D97588F6B5E1}"/>
    <cellStyle name="Normal 9 2 2 4 4 3 2 2" xfId="40789" xr:uid="{98459BE1-E88E-40A0-8B2F-FBBFB52D7AF9}"/>
    <cellStyle name="Normal 9 2 2 4 4 3 3" xfId="15448" xr:uid="{0B77B935-A0AA-4126-B7D9-68D986AD3561}"/>
    <cellStyle name="Normal 9 2 2 4 4 3 4" xfId="32342" xr:uid="{DC04F62E-FEF0-4079-85EE-19A0FB57D39C}"/>
    <cellStyle name="Normal 9 2 2 4 4 4" xfId="19678" xr:uid="{D0EFA4B6-8773-4FAA-9D27-9F5DE359A636}"/>
    <cellStyle name="Normal 9 2 2 4 4 4 2" xfId="36572" xr:uid="{597AB180-4794-4199-AA4C-7F36CDEDEA3E}"/>
    <cellStyle name="Normal 9 2 2 4 4 5" xfId="11231" xr:uid="{4A05B65D-0A6E-442C-8AE4-C18951C2B1E2}"/>
    <cellStyle name="Normal 9 2 2 4 4 6" xfId="28125" xr:uid="{E23A952F-7952-4771-B84E-B6DA383B15F7}"/>
    <cellStyle name="Normal 9 2 2 4 5" xfId="2229" xr:uid="{00000000-0005-0000-0000-0000F31E0000}"/>
    <cellStyle name="Normal 9 2 2 4 5 2" xfId="4458" xr:uid="{00000000-0005-0000-0000-0000F41E0000}"/>
    <cellStyle name="Normal 9 2 2 4 5 2 2" xfId="8680" xr:uid="{00000000-0005-0000-0000-0000F51E0000}"/>
    <cellStyle name="Normal 9 2 2 4 5 2 2 2" xfId="26453" xr:uid="{819D670D-E405-4921-9C50-728DCA011F2F}"/>
    <cellStyle name="Normal 9 2 2 4 5 2 2 2 2" xfId="43347" xr:uid="{5F4A10F3-CE7E-4B9D-873A-A136ABA1D6FA}"/>
    <cellStyle name="Normal 9 2 2 4 5 2 2 3" xfId="18006" xr:uid="{87D4A596-10BE-40A6-BCE9-F9F644296A52}"/>
    <cellStyle name="Normal 9 2 2 4 5 2 2 4" xfId="34900" xr:uid="{8F95F4FE-7AC1-46B5-93B7-DD02389ED4F6}"/>
    <cellStyle name="Normal 9 2 2 4 5 2 3" xfId="22236" xr:uid="{8CF00A1B-211C-4BC0-AA46-1A6732CE981C}"/>
    <cellStyle name="Normal 9 2 2 4 5 2 3 2" xfId="39130" xr:uid="{EA9BFC89-5635-449A-9B99-C61CFBCDA998}"/>
    <cellStyle name="Normal 9 2 2 4 5 2 4" xfId="13789" xr:uid="{FE9A8C13-4A0D-4420-93EE-90DD641F2D63}"/>
    <cellStyle name="Normal 9 2 2 4 5 2 5" xfId="30683" xr:uid="{EA3FAD75-A88E-432F-BE36-792B4FB36EB6}"/>
    <cellStyle name="Normal 9 2 2 4 5 3" xfId="6535" xr:uid="{00000000-0005-0000-0000-0000F61E0000}"/>
    <cellStyle name="Normal 9 2 2 4 5 3 2" xfId="24308" xr:uid="{E6BC249A-A0FF-4968-ADA2-BB4837C4FF4E}"/>
    <cellStyle name="Normal 9 2 2 4 5 3 2 2" xfId="41202" xr:uid="{0AC0E1ED-61EC-4C29-BB65-B304E626DCE7}"/>
    <cellStyle name="Normal 9 2 2 4 5 3 3" xfId="15861" xr:uid="{D7CA434F-279A-4B43-8FE7-959D60BCB024}"/>
    <cellStyle name="Normal 9 2 2 4 5 3 4" xfId="32755" xr:uid="{56EF9C82-CB08-44E2-9191-B1B57EF30D7F}"/>
    <cellStyle name="Normal 9 2 2 4 5 4" xfId="20091" xr:uid="{F2457D2B-A7AA-4488-9F3E-CC133F681417}"/>
    <cellStyle name="Normal 9 2 2 4 5 4 2" xfId="36985" xr:uid="{3753C7B7-36D6-49BC-A230-C8A16F0113A2}"/>
    <cellStyle name="Normal 9 2 2 4 5 5" xfId="11644" xr:uid="{08CCAD1A-E53F-4C9A-88E6-22BE549ED418}"/>
    <cellStyle name="Normal 9 2 2 4 5 6" xfId="28538" xr:uid="{54BB463F-539E-4BB2-A60F-AD3312B90574}"/>
    <cellStyle name="Normal 9 2 2 4 6" xfId="2665" xr:uid="{00000000-0005-0000-0000-0000F71E0000}"/>
    <cellStyle name="Normal 9 2 2 4 6 2" xfId="6948" xr:uid="{00000000-0005-0000-0000-0000F81E0000}"/>
    <cellStyle name="Normal 9 2 2 4 6 2 2" xfId="24721" xr:uid="{84F95F43-5A41-49E8-88B2-2CF3BA41BE2C}"/>
    <cellStyle name="Normal 9 2 2 4 6 2 2 2" xfId="41615" xr:uid="{2EF3CDE2-10F1-439F-914D-F78B17FC2A0E}"/>
    <cellStyle name="Normal 9 2 2 4 6 2 3" xfId="16274" xr:uid="{540ECB36-A4BD-48C9-9F36-6CE1ADFB3F5A}"/>
    <cellStyle name="Normal 9 2 2 4 6 2 4" xfId="33168" xr:uid="{69872C7F-3CDA-4984-B4B3-8F53D0A89C66}"/>
    <cellStyle name="Normal 9 2 2 4 6 3" xfId="20504" xr:uid="{4C29AC14-4801-4630-8DCA-D4E2B72DD87B}"/>
    <cellStyle name="Normal 9 2 2 4 6 3 2" xfId="37398" xr:uid="{8E1946E5-A4C9-413F-8439-4EB56240CEF4}"/>
    <cellStyle name="Normal 9 2 2 4 6 4" xfId="12057" xr:uid="{630A6881-9A58-4DE5-AC20-5F966E1DF56D}"/>
    <cellStyle name="Normal 9 2 2 4 6 5" xfId="28951" xr:uid="{3E28AC62-B98A-4BAA-98F0-177CF615DE31}"/>
    <cellStyle name="Normal 9 2 2 4 7" xfId="4883" xr:uid="{00000000-0005-0000-0000-0000F91E0000}"/>
    <cellStyle name="Normal 9 2 2 4 7 2" xfId="22656" xr:uid="{CFE7103F-0BEF-4594-BD12-019690A05A13}"/>
    <cellStyle name="Normal 9 2 2 4 7 2 2" xfId="39550" xr:uid="{05E8B42D-5109-4A93-96C1-A826DDFB54BF}"/>
    <cellStyle name="Normal 9 2 2 4 7 3" xfId="14209" xr:uid="{361DF55C-9652-490D-BDF9-4B7182E7597C}"/>
    <cellStyle name="Normal 9 2 2 4 7 4" xfId="31103" xr:uid="{FE0A85F6-3D54-4A23-9884-940C75401D1B}"/>
    <cellStyle name="Normal 9 2 2 4 8" xfId="8992" xr:uid="{8AFFF8AD-8552-4B33-AAFF-7DACAE25085E}"/>
    <cellStyle name="Normal 9 2 2 4 8 2" xfId="18439" xr:uid="{8F404B27-6AE2-46F1-95FF-F15D33FDB3C6}"/>
    <cellStyle name="Normal 9 2 2 4 8 3" xfId="35333" xr:uid="{ECF9B798-84F5-4649-B3DA-DBDA7A952709}"/>
    <cellStyle name="Normal 9 2 2 4 9" xfId="9992" xr:uid="{B33AE4ED-2FE9-4160-B028-58C17D7127CF}"/>
    <cellStyle name="Normal 9 2 2 5" xfId="979" xr:uid="{00000000-0005-0000-0000-0000FA1E0000}"/>
    <cellStyle name="Normal 9 2 2 5 2" xfId="3212" xr:uid="{00000000-0005-0000-0000-0000FB1E0000}"/>
    <cellStyle name="Normal 9 2 2 5 2 2" xfId="7434" xr:uid="{00000000-0005-0000-0000-0000FC1E0000}"/>
    <cellStyle name="Normal 9 2 2 5 2 2 2" xfId="25207" xr:uid="{8AA873BA-97AD-4CE8-B1AC-74585DF4F8F5}"/>
    <cellStyle name="Normal 9 2 2 5 2 2 2 2" xfId="42101" xr:uid="{5E5FE099-2B2D-4D96-9726-C3BEA30B174F}"/>
    <cellStyle name="Normal 9 2 2 5 2 2 3" xfId="16760" xr:uid="{2A61D3C3-AB30-4C2F-8257-6F74702ECC1D}"/>
    <cellStyle name="Normal 9 2 2 5 2 2 4" xfId="33654" xr:uid="{EC7A2078-CA94-4A68-9C75-E7B40D87ADE9}"/>
    <cellStyle name="Normal 9 2 2 5 2 3" xfId="20990" xr:uid="{1CEF4FD6-8ED9-49F7-8E37-04B15B65071F}"/>
    <cellStyle name="Normal 9 2 2 5 2 3 2" xfId="37884" xr:uid="{F856A1A8-B179-4FB7-B7AB-6827C0A30442}"/>
    <cellStyle name="Normal 9 2 2 5 2 4" xfId="12543" xr:uid="{C2232AE2-23AC-4566-AABD-1E471918A7F2}"/>
    <cellStyle name="Normal 9 2 2 5 2 5" xfId="29437" xr:uid="{6E1B8342-A809-465E-919B-120480D53486}"/>
    <cellStyle name="Normal 9 2 2 5 3" xfId="5289" xr:uid="{00000000-0005-0000-0000-0000FD1E0000}"/>
    <cellStyle name="Normal 9 2 2 5 3 2" xfId="23062" xr:uid="{A07B6D62-457D-4FEA-8402-37350D63D90D}"/>
    <cellStyle name="Normal 9 2 2 5 3 2 2" xfId="39956" xr:uid="{A45AB899-222B-43B7-9418-DD82068E932D}"/>
    <cellStyle name="Normal 9 2 2 5 3 3" xfId="14615" xr:uid="{9C1BFF86-EABE-48DD-B2F0-5978574AC550}"/>
    <cellStyle name="Normal 9 2 2 5 3 4" xfId="31509" xr:uid="{956F9D47-2E9B-4E66-B0C4-92B28A36F8E2}"/>
    <cellStyle name="Normal 9 2 2 5 4" xfId="9209" xr:uid="{66E66B93-842C-41D8-A807-A065C03CFEBD}"/>
    <cellStyle name="Normal 9 2 2 5 4 2" xfId="18845" xr:uid="{25CE17A7-B35C-4167-8172-A500D2AFB69B}"/>
    <cellStyle name="Normal 9 2 2 5 4 3" xfId="35739" xr:uid="{DABAB9CD-8EDF-4AF4-87F5-85F37124B96D}"/>
    <cellStyle name="Normal 9 2 2 5 5" xfId="10398" xr:uid="{E38FA3AC-D33D-4A76-BF09-D3B358A2AF1D}"/>
    <cellStyle name="Normal 9 2 2 5 6" xfId="27292" xr:uid="{1EE98173-BEF3-4D02-9D9F-98638723E117}"/>
    <cellStyle name="Normal 9 2 2 6" xfId="1395" xr:uid="{00000000-0005-0000-0000-0000FE1E0000}"/>
    <cellStyle name="Normal 9 2 2 6 2" xfId="3625" xr:uid="{00000000-0005-0000-0000-0000FF1E0000}"/>
    <cellStyle name="Normal 9 2 2 6 2 2" xfId="7847" xr:uid="{00000000-0005-0000-0000-0000001F0000}"/>
    <cellStyle name="Normal 9 2 2 6 2 2 2" xfId="25620" xr:uid="{E6615B3A-AA93-461A-B450-E5F5A0C09515}"/>
    <cellStyle name="Normal 9 2 2 6 2 2 2 2" xfId="42514" xr:uid="{963F8B97-6B7C-4C82-8E32-D88DC188D12D}"/>
    <cellStyle name="Normal 9 2 2 6 2 2 3" xfId="17173" xr:uid="{642A1F2C-08BB-4C9E-A74E-AE734975D6CC}"/>
    <cellStyle name="Normal 9 2 2 6 2 2 4" xfId="34067" xr:uid="{288B4B1D-7945-41C9-B1E0-08544186A70E}"/>
    <cellStyle name="Normal 9 2 2 6 2 3" xfId="21403" xr:uid="{D99E5681-EE40-4A0B-B6EE-BBA602EFB175}"/>
    <cellStyle name="Normal 9 2 2 6 2 3 2" xfId="38297" xr:uid="{77827004-82EA-4575-A620-B75498CFBFF6}"/>
    <cellStyle name="Normal 9 2 2 6 2 4" xfId="12956" xr:uid="{0FB280B5-7E86-4280-87EA-8A0BF2DA5A04}"/>
    <cellStyle name="Normal 9 2 2 6 2 5" xfId="29850" xr:uid="{DE915712-7C0C-431E-B7B5-7B28920C17DE}"/>
    <cellStyle name="Normal 9 2 2 6 3" xfId="5702" xr:uid="{00000000-0005-0000-0000-0000011F0000}"/>
    <cellStyle name="Normal 9 2 2 6 3 2" xfId="23475" xr:uid="{89076F3C-68E6-441D-AD34-645FC5713157}"/>
    <cellStyle name="Normal 9 2 2 6 3 2 2" xfId="40369" xr:uid="{B214B92B-98D9-4D1D-A566-BED2FA272E3C}"/>
    <cellStyle name="Normal 9 2 2 6 3 3" xfId="15028" xr:uid="{E8F19260-AA6F-4D04-A40C-03F4A461BC23}"/>
    <cellStyle name="Normal 9 2 2 6 3 4" xfId="31922" xr:uid="{BDC4E85C-2AD9-42AD-9A38-97E97E8C32D1}"/>
    <cellStyle name="Normal 9 2 2 6 4" xfId="19258" xr:uid="{D209AA1F-68C6-49E8-8816-A53CE09FDFE6}"/>
    <cellStyle name="Normal 9 2 2 6 4 2" xfId="36152" xr:uid="{54303F46-CA76-44AB-83BD-E7143DBD8D36}"/>
    <cellStyle name="Normal 9 2 2 6 5" xfId="10811" xr:uid="{F89AF047-548D-4B3D-9885-7778A7178F12}"/>
    <cellStyle name="Normal 9 2 2 6 6" xfId="27705" xr:uid="{A335F963-8438-4A28-BE3F-0979ADC1AB93}"/>
    <cellStyle name="Normal 9 2 2 7" xfId="1808" xr:uid="{00000000-0005-0000-0000-0000021F0000}"/>
    <cellStyle name="Normal 9 2 2 7 2" xfId="4038" xr:uid="{00000000-0005-0000-0000-0000031F0000}"/>
    <cellStyle name="Normal 9 2 2 7 2 2" xfId="8260" xr:uid="{00000000-0005-0000-0000-0000041F0000}"/>
    <cellStyle name="Normal 9 2 2 7 2 2 2" xfId="26033" xr:uid="{7A806CFA-7999-4CDF-B151-AEE6734AD230}"/>
    <cellStyle name="Normal 9 2 2 7 2 2 2 2" xfId="42927" xr:uid="{C153DAE3-1596-4385-9018-697DE01C972A}"/>
    <cellStyle name="Normal 9 2 2 7 2 2 3" xfId="17586" xr:uid="{53B4D2E5-55F5-4F2C-A57B-231F32A8DEB5}"/>
    <cellStyle name="Normal 9 2 2 7 2 2 4" xfId="34480" xr:uid="{F93D0A1E-E860-4EF3-89D6-504D5690D6CE}"/>
    <cellStyle name="Normal 9 2 2 7 2 3" xfId="21816" xr:uid="{4744519C-3853-4AE3-924C-7BEDC1CA9B5C}"/>
    <cellStyle name="Normal 9 2 2 7 2 3 2" xfId="38710" xr:uid="{89A7AC57-FBF2-4700-8CF2-E355284830FE}"/>
    <cellStyle name="Normal 9 2 2 7 2 4" xfId="13369" xr:uid="{72F6BD9D-761E-4524-9FC3-5EA6D52E416E}"/>
    <cellStyle name="Normal 9 2 2 7 2 5" xfId="30263" xr:uid="{E2B041F9-1716-4974-8477-29C1B6E0D1B0}"/>
    <cellStyle name="Normal 9 2 2 7 3" xfId="6115" xr:uid="{00000000-0005-0000-0000-0000051F0000}"/>
    <cellStyle name="Normal 9 2 2 7 3 2" xfId="23888" xr:uid="{2198B0BC-CADF-4983-9012-F93F11618514}"/>
    <cellStyle name="Normal 9 2 2 7 3 2 2" xfId="40782" xr:uid="{0041C7E1-5E77-4A1E-9249-7FD258B95058}"/>
    <cellStyle name="Normal 9 2 2 7 3 3" xfId="15441" xr:uid="{D8530902-5FBE-4B7E-B122-1CD2976BC72C}"/>
    <cellStyle name="Normal 9 2 2 7 3 4" xfId="32335" xr:uid="{4B506CAB-112E-483C-A6FF-68A8067A16A5}"/>
    <cellStyle name="Normal 9 2 2 7 4" xfId="19671" xr:uid="{C2CF62D4-BAB8-4E87-B6CD-24A18FABA716}"/>
    <cellStyle name="Normal 9 2 2 7 4 2" xfId="36565" xr:uid="{CAC49BE8-48C9-45D4-B809-37B2E5A5760B}"/>
    <cellStyle name="Normal 9 2 2 7 5" xfId="11224" xr:uid="{CF573A86-228D-44F5-AEC1-E6E4560A2362}"/>
    <cellStyle name="Normal 9 2 2 7 6" xfId="28118" xr:uid="{91549800-A023-45FE-9495-2AB58F74E6AB}"/>
    <cellStyle name="Normal 9 2 2 8" xfId="2222" xr:uid="{00000000-0005-0000-0000-0000061F0000}"/>
    <cellStyle name="Normal 9 2 2 8 2" xfId="4451" xr:uid="{00000000-0005-0000-0000-0000071F0000}"/>
    <cellStyle name="Normal 9 2 2 8 2 2" xfId="8673" xr:uid="{00000000-0005-0000-0000-0000081F0000}"/>
    <cellStyle name="Normal 9 2 2 8 2 2 2" xfId="26446" xr:uid="{5B98EC1F-1E68-4F94-8F53-8DE80376D536}"/>
    <cellStyle name="Normal 9 2 2 8 2 2 2 2" xfId="43340" xr:uid="{1BA1D23D-1E3E-4E22-8E45-058F15F898D2}"/>
    <cellStyle name="Normal 9 2 2 8 2 2 3" xfId="17999" xr:uid="{86490EB8-4151-4CF3-A534-E61C02030822}"/>
    <cellStyle name="Normal 9 2 2 8 2 2 4" xfId="34893" xr:uid="{409F859C-D7C0-44DA-BDA9-A617514368F5}"/>
    <cellStyle name="Normal 9 2 2 8 2 3" xfId="22229" xr:uid="{81AC6905-E3FE-4871-8C6E-B437B0F49A59}"/>
    <cellStyle name="Normal 9 2 2 8 2 3 2" xfId="39123" xr:uid="{2B9D4D9F-C460-4167-859A-EC30C4758AB3}"/>
    <cellStyle name="Normal 9 2 2 8 2 4" xfId="13782" xr:uid="{E908742E-FD02-4A6E-8E7B-AEAE9EFCCB67}"/>
    <cellStyle name="Normal 9 2 2 8 2 5" xfId="30676" xr:uid="{F314CAE2-D438-4E72-BCBF-E1D31F11324E}"/>
    <cellStyle name="Normal 9 2 2 8 3" xfId="6528" xr:uid="{00000000-0005-0000-0000-0000091F0000}"/>
    <cellStyle name="Normal 9 2 2 8 3 2" xfId="24301" xr:uid="{912A203C-D69C-4D60-B4C0-1D0746896E99}"/>
    <cellStyle name="Normal 9 2 2 8 3 2 2" xfId="41195" xr:uid="{A94EDC86-5887-4983-ACDF-EBD563DBA74A}"/>
    <cellStyle name="Normal 9 2 2 8 3 3" xfId="15854" xr:uid="{96F8AE9D-B471-4D00-8EEF-19483786725E}"/>
    <cellStyle name="Normal 9 2 2 8 3 4" xfId="32748" xr:uid="{57E0EDFF-1B1F-469B-AA0C-1C3982BB6C1E}"/>
    <cellStyle name="Normal 9 2 2 8 4" xfId="20084" xr:uid="{1CBADF15-9D59-4E93-B6A1-576BFD9DCE99}"/>
    <cellStyle name="Normal 9 2 2 8 4 2" xfId="36978" xr:uid="{DB5C71A2-9800-421B-86F7-22C2C9F5AF84}"/>
    <cellStyle name="Normal 9 2 2 8 5" xfId="11637" xr:uid="{96B658AD-206F-4BAA-94EF-3B39AC487088}"/>
    <cellStyle name="Normal 9 2 2 8 6" xfId="28531" xr:uid="{DB128E90-6C28-4AD6-BE28-228C411BDED3}"/>
    <cellStyle name="Normal 9 2 2 9" xfId="2658" xr:uid="{00000000-0005-0000-0000-00000A1F0000}"/>
    <cellStyle name="Normal 9 2 2 9 2" xfId="6941" xr:uid="{00000000-0005-0000-0000-00000B1F0000}"/>
    <cellStyle name="Normal 9 2 2 9 2 2" xfId="24714" xr:uid="{5ED44108-C8E2-42DB-A91A-BFFCC9E48EC2}"/>
    <cellStyle name="Normal 9 2 2 9 2 2 2" xfId="41608" xr:uid="{49308DEA-1C06-4001-AF05-A033F5E59596}"/>
    <cellStyle name="Normal 9 2 2 9 2 3" xfId="16267" xr:uid="{CD810C5F-E572-4B68-985A-8BB3DE67DB85}"/>
    <cellStyle name="Normal 9 2 2 9 2 4" xfId="33161" xr:uid="{AE925E6B-DBFE-43A0-A74F-22DD72E70B3D}"/>
    <cellStyle name="Normal 9 2 2 9 3" xfId="20497" xr:uid="{80EAD4ED-5438-4B67-8D6B-EB4E3BC3D1EE}"/>
    <cellStyle name="Normal 9 2 2 9 3 2" xfId="37391" xr:uid="{38043389-3756-4E98-9109-05247D6B16BF}"/>
    <cellStyle name="Normal 9 2 2 9 4" xfId="12050" xr:uid="{2A021572-CB39-45B9-B842-F624BD179C1A}"/>
    <cellStyle name="Normal 9 2 2 9 5" xfId="28944" xr:uid="{E885A256-7750-4569-9F8F-3765710EE8AB}"/>
    <cellStyle name="Normal 9 2 3" xfId="520" xr:uid="{00000000-0005-0000-0000-00000C1F0000}"/>
    <cellStyle name="Normal 9 2 3 10" xfId="8838" xr:uid="{3F59BADF-95CF-4831-9CE1-8ACBDD585DF1}"/>
    <cellStyle name="Normal 9 2 3 10 2" xfId="18440" xr:uid="{BCA11D98-799B-4CE6-B2CF-3897637AE8D2}"/>
    <cellStyle name="Normal 9 2 3 10 3" xfId="35334" xr:uid="{B485DBA2-42B3-4CAF-85D9-EDC0F301027D}"/>
    <cellStyle name="Normal 9 2 3 11" xfId="9993" xr:uid="{13C49D9C-DCE5-4845-8ACD-B43E8E406966}"/>
    <cellStyle name="Normal 9 2 3 12" xfId="26887" xr:uid="{80C42A46-B367-42F0-9817-575B2B501DA3}"/>
    <cellStyle name="Normal 9 2 3 2" xfId="521" xr:uid="{00000000-0005-0000-0000-00000D1F0000}"/>
    <cellStyle name="Normal 9 2 3 2 10" xfId="9994" xr:uid="{8BBDF046-3066-4D61-8E59-5680F1A6B8F4}"/>
    <cellStyle name="Normal 9 2 3 2 11" xfId="26888" xr:uid="{312580FB-E75C-4022-9600-558294D87E72}"/>
    <cellStyle name="Normal 9 2 3 2 2" xfId="522" xr:uid="{00000000-0005-0000-0000-00000E1F0000}"/>
    <cellStyle name="Normal 9 2 3 2 2 10" xfId="26889" xr:uid="{4DF4813F-673B-48A7-886E-85A1C9376A83}"/>
    <cellStyle name="Normal 9 2 3 2 2 2" xfId="989" xr:uid="{00000000-0005-0000-0000-00000F1F0000}"/>
    <cellStyle name="Normal 9 2 3 2 2 2 2" xfId="3222" xr:uid="{00000000-0005-0000-0000-0000101F0000}"/>
    <cellStyle name="Normal 9 2 3 2 2 2 2 2" xfId="7444" xr:uid="{00000000-0005-0000-0000-0000111F0000}"/>
    <cellStyle name="Normal 9 2 3 2 2 2 2 2 2" xfId="25217" xr:uid="{FF1B8C6A-62AA-412B-A859-5832A687624C}"/>
    <cellStyle name="Normal 9 2 3 2 2 2 2 2 2 2" xfId="42111" xr:uid="{94D769BD-0D50-44B9-AD53-50954242F6D7}"/>
    <cellStyle name="Normal 9 2 3 2 2 2 2 2 3" xfId="16770" xr:uid="{DD90E3E7-6B70-4F4C-96D1-6F115782BC82}"/>
    <cellStyle name="Normal 9 2 3 2 2 2 2 2 4" xfId="33664" xr:uid="{FA1ADFD4-E9DA-4762-B831-8C7C760B2DAB}"/>
    <cellStyle name="Normal 9 2 3 2 2 2 2 3" xfId="21000" xr:uid="{A96D76EF-16A3-4E3F-B3B5-159A0662F93E}"/>
    <cellStyle name="Normal 9 2 3 2 2 2 2 3 2" xfId="37894" xr:uid="{C702D550-BF74-42AA-8E85-7BFEA6AD5477}"/>
    <cellStyle name="Normal 9 2 3 2 2 2 2 4" xfId="12553" xr:uid="{7E2BFFC1-0748-400A-AE54-AA4C649949B0}"/>
    <cellStyle name="Normal 9 2 3 2 2 2 2 5" xfId="29447" xr:uid="{F8ACD527-1232-4D08-AF4D-12FD6E053D00}"/>
    <cellStyle name="Normal 9 2 3 2 2 2 3" xfId="5299" xr:uid="{00000000-0005-0000-0000-0000121F0000}"/>
    <cellStyle name="Normal 9 2 3 2 2 2 3 2" xfId="23072" xr:uid="{FD8BEC7D-69C2-41FD-85F4-EED72CB6153D}"/>
    <cellStyle name="Normal 9 2 3 2 2 2 3 2 2" xfId="39966" xr:uid="{BD3A4D59-A7A9-4D1B-86E5-5CA9B9654F8C}"/>
    <cellStyle name="Normal 9 2 3 2 2 2 3 3" xfId="14625" xr:uid="{A43C6896-38FB-4F21-A2C0-500BB7C4F70F}"/>
    <cellStyle name="Normal 9 2 3 2 2 2 3 4" xfId="31519" xr:uid="{52CF9404-8485-472A-8195-07B3B7446606}"/>
    <cellStyle name="Normal 9 2 3 2 2 2 4" xfId="9573" xr:uid="{376F8566-2407-40B8-9531-D3E757BE7A23}"/>
    <cellStyle name="Normal 9 2 3 2 2 2 4 2" xfId="18855" xr:uid="{667DF0CC-6691-4A3D-ACBD-625E59BD8B92}"/>
    <cellStyle name="Normal 9 2 3 2 2 2 4 3" xfId="35749" xr:uid="{D7983FC3-CA9C-4252-84FD-7932061EC9E8}"/>
    <cellStyle name="Normal 9 2 3 2 2 2 5" xfId="10408" xr:uid="{45B0337F-A324-4F01-896C-158208FAAF52}"/>
    <cellStyle name="Normal 9 2 3 2 2 2 6" xfId="27302" xr:uid="{2827EABD-169D-4D70-936D-CD4B234B8A57}"/>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2 2 2" xfId="25630" xr:uid="{85CA0AAF-8CD9-405D-9C56-252D39526992}"/>
    <cellStyle name="Normal 9 2 3 2 2 3 2 2 2 2" xfId="42524" xr:uid="{F405229A-24E5-4384-B523-EF736BD31D83}"/>
    <cellStyle name="Normal 9 2 3 2 2 3 2 2 3" xfId="17183" xr:uid="{70847B3F-A19C-4FDD-8BB0-A049224BA096}"/>
    <cellStyle name="Normal 9 2 3 2 2 3 2 2 4" xfId="34077" xr:uid="{BFC8824E-9CEC-4F37-A225-0D2B1F6E9478}"/>
    <cellStyle name="Normal 9 2 3 2 2 3 2 3" xfId="21413" xr:uid="{67D2B96B-1E1B-465D-9992-4299718F1947}"/>
    <cellStyle name="Normal 9 2 3 2 2 3 2 3 2" xfId="38307" xr:uid="{E9BD8B15-E491-49C2-B534-C34F5471F6A7}"/>
    <cellStyle name="Normal 9 2 3 2 2 3 2 4" xfId="12966" xr:uid="{D7657D32-E0FB-4210-903F-62B91F865CD3}"/>
    <cellStyle name="Normal 9 2 3 2 2 3 2 5" xfId="29860" xr:uid="{20B8BFC8-8C6E-4373-BD05-EBB2508D82CB}"/>
    <cellStyle name="Normal 9 2 3 2 2 3 3" xfId="5712" xr:uid="{00000000-0005-0000-0000-0000161F0000}"/>
    <cellStyle name="Normal 9 2 3 2 2 3 3 2" xfId="23485" xr:uid="{F8144DAC-60CE-4193-8811-D827A4EC6AFF}"/>
    <cellStyle name="Normal 9 2 3 2 2 3 3 2 2" xfId="40379" xr:uid="{7547542F-E559-4A02-9FE9-E89F75D0AC9D}"/>
    <cellStyle name="Normal 9 2 3 2 2 3 3 3" xfId="15038" xr:uid="{44E90521-C1BB-4BB0-8742-2126BFE7AC7B}"/>
    <cellStyle name="Normal 9 2 3 2 2 3 3 4" xfId="31932" xr:uid="{15B4ACD3-50D3-453D-99F9-BED0CD011630}"/>
    <cellStyle name="Normal 9 2 3 2 2 3 4" xfId="19268" xr:uid="{25EE37E1-6EDB-4848-81DE-1D2388FA1739}"/>
    <cellStyle name="Normal 9 2 3 2 2 3 4 2" xfId="36162" xr:uid="{41F8B9D7-85B0-402E-9B51-880D9E4797F6}"/>
    <cellStyle name="Normal 9 2 3 2 2 3 5" xfId="10821" xr:uid="{4081D464-1B12-490A-98E9-7062FC14689F}"/>
    <cellStyle name="Normal 9 2 3 2 2 3 6" xfId="27715" xr:uid="{F992AE0A-68C5-41D8-AEBA-355999AB83D3}"/>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2 2 2" xfId="26043" xr:uid="{63CE52ED-FD85-40F0-A5A8-FC3E7D234AB7}"/>
    <cellStyle name="Normal 9 2 3 2 2 4 2 2 2 2" xfId="42937" xr:uid="{2CECB842-D183-4D5E-B494-C457554A3B11}"/>
    <cellStyle name="Normal 9 2 3 2 2 4 2 2 3" xfId="17596" xr:uid="{C50708C9-9FEE-4422-A25C-122C385D037C}"/>
    <cellStyle name="Normal 9 2 3 2 2 4 2 2 4" xfId="34490" xr:uid="{8141CA07-9E66-4164-A0E8-39F42FF4B13B}"/>
    <cellStyle name="Normal 9 2 3 2 2 4 2 3" xfId="21826" xr:uid="{7B54E772-838C-49FF-BA36-C8AD43C6E6FD}"/>
    <cellStyle name="Normal 9 2 3 2 2 4 2 3 2" xfId="38720" xr:uid="{A5E41FC6-22C6-47EC-92CE-2034E6B5070F}"/>
    <cellStyle name="Normal 9 2 3 2 2 4 2 4" xfId="13379" xr:uid="{61F2FA2D-7654-484F-8087-5437AFED1FAB}"/>
    <cellStyle name="Normal 9 2 3 2 2 4 2 5" xfId="30273" xr:uid="{28239D2A-00A6-4108-8419-87116C60B615}"/>
    <cellStyle name="Normal 9 2 3 2 2 4 3" xfId="6125" xr:uid="{00000000-0005-0000-0000-00001A1F0000}"/>
    <cellStyle name="Normal 9 2 3 2 2 4 3 2" xfId="23898" xr:uid="{A9BF629A-9802-4FB4-BBE7-ADFA6A5803DD}"/>
    <cellStyle name="Normal 9 2 3 2 2 4 3 2 2" xfId="40792" xr:uid="{182AA2ED-B2EC-4019-B32E-BA0D65E10AB3}"/>
    <cellStyle name="Normal 9 2 3 2 2 4 3 3" xfId="15451" xr:uid="{D3FE03E3-0D4F-403C-A600-DD0C55CFB2BB}"/>
    <cellStyle name="Normal 9 2 3 2 2 4 3 4" xfId="32345" xr:uid="{340C2586-F381-45B4-8F80-AA886D6B081A}"/>
    <cellStyle name="Normal 9 2 3 2 2 4 4" xfId="19681" xr:uid="{F1E106C4-5098-40A0-857A-1666800E1966}"/>
    <cellStyle name="Normal 9 2 3 2 2 4 4 2" xfId="36575" xr:uid="{5A54A864-273C-4632-9B28-66FAFEAAE68D}"/>
    <cellStyle name="Normal 9 2 3 2 2 4 5" xfId="11234" xr:uid="{35B161E9-7024-4192-AB3A-74072DD74A45}"/>
    <cellStyle name="Normal 9 2 3 2 2 4 6" xfId="28128" xr:uid="{E0B56A1D-C553-447D-B522-F495F6CC9E67}"/>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2 2 2" xfId="26456" xr:uid="{CFC992C3-5810-4567-A2B9-82B0C4DB06AF}"/>
    <cellStyle name="Normal 9 2 3 2 2 5 2 2 2 2" xfId="43350" xr:uid="{01E22EC5-7870-4DF2-8BA2-351F987F8C15}"/>
    <cellStyle name="Normal 9 2 3 2 2 5 2 2 3" xfId="18009" xr:uid="{8E46DDCB-88A7-40ED-AE6C-EB83E1A35F2C}"/>
    <cellStyle name="Normal 9 2 3 2 2 5 2 2 4" xfId="34903" xr:uid="{DB976AA6-7611-4ED3-A224-88198BD267DE}"/>
    <cellStyle name="Normal 9 2 3 2 2 5 2 3" xfId="22239" xr:uid="{E66EC9E0-0789-4353-AD22-39FA794964A6}"/>
    <cellStyle name="Normal 9 2 3 2 2 5 2 3 2" xfId="39133" xr:uid="{92AD34A3-64D4-45DC-8C5C-4B30E69FEDCD}"/>
    <cellStyle name="Normal 9 2 3 2 2 5 2 4" xfId="13792" xr:uid="{C5E781D5-D9C6-43EC-BEC2-A0FD75FA8C4D}"/>
    <cellStyle name="Normal 9 2 3 2 2 5 2 5" xfId="30686" xr:uid="{4029DABA-771F-447E-8223-6AB8BD900BAF}"/>
    <cellStyle name="Normal 9 2 3 2 2 5 3" xfId="6538" xr:uid="{00000000-0005-0000-0000-00001E1F0000}"/>
    <cellStyle name="Normal 9 2 3 2 2 5 3 2" xfId="24311" xr:uid="{D7CF3C89-80A6-4ABD-894D-12F7F5FE73D3}"/>
    <cellStyle name="Normal 9 2 3 2 2 5 3 2 2" xfId="41205" xr:uid="{1E2E4EE2-1501-4047-AA78-B1F587336F5F}"/>
    <cellStyle name="Normal 9 2 3 2 2 5 3 3" xfId="15864" xr:uid="{0669B9A5-5852-46D8-A148-1E9DFBF7E4FD}"/>
    <cellStyle name="Normal 9 2 3 2 2 5 3 4" xfId="32758" xr:uid="{7D4EEBC5-3BFF-49EC-A32D-DA9F12193C6F}"/>
    <cellStyle name="Normal 9 2 3 2 2 5 4" xfId="20094" xr:uid="{7DEE33C8-3265-437E-883D-2696F75418C0}"/>
    <cellStyle name="Normal 9 2 3 2 2 5 4 2" xfId="36988" xr:uid="{DBDC9D4E-4044-4B15-8DB9-BC3CDF30C359}"/>
    <cellStyle name="Normal 9 2 3 2 2 5 5" xfId="11647" xr:uid="{45505D33-17CF-4C1F-8736-541236A8B0BA}"/>
    <cellStyle name="Normal 9 2 3 2 2 5 6" xfId="28541" xr:uid="{79ED575E-65BA-4786-8CC8-3462E130E7A9}"/>
    <cellStyle name="Normal 9 2 3 2 2 6" xfId="2668" xr:uid="{00000000-0005-0000-0000-00001F1F0000}"/>
    <cellStyle name="Normal 9 2 3 2 2 6 2" xfId="6951" xr:uid="{00000000-0005-0000-0000-0000201F0000}"/>
    <cellStyle name="Normal 9 2 3 2 2 6 2 2" xfId="24724" xr:uid="{136A684F-25C7-4031-850F-E283D1791089}"/>
    <cellStyle name="Normal 9 2 3 2 2 6 2 2 2" xfId="41618" xr:uid="{BAE30182-FE75-4A03-A52F-19F9D41CCE5F}"/>
    <cellStyle name="Normal 9 2 3 2 2 6 2 3" xfId="16277" xr:uid="{95B9CDDD-81B2-42D5-BDA8-19E2E76C66BE}"/>
    <cellStyle name="Normal 9 2 3 2 2 6 2 4" xfId="33171" xr:uid="{F21DAC75-653A-4BD7-90FB-32065EDECF34}"/>
    <cellStyle name="Normal 9 2 3 2 2 6 3" xfId="20507" xr:uid="{0F40C391-88AD-45C9-8051-8468CBCA6B39}"/>
    <cellStyle name="Normal 9 2 3 2 2 6 3 2" xfId="37401" xr:uid="{00F1F18E-7EBA-4C80-B258-93A53F75C329}"/>
    <cellStyle name="Normal 9 2 3 2 2 6 4" xfId="12060" xr:uid="{8D9E4451-D0C7-4D87-8CE3-DE362EE619F3}"/>
    <cellStyle name="Normal 9 2 3 2 2 6 5" xfId="28954" xr:uid="{47F548A2-15F1-4258-8AC2-901490A9D75C}"/>
    <cellStyle name="Normal 9 2 3 2 2 7" xfId="4886" xr:uid="{00000000-0005-0000-0000-0000211F0000}"/>
    <cellStyle name="Normal 9 2 3 2 2 7 2" xfId="22659" xr:uid="{8BBC707B-CCC7-4441-AD60-1FE3F0ED66EF}"/>
    <cellStyle name="Normal 9 2 3 2 2 7 2 2" xfId="39553" xr:uid="{C9CF92C5-31A1-4A97-AB6E-AB236683EC4B}"/>
    <cellStyle name="Normal 9 2 3 2 2 7 3" xfId="14212" xr:uid="{833AE327-B477-4988-99D7-FF4F1F326F1A}"/>
    <cellStyle name="Normal 9 2 3 2 2 7 4" xfId="31106" xr:uid="{01B34DFC-8E33-4D4C-AE76-82C97EE69DE0}"/>
    <cellStyle name="Normal 9 2 3 2 2 8" xfId="9148" xr:uid="{E1A2F3F0-C8EA-47FA-BB37-18F117041A87}"/>
    <cellStyle name="Normal 9 2 3 2 2 8 2" xfId="18442" xr:uid="{508E096D-D213-4917-A02C-3881ADA535C2}"/>
    <cellStyle name="Normal 9 2 3 2 2 8 3" xfId="35336" xr:uid="{444E0775-A852-4AF4-8906-FCF98F2D96C1}"/>
    <cellStyle name="Normal 9 2 3 2 2 9" xfId="9995" xr:uid="{86D2A7F8-F013-40EF-A986-B15CA5FB798D}"/>
    <cellStyle name="Normal 9 2 3 2 3" xfId="988" xr:uid="{00000000-0005-0000-0000-0000221F0000}"/>
    <cellStyle name="Normal 9 2 3 2 3 2" xfId="3221" xr:uid="{00000000-0005-0000-0000-0000231F0000}"/>
    <cellStyle name="Normal 9 2 3 2 3 2 2" xfId="7443" xr:uid="{00000000-0005-0000-0000-0000241F0000}"/>
    <cellStyle name="Normal 9 2 3 2 3 2 2 2" xfId="25216" xr:uid="{BD1A5F0F-28BA-4D36-96BE-8A9990F1190D}"/>
    <cellStyle name="Normal 9 2 3 2 3 2 2 2 2" xfId="42110" xr:uid="{91A2F16A-7E61-4A70-AED9-0C738D5A6BFA}"/>
    <cellStyle name="Normal 9 2 3 2 3 2 2 3" xfId="16769" xr:uid="{9234BB19-494C-4F86-8619-EAD6BA8585F3}"/>
    <cellStyle name="Normal 9 2 3 2 3 2 2 4" xfId="33663" xr:uid="{CBB27C7F-B29A-4996-BFAA-EDA6879EF0A9}"/>
    <cellStyle name="Normal 9 2 3 2 3 2 3" xfId="20999" xr:uid="{FC20FD7C-D7E0-41C5-AE93-E758FB6606CA}"/>
    <cellStyle name="Normal 9 2 3 2 3 2 3 2" xfId="37893" xr:uid="{25C49A7B-E2B6-4B65-81A3-DFFBE77796A4}"/>
    <cellStyle name="Normal 9 2 3 2 3 2 4" xfId="12552" xr:uid="{3FC08313-CF92-44C4-ADED-F91C8580CD30}"/>
    <cellStyle name="Normal 9 2 3 2 3 2 5" xfId="29446" xr:uid="{0B09C3DA-CD27-4858-AAE9-C550C7478E19}"/>
    <cellStyle name="Normal 9 2 3 2 3 3" xfId="5298" xr:uid="{00000000-0005-0000-0000-0000251F0000}"/>
    <cellStyle name="Normal 9 2 3 2 3 3 2" xfId="23071" xr:uid="{E843FE1A-5DE7-4076-A898-2FE0C2F7DB94}"/>
    <cellStyle name="Normal 9 2 3 2 3 3 2 2" xfId="39965" xr:uid="{961DBDBA-DFC1-4463-9D1D-BE92EC988919}"/>
    <cellStyle name="Normal 9 2 3 2 3 3 3" xfId="14624" xr:uid="{051EEDE6-2F37-4529-B4B2-ADC597B5A7CD}"/>
    <cellStyle name="Normal 9 2 3 2 3 3 4" xfId="31518" xr:uid="{394197AE-1045-4C6D-8E6A-D15491118A72}"/>
    <cellStyle name="Normal 9 2 3 2 3 4" xfId="9366" xr:uid="{136A6B94-9CAA-4F6C-B09D-7385900FCA38}"/>
    <cellStyle name="Normal 9 2 3 2 3 4 2" xfId="18854" xr:uid="{A6A6FD8A-BCCB-431B-897E-F7768AA235EA}"/>
    <cellStyle name="Normal 9 2 3 2 3 4 3" xfId="35748" xr:uid="{8E0D5C5E-DD1E-4F5B-9F45-6120B370B608}"/>
    <cellStyle name="Normal 9 2 3 2 3 5" xfId="10407" xr:uid="{186AE822-E995-418D-9085-3D3485CC0BE9}"/>
    <cellStyle name="Normal 9 2 3 2 3 6" xfId="27301" xr:uid="{D3EB9146-5D5A-4047-BD0B-4859D13AF983}"/>
    <cellStyle name="Normal 9 2 3 2 4" xfId="1404" xr:uid="{00000000-0005-0000-0000-0000261F0000}"/>
    <cellStyle name="Normal 9 2 3 2 4 2" xfId="3634" xr:uid="{00000000-0005-0000-0000-0000271F0000}"/>
    <cellStyle name="Normal 9 2 3 2 4 2 2" xfId="7856" xr:uid="{00000000-0005-0000-0000-0000281F0000}"/>
    <cellStyle name="Normal 9 2 3 2 4 2 2 2" xfId="25629" xr:uid="{AB87C73A-23C0-4E2D-BA24-78859FC7D911}"/>
    <cellStyle name="Normal 9 2 3 2 4 2 2 2 2" xfId="42523" xr:uid="{05D67231-3C1B-49C9-86F4-A41435F820F8}"/>
    <cellStyle name="Normal 9 2 3 2 4 2 2 3" xfId="17182" xr:uid="{8D806847-B642-4F29-9BB2-08E2EEAEE186}"/>
    <cellStyle name="Normal 9 2 3 2 4 2 2 4" xfId="34076" xr:uid="{5519348D-4E31-4687-9314-E5C8994188C6}"/>
    <cellStyle name="Normal 9 2 3 2 4 2 3" xfId="21412" xr:uid="{6165FC1C-DF6F-4866-B5C8-1D72FE480B44}"/>
    <cellStyle name="Normal 9 2 3 2 4 2 3 2" xfId="38306" xr:uid="{BB0B01DB-88E1-45E6-931F-46BA47978EAA}"/>
    <cellStyle name="Normal 9 2 3 2 4 2 4" xfId="12965" xr:uid="{CE7137AE-CCEF-4E5C-9174-66F86E3CC533}"/>
    <cellStyle name="Normal 9 2 3 2 4 2 5" xfId="29859" xr:uid="{876103CE-6708-4A45-8D9B-E22580E5ABE7}"/>
    <cellStyle name="Normal 9 2 3 2 4 3" xfId="5711" xr:uid="{00000000-0005-0000-0000-0000291F0000}"/>
    <cellStyle name="Normal 9 2 3 2 4 3 2" xfId="23484" xr:uid="{173C603B-827B-45E5-8C10-E85985DFB86A}"/>
    <cellStyle name="Normal 9 2 3 2 4 3 2 2" xfId="40378" xr:uid="{3C5A8B4E-E1D6-4DAF-A74B-19FD4A28262F}"/>
    <cellStyle name="Normal 9 2 3 2 4 3 3" xfId="15037" xr:uid="{6019675C-1A69-4E1B-8106-35804CC7A05E}"/>
    <cellStyle name="Normal 9 2 3 2 4 3 4" xfId="31931" xr:uid="{1CFEA2F9-7682-40CC-8F11-DC63E8B1F748}"/>
    <cellStyle name="Normal 9 2 3 2 4 4" xfId="19267" xr:uid="{28B5E7DF-EB3E-451E-BB39-8BABCCF3E208}"/>
    <cellStyle name="Normal 9 2 3 2 4 4 2" xfId="36161" xr:uid="{BABB9BBF-9A5B-4E68-82A9-B3625A25CD91}"/>
    <cellStyle name="Normal 9 2 3 2 4 5" xfId="10820" xr:uid="{D2CDD839-D3A5-45AA-8FA4-7569997F989E}"/>
    <cellStyle name="Normal 9 2 3 2 4 6" xfId="27714" xr:uid="{DE5A9A2F-04B7-4394-A6C9-015788A79FA2}"/>
    <cellStyle name="Normal 9 2 3 2 5" xfId="1817" xr:uid="{00000000-0005-0000-0000-00002A1F0000}"/>
    <cellStyle name="Normal 9 2 3 2 5 2" xfId="4047" xr:uid="{00000000-0005-0000-0000-00002B1F0000}"/>
    <cellStyle name="Normal 9 2 3 2 5 2 2" xfId="8269" xr:uid="{00000000-0005-0000-0000-00002C1F0000}"/>
    <cellStyle name="Normal 9 2 3 2 5 2 2 2" xfId="26042" xr:uid="{3D2796BE-37B7-4ED3-8F12-004B239EF30C}"/>
    <cellStyle name="Normal 9 2 3 2 5 2 2 2 2" xfId="42936" xr:uid="{49F25BA9-42A8-4324-A78E-37A230375083}"/>
    <cellStyle name="Normal 9 2 3 2 5 2 2 3" xfId="17595" xr:uid="{933C063A-15A4-4B42-A011-5C617EAE2C68}"/>
    <cellStyle name="Normal 9 2 3 2 5 2 2 4" xfId="34489" xr:uid="{FD6B32EB-3588-4D7E-9E7D-E10ED6CBF16A}"/>
    <cellStyle name="Normal 9 2 3 2 5 2 3" xfId="21825" xr:uid="{9BA56941-46BE-4AB4-942E-9446E24F1431}"/>
    <cellStyle name="Normal 9 2 3 2 5 2 3 2" xfId="38719" xr:uid="{D96EB756-8A68-4E0D-881D-A365105BD1CE}"/>
    <cellStyle name="Normal 9 2 3 2 5 2 4" xfId="13378" xr:uid="{028A1D7C-DCD7-451F-94C4-F94E7C44BEF1}"/>
    <cellStyle name="Normal 9 2 3 2 5 2 5" xfId="30272" xr:uid="{450FEF26-CC17-48B8-B995-AF4F0F4F7B85}"/>
    <cellStyle name="Normal 9 2 3 2 5 3" xfId="6124" xr:uid="{00000000-0005-0000-0000-00002D1F0000}"/>
    <cellStyle name="Normal 9 2 3 2 5 3 2" xfId="23897" xr:uid="{2B325B65-D6EC-47BB-9533-50ACCF830011}"/>
    <cellStyle name="Normal 9 2 3 2 5 3 2 2" xfId="40791" xr:uid="{B8D64D82-506A-410C-B6CF-E5BC5DBFCA23}"/>
    <cellStyle name="Normal 9 2 3 2 5 3 3" xfId="15450" xr:uid="{4F978DC5-B75B-453F-9E04-3C855A8B36DB}"/>
    <cellStyle name="Normal 9 2 3 2 5 3 4" xfId="32344" xr:uid="{A3FF96C9-BF28-41D6-89AA-2A0B7BD61EF9}"/>
    <cellStyle name="Normal 9 2 3 2 5 4" xfId="19680" xr:uid="{5BADC84D-F4E5-4329-9535-0CACE80356A7}"/>
    <cellStyle name="Normal 9 2 3 2 5 4 2" xfId="36574" xr:uid="{BFC5D023-2686-4F19-97F8-F368A0366CA2}"/>
    <cellStyle name="Normal 9 2 3 2 5 5" xfId="11233" xr:uid="{9BD7B273-1AAB-4DF2-B067-4BC1A26BD20B}"/>
    <cellStyle name="Normal 9 2 3 2 5 6" xfId="28127" xr:uid="{5B4D6B5A-CBA1-4ADB-A998-0DE90054F5D5}"/>
    <cellStyle name="Normal 9 2 3 2 6" xfId="2231" xr:uid="{00000000-0005-0000-0000-00002E1F0000}"/>
    <cellStyle name="Normal 9 2 3 2 6 2" xfId="4460" xr:uid="{00000000-0005-0000-0000-00002F1F0000}"/>
    <cellStyle name="Normal 9 2 3 2 6 2 2" xfId="8682" xr:uid="{00000000-0005-0000-0000-0000301F0000}"/>
    <cellStyle name="Normal 9 2 3 2 6 2 2 2" xfId="26455" xr:uid="{6C2B9A5E-70DD-4AC2-BBD1-E5D1EE37E127}"/>
    <cellStyle name="Normal 9 2 3 2 6 2 2 2 2" xfId="43349" xr:uid="{19B03FD4-0E25-4821-BEB3-5F7CFA8249B3}"/>
    <cellStyle name="Normal 9 2 3 2 6 2 2 3" xfId="18008" xr:uid="{3C5C83C7-F2C6-4056-A47F-5CF62FD9A92F}"/>
    <cellStyle name="Normal 9 2 3 2 6 2 2 4" xfId="34902" xr:uid="{2BE57622-C06B-4AD6-9571-62C67EB7AAC6}"/>
    <cellStyle name="Normal 9 2 3 2 6 2 3" xfId="22238" xr:uid="{2ECD03D5-03AA-4EE9-9397-94BF189D2E67}"/>
    <cellStyle name="Normal 9 2 3 2 6 2 3 2" xfId="39132" xr:uid="{EDD142EA-81F9-4774-B293-CCCB87401B2C}"/>
    <cellStyle name="Normal 9 2 3 2 6 2 4" xfId="13791" xr:uid="{672B0171-F091-402D-8A71-CBAED88BE248}"/>
    <cellStyle name="Normal 9 2 3 2 6 2 5" xfId="30685" xr:uid="{47D935B5-9668-4C99-9954-56251E141A14}"/>
    <cellStyle name="Normal 9 2 3 2 6 3" xfId="6537" xr:uid="{00000000-0005-0000-0000-0000311F0000}"/>
    <cellStyle name="Normal 9 2 3 2 6 3 2" xfId="24310" xr:uid="{6878CF2C-C83C-467F-9116-67E6FB2F01A1}"/>
    <cellStyle name="Normal 9 2 3 2 6 3 2 2" xfId="41204" xr:uid="{379CA7B7-EB32-45FE-B4D0-5CC207925B01}"/>
    <cellStyle name="Normal 9 2 3 2 6 3 3" xfId="15863" xr:uid="{2A4B9BB9-AB43-4097-8220-8DB2EFE4A03B}"/>
    <cellStyle name="Normal 9 2 3 2 6 3 4" xfId="32757" xr:uid="{0ECA263F-9D4F-45FF-8343-C34541B835ED}"/>
    <cellStyle name="Normal 9 2 3 2 6 4" xfId="20093" xr:uid="{CB2CE476-F1EB-4AE6-B280-A887D944DFB8}"/>
    <cellStyle name="Normal 9 2 3 2 6 4 2" xfId="36987" xr:uid="{1BE7DF8B-1AA3-450A-B8A2-7007A356FE1F}"/>
    <cellStyle name="Normal 9 2 3 2 6 5" xfId="11646" xr:uid="{FA09F07D-F517-4719-876F-B25F10336C98}"/>
    <cellStyle name="Normal 9 2 3 2 6 6" xfId="28540" xr:uid="{5AEAD8EF-BC64-4F19-9828-B761DA6645EC}"/>
    <cellStyle name="Normal 9 2 3 2 7" xfId="2667" xr:uid="{00000000-0005-0000-0000-0000321F0000}"/>
    <cellStyle name="Normal 9 2 3 2 7 2" xfId="6950" xr:uid="{00000000-0005-0000-0000-0000331F0000}"/>
    <cellStyle name="Normal 9 2 3 2 7 2 2" xfId="24723" xr:uid="{93832907-6D1C-4A20-B8E0-8784F02328F8}"/>
    <cellStyle name="Normal 9 2 3 2 7 2 2 2" xfId="41617" xr:uid="{E732E1A4-59F9-46EA-B2EC-669010609155}"/>
    <cellStyle name="Normal 9 2 3 2 7 2 3" xfId="16276" xr:uid="{5DB0DAA4-A934-4CE4-AC09-212D7178261D}"/>
    <cellStyle name="Normal 9 2 3 2 7 2 4" xfId="33170" xr:uid="{E7FBE295-C150-4AF3-99F3-11B993994122}"/>
    <cellStyle name="Normal 9 2 3 2 7 3" xfId="20506" xr:uid="{AF0A5FB3-FCF9-4D82-8A54-C8515FB89E8F}"/>
    <cellStyle name="Normal 9 2 3 2 7 3 2" xfId="37400" xr:uid="{33E37123-C1BC-4430-BFA0-451348187911}"/>
    <cellStyle name="Normal 9 2 3 2 7 4" xfId="12059" xr:uid="{3D346270-4983-4F94-9182-AFA1B3D6A7F6}"/>
    <cellStyle name="Normal 9 2 3 2 7 5" xfId="28953" xr:uid="{A3F3F982-C944-4503-A218-EBC09FDD2AF4}"/>
    <cellStyle name="Normal 9 2 3 2 8" xfId="4885" xr:uid="{00000000-0005-0000-0000-0000341F0000}"/>
    <cellStyle name="Normal 9 2 3 2 8 2" xfId="22658" xr:uid="{34318E13-2E6B-461A-9D26-81C61B73228D}"/>
    <cellStyle name="Normal 9 2 3 2 8 2 2" xfId="39552" xr:uid="{2DA1982D-FF86-49E2-B876-B367243FB341}"/>
    <cellStyle name="Normal 9 2 3 2 8 3" xfId="14211" xr:uid="{091CC9A2-3C6E-4655-B1AA-0FC866F53794}"/>
    <cellStyle name="Normal 9 2 3 2 8 4" xfId="31105" xr:uid="{DA2141DD-332A-4785-A2DD-9475DA6FFF79}"/>
    <cellStyle name="Normal 9 2 3 2 9" xfId="8941" xr:uid="{DDA1E375-E708-45D0-9119-207D493A75BA}"/>
    <cellStyle name="Normal 9 2 3 2 9 2" xfId="18441" xr:uid="{517400FC-2712-4F0E-BD6F-1803711432CF}"/>
    <cellStyle name="Normal 9 2 3 2 9 3" xfId="35335" xr:uid="{9C2A61C8-343E-4245-9D3A-955E4A9CC652}"/>
    <cellStyle name="Normal 9 2 3 3" xfId="523" xr:uid="{00000000-0005-0000-0000-0000351F0000}"/>
    <cellStyle name="Normal 9 2 3 3 10" xfId="26890" xr:uid="{93A32D4E-9230-4E89-8CD1-720B5C6B920A}"/>
    <cellStyle name="Normal 9 2 3 3 2" xfId="990" xr:uid="{00000000-0005-0000-0000-0000361F0000}"/>
    <cellStyle name="Normal 9 2 3 3 2 2" xfId="3223" xr:uid="{00000000-0005-0000-0000-0000371F0000}"/>
    <cellStyle name="Normal 9 2 3 3 2 2 2" xfId="7445" xr:uid="{00000000-0005-0000-0000-0000381F0000}"/>
    <cellStyle name="Normal 9 2 3 3 2 2 2 2" xfId="25218" xr:uid="{B01A606A-1F53-4D4B-9F0B-F68E8241B180}"/>
    <cellStyle name="Normal 9 2 3 3 2 2 2 2 2" xfId="42112" xr:uid="{C81DCF46-6390-4DCB-A70B-FC2625987A96}"/>
    <cellStyle name="Normal 9 2 3 3 2 2 2 3" xfId="16771" xr:uid="{CA159BF8-6F39-46A1-A1F7-12FA39BC3F42}"/>
    <cellStyle name="Normal 9 2 3 3 2 2 2 4" xfId="33665" xr:uid="{644062B7-56B5-48F7-9870-CD5D9035EB75}"/>
    <cellStyle name="Normal 9 2 3 3 2 2 3" xfId="21001" xr:uid="{BFF2011A-0E20-4CB1-B2E2-BF514F09C20A}"/>
    <cellStyle name="Normal 9 2 3 3 2 2 3 2" xfId="37895" xr:uid="{5CF13924-0B24-4282-BC80-92F08AF38199}"/>
    <cellStyle name="Normal 9 2 3 3 2 2 4" xfId="12554" xr:uid="{6D52A109-2798-4354-BE14-64B280B255A2}"/>
    <cellStyle name="Normal 9 2 3 3 2 2 5" xfId="29448" xr:uid="{1BB5C6C2-E174-4853-A2D7-D0990FC10381}"/>
    <cellStyle name="Normal 9 2 3 3 2 3" xfId="5300" xr:uid="{00000000-0005-0000-0000-0000391F0000}"/>
    <cellStyle name="Normal 9 2 3 3 2 3 2" xfId="23073" xr:uid="{07598E3C-2BEC-48A8-8B84-026BB9261ED3}"/>
    <cellStyle name="Normal 9 2 3 3 2 3 2 2" xfId="39967" xr:uid="{F3907C73-4A8E-4237-A6DB-341EDE16CE5F}"/>
    <cellStyle name="Normal 9 2 3 3 2 3 3" xfId="14626" xr:uid="{3E4488ED-A448-4440-BFF1-E1DFA2DB1A41}"/>
    <cellStyle name="Normal 9 2 3 3 2 3 4" xfId="31520" xr:uid="{F7C20563-1FA6-436E-A1F3-F7BCE1F5D84B}"/>
    <cellStyle name="Normal 9 2 3 3 2 4" xfId="9470" xr:uid="{B46EA5E7-4A9D-405A-94B0-2C155F0DE1F1}"/>
    <cellStyle name="Normal 9 2 3 3 2 4 2" xfId="18856" xr:uid="{EC972DEA-8A61-48A7-AECA-159DB99FA7EA}"/>
    <cellStyle name="Normal 9 2 3 3 2 4 3" xfId="35750" xr:uid="{CF2AC133-E512-4A5E-B4ED-5C9D3AC98732}"/>
    <cellStyle name="Normal 9 2 3 3 2 5" xfId="10409" xr:uid="{7C1B283D-714E-47AF-A613-6C614B2F3BDE}"/>
    <cellStyle name="Normal 9 2 3 3 2 6" xfId="27303" xr:uid="{1ADCA38E-359B-449E-BE8E-781B63A657FF}"/>
    <cellStyle name="Normal 9 2 3 3 3" xfId="1406" xr:uid="{00000000-0005-0000-0000-00003A1F0000}"/>
    <cellStyle name="Normal 9 2 3 3 3 2" xfId="3636" xr:uid="{00000000-0005-0000-0000-00003B1F0000}"/>
    <cellStyle name="Normal 9 2 3 3 3 2 2" xfId="7858" xr:uid="{00000000-0005-0000-0000-00003C1F0000}"/>
    <cellStyle name="Normal 9 2 3 3 3 2 2 2" xfId="25631" xr:uid="{B5EBA511-8D13-41A4-B3FB-471BE6271DCA}"/>
    <cellStyle name="Normal 9 2 3 3 3 2 2 2 2" xfId="42525" xr:uid="{2A56C138-AFD9-4826-A56F-A9FD825E9553}"/>
    <cellStyle name="Normal 9 2 3 3 3 2 2 3" xfId="17184" xr:uid="{B33F7B61-320F-42A8-9A15-E564CAFBF08F}"/>
    <cellStyle name="Normal 9 2 3 3 3 2 2 4" xfId="34078" xr:uid="{8CA5872F-8CD5-4997-94BD-061A6937E048}"/>
    <cellStyle name="Normal 9 2 3 3 3 2 3" xfId="21414" xr:uid="{0BC950A4-2973-403E-82DA-F5712D3889DF}"/>
    <cellStyle name="Normal 9 2 3 3 3 2 3 2" xfId="38308" xr:uid="{CF91B895-557C-4040-8A84-39943867D00D}"/>
    <cellStyle name="Normal 9 2 3 3 3 2 4" xfId="12967" xr:uid="{ABB551A0-AE39-4C2D-A866-1361713B2742}"/>
    <cellStyle name="Normal 9 2 3 3 3 2 5" xfId="29861" xr:uid="{CCF1F1D0-62C0-41AC-BDBB-2725F64B5769}"/>
    <cellStyle name="Normal 9 2 3 3 3 3" xfId="5713" xr:uid="{00000000-0005-0000-0000-00003D1F0000}"/>
    <cellStyle name="Normal 9 2 3 3 3 3 2" xfId="23486" xr:uid="{09A92233-AB34-4856-A14B-C1DE0907ECC1}"/>
    <cellStyle name="Normal 9 2 3 3 3 3 2 2" xfId="40380" xr:uid="{A5A91F70-C063-4874-9392-9DFE316C15C9}"/>
    <cellStyle name="Normal 9 2 3 3 3 3 3" xfId="15039" xr:uid="{A4A1A9AB-6FC3-4ECD-8CDD-E5B7D2817166}"/>
    <cellStyle name="Normal 9 2 3 3 3 3 4" xfId="31933" xr:uid="{9BD42492-627F-447F-85A0-3FAA27634F51}"/>
    <cellStyle name="Normal 9 2 3 3 3 4" xfId="19269" xr:uid="{2D6EAB30-5A83-4CD0-885A-A3DF8737D3F7}"/>
    <cellStyle name="Normal 9 2 3 3 3 4 2" xfId="36163" xr:uid="{BAF1C3CD-2CF3-420B-A446-DA71FAE104B3}"/>
    <cellStyle name="Normal 9 2 3 3 3 5" xfId="10822" xr:uid="{2D2A29D2-0D5B-47BA-9C85-5D7BDAC6DF51}"/>
    <cellStyle name="Normal 9 2 3 3 3 6" xfId="27716" xr:uid="{0DEBA4E3-5AAA-40F6-B7BB-2191DDD02104}"/>
    <cellStyle name="Normal 9 2 3 3 4" xfId="1819" xr:uid="{00000000-0005-0000-0000-00003E1F0000}"/>
    <cellStyle name="Normal 9 2 3 3 4 2" xfId="4049" xr:uid="{00000000-0005-0000-0000-00003F1F0000}"/>
    <cellStyle name="Normal 9 2 3 3 4 2 2" xfId="8271" xr:uid="{00000000-0005-0000-0000-0000401F0000}"/>
    <cellStyle name="Normal 9 2 3 3 4 2 2 2" xfId="26044" xr:uid="{2D557483-ACEE-4890-AA9E-8DFB8125C760}"/>
    <cellStyle name="Normal 9 2 3 3 4 2 2 2 2" xfId="42938" xr:uid="{234114E6-D0BE-4762-9E19-AE02ED664A0A}"/>
    <cellStyle name="Normal 9 2 3 3 4 2 2 3" xfId="17597" xr:uid="{D219D72C-87FB-4034-A2F3-13F5750B52C6}"/>
    <cellStyle name="Normal 9 2 3 3 4 2 2 4" xfId="34491" xr:uid="{89423D21-7F0F-47D2-9881-1505B937DD9E}"/>
    <cellStyle name="Normal 9 2 3 3 4 2 3" xfId="21827" xr:uid="{A8D95FEA-FDF8-45E8-8F12-1EAEEC813E0B}"/>
    <cellStyle name="Normal 9 2 3 3 4 2 3 2" xfId="38721" xr:uid="{EAA73BC5-AD2B-49DF-A818-8EE73041EC82}"/>
    <cellStyle name="Normal 9 2 3 3 4 2 4" xfId="13380" xr:uid="{62AA442F-1A75-4116-AE08-78C2795E60E2}"/>
    <cellStyle name="Normal 9 2 3 3 4 2 5" xfId="30274" xr:uid="{A01DB304-E5E4-43A6-AA1D-FBCFCF2EE948}"/>
    <cellStyle name="Normal 9 2 3 3 4 3" xfId="6126" xr:uid="{00000000-0005-0000-0000-0000411F0000}"/>
    <cellStyle name="Normal 9 2 3 3 4 3 2" xfId="23899" xr:uid="{205647B6-729F-4182-9019-9C4A71CDE506}"/>
    <cellStyle name="Normal 9 2 3 3 4 3 2 2" xfId="40793" xr:uid="{299A986A-FB52-4491-B9C5-8030CA47847E}"/>
    <cellStyle name="Normal 9 2 3 3 4 3 3" xfId="15452" xr:uid="{7CC30959-69E0-4D6F-8BDF-39E10EA332E4}"/>
    <cellStyle name="Normal 9 2 3 3 4 3 4" xfId="32346" xr:uid="{F566D7FF-BC3D-4869-BD93-AEC38BCD3833}"/>
    <cellStyle name="Normal 9 2 3 3 4 4" xfId="19682" xr:uid="{DE1863DF-2465-454E-B516-0DF1A79C7893}"/>
    <cellStyle name="Normal 9 2 3 3 4 4 2" xfId="36576" xr:uid="{6525B872-CC41-4F45-B2FD-E3959EE5BF7D}"/>
    <cellStyle name="Normal 9 2 3 3 4 5" xfId="11235" xr:uid="{1861E955-12CF-468C-80A8-48233CE8AFB5}"/>
    <cellStyle name="Normal 9 2 3 3 4 6" xfId="28129" xr:uid="{1FFDE329-629F-4764-A472-97589F4FA399}"/>
    <cellStyle name="Normal 9 2 3 3 5" xfId="2233" xr:uid="{00000000-0005-0000-0000-0000421F0000}"/>
    <cellStyle name="Normal 9 2 3 3 5 2" xfId="4462" xr:uid="{00000000-0005-0000-0000-0000431F0000}"/>
    <cellStyle name="Normal 9 2 3 3 5 2 2" xfId="8684" xr:uid="{00000000-0005-0000-0000-0000441F0000}"/>
    <cellStyle name="Normal 9 2 3 3 5 2 2 2" xfId="26457" xr:uid="{B0C5953E-115C-43CF-83A9-FD805E380863}"/>
    <cellStyle name="Normal 9 2 3 3 5 2 2 2 2" xfId="43351" xr:uid="{B33DCCBB-67B4-4F24-AC2D-F6A80FE21624}"/>
    <cellStyle name="Normal 9 2 3 3 5 2 2 3" xfId="18010" xr:uid="{84E4ED4B-8293-4E69-AC9D-5897B0A55128}"/>
    <cellStyle name="Normal 9 2 3 3 5 2 2 4" xfId="34904" xr:uid="{247AEE3E-FCF8-402C-8379-1B46DA9A78CF}"/>
    <cellStyle name="Normal 9 2 3 3 5 2 3" xfId="22240" xr:uid="{6C8DD840-2828-40CD-B49C-CE7485A0A3AD}"/>
    <cellStyle name="Normal 9 2 3 3 5 2 3 2" xfId="39134" xr:uid="{E4C39FD2-1CC8-4899-89F1-B81E7B8EC5BC}"/>
    <cellStyle name="Normal 9 2 3 3 5 2 4" xfId="13793" xr:uid="{292DEC8B-0451-4AB9-8897-6E1CC2ED1457}"/>
    <cellStyle name="Normal 9 2 3 3 5 2 5" xfId="30687" xr:uid="{B2C7C35B-2CC3-45FC-82BA-635892A93D9A}"/>
    <cellStyle name="Normal 9 2 3 3 5 3" xfId="6539" xr:uid="{00000000-0005-0000-0000-0000451F0000}"/>
    <cellStyle name="Normal 9 2 3 3 5 3 2" xfId="24312" xr:uid="{0CA58908-027D-4C92-9C24-1CBBB0CE9F4D}"/>
    <cellStyle name="Normal 9 2 3 3 5 3 2 2" xfId="41206" xr:uid="{A0F8B203-FB7B-41A9-81C0-2B510CD3D695}"/>
    <cellStyle name="Normal 9 2 3 3 5 3 3" xfId="15865" xr:uid="{6D15D1CB-92CB-4E2A-A079-F6590A76D18D}"/>
    <cellStyle name="Normal 9 2 3 3 5 3 4" xfId="32759" xr:uid="{B72A7E5E-8152-487F-B3C8-E3646D383F32}"/>
    <cellStyle name="Normal 9 2 3 3 5 4" xfId="20095" xr:uid="{4583630E-49C1-4E1D-B394-021561473FF8}"/>
    <cellStyle name="Normal 9 2 3 3 5 4 2" xfId="36989" xr:uid="{3C31E7E5-35C9-4D5E-9EF1-D5D6FCC4F436}"/>
    <cellStyle name="Normal 9 2 3 3 5 5" xfId="11648" xr:uid="{22666075-F98A-4131-AAB5-06F68D05CA30}"/>
    <cellStyle name="Normal 9 2 3 3 5 6" xfId="28542" xr:uid="{B9103604-7927-40FF-84AB-D1F2576FC7DA}"/>
    <cellStyle name="Normal 9 2 3 3 6" xfId="2669" xr:uid="{00000000-0005-0000-0000-0000461F0000}"/>
    <cellStyle name="Normal 9 2 3 3 6 2" xfId="6952" xr:uid="{00000000-0005-0000-0000-0000471F0000}"/>
    <cellStyle name="Normal 9 2 3 3 6 2 2" xfId="24725" xr:uid="{37E33549-2EE3-43DF-BF84-323F51CDF218}"/>
    <cellStyle name="Normal 9 2 3 3 6 2 2 2" xfId="41619" xr:uid="{233B7B4F-A415-48D9-AD74-4923B7EA4871}"/>
    <cellStyle name="Normal 9 2 3 3 6 2 3" xfId="16278" xr:uid="{D96292F0-08CF-4831-AFAB-8BDED43F9441}"/>
    <cellStyle name="Normal 9 2 3 3 6 2 4" xfId="33172" xr:uid="{7C9BD143-A3C6-4C54-BEEC-BCC225744D15}"/>
    <cellStyle name="Normal 9 2 3 3 6 3" xfId="20508" xr:uid="{7EBCE8CA-56EC-47EF-B05E-433E7BFCB9F9}"/>
    <cellStyle name="Normal 9 2 3 3 6 3 2" xfId="37402" xr:uid="{F4F939B5-EA3D-4B75-9AD3-55C94DCD2A19}"/>
    <cellStyle name="Normal 9 2 3 3 6 4" xfId="12061" xr:uid="{406C55B3-B600-47B6-9F29-3DF7D5396221}"/>
    <cellStyle name="Normal 9 2 3 3 6 5" xfId="28955" xr:uid="{4CD977C2-7498-4A22-A97C-6E4CCADB9BAC}"/>
    <cellStyle name="Normal 9 2 3 3 7" xfId="4887" xr:uid="{00000000-0005-0000-0000-0000481F0000}"/>
    <cellStyle name="Normal 9 2 3 3 7 2" xfId="22660" xr:uid="{BEB4B2EC-52C1-4C03-8E12-0A426DCBA46E}"/>
    <cellStyle name="Normal 9 2 3 3 7 2 2" xfId="39554" xr:uid="{76DF72CC-30DB-4963-B07A-2FC063EA8D86}"/>
    <cellStyle name="Normal 9 2 3 3 7 3" xfId="14213" xr:uid="{6C1F5564-E5DA-4638-A0D3-CAE498A3824B}"/>
    <cellStyle name="Normal 9 2 3 3 7 4" xfId="31107" xr:uid="{ED76DBFC-8029-4C31-ADA9-9823C200648D}"/>
    <cellStyle name="Normal 9 2 3 3 8" xfId="9045" xr:uid="{CD23D75F-FCE1-471A-A55A-DAC6FB15D069}"/>
    <cellStyle name="Normal 9 2 3 3 8 2" xfId="18443" xr:uid="{8F780A8A-1319-4C58-BE10-F57BF75BB0D6}"/>
    <cellStyle name="Normal 9 2 3 3 8 3" xfId="35337" xr:uid="{EFF63111-340F-4277-8B65-C57DC973A504}"/>
    <cellStyle name="Normal 9 2 3 3 9" xfId="9996" xr:uid="{FFBBA999-FF5C-483B-9981-C8FA19382522}"/>
    <cellStyle name="Normal 9 2 3 4" xfId="987" xr:uid="{00000000-0005-0000-0000-0000491F0000}"/>
    <cellStyle name="Normal 9 2 3 4 2" xfId="3220" xr:uid="{00000000-0005-0000-0000-00004A1F0000}"/>
    <cellStyle name="Normal 9 2 3 4 2 2" xfId="7442" xr:uid="{00000000-0005-0000-0000-00004B1F0000}"/>
    <cellStyle name="Normal 9 2 3 4 2 2 2" xfId="25215" xr:uid="{14ABEA61-0177-4EE2-9098-D898EF3E14B1}"/>
    <cellStyle name="Normal 9 2 3 4 2 2 2 2" xfId="42109" xr:uid="{F4BF8722-0EDE-49B4-9D79-CD6DBF8BCF00}"/>
    <cellStyle name="Normal 9 2 3 4 2 2 3" xfId="16768" xr:uid="{93FC2AD3-ACD2-4498-9F76-0B559043E594}"/>
    <cellStyle name="Normal 9 2 3 4 2 2 4" xfId="33662" xr:uid="{6B65002C-479D-4C01-A99E-F24ACF3327E8}"/>
    <cellStyle name="Normal 9 2 3 4 2 3" xfId="20998" xr:uid="{3D2B4794-B3F3-4A22-8C8C-3D4C9C390681}"/>
    <cellStyle name="Normal 9 2 3 4 2 3 2" xfId="37892" xr:uid="{3F2C2592-9420-43F1-A0C5-FC2AD3E58FE6}"/>
    <cellStyle name="Normal 9 2 3 4 2 4" xfId="12551" xr:uid="{4BCC14E8-5071-440C-B1A7-740B167AAB41}"/>
    <cellStyle name="Normal 9 2 3 4 2 5" xfId="29445" xr:uid="{BF0E5A3A-0BFD-4CD2-8B2F-0DD1248AB65A}"/>
    <cellStyle name="Normal 9 2 3 4 3" xfId="5297" xr:uid="{00000000-0005-0000-0000-00004C1F0000}"/>
    <cellStyle name="Normal 9 2 3 4 3 2" xfId="23070" xr:uid="{764002F1-7154-4EDF-8A88-B5A8EC1FF53B}"/>
    <cellStyle name="Normal 9 2 3 4 3 2 2" xfId="39964" xr:uid="{E05198A5-BC8F-4274-AFD1-E2D81182805D}"/>
    <cellStyle name="Normal 9 2 3 4 3 3" xfId="14623" xr:uid="{F567FAE0-2BB5-43F6-849C-3C754AAA2180}"/>
    <cellStyle name="Normal 9 2 3 4 3 4" xfId="31517" xr:uid="{3651819C-3249-4AA9-AD3D-0B86CB047E08}"/>
    <cellStyle name="Normal 9 2 3 4 4" xfId="9263" xr:uid="{8E7B719A-F76B-4A2B-A5A7-1A883FD6976F}"/>
    <cellStyle name="Normal 9 2 3 4 4 2" xfId="18853" xr:uid="{F214ED51-4A7A-48A3-BDCF-2C2A2F7448DB}"/>
    <cellStyle name="Normal 9 2 3 4 4 3" xfId="35747" xr:uid="{D1F4D60F-3D30-460B-BC8F-0E76B15AFD65}"/>
    <cellStyle name="Normal 9 2 3 4 5" xfId="10406" xr:uid="{1B40D158-15D9-4C9D-95F8-B41CCC15030A}"/>
    <cellStyle name="Normal 9 2 3 4 6" xfId="27300" xr:uid="{6A9F5E4F-4F8E-4C47-9AE2-EFDBA4579285}"/>
    <cellStyle name="Normal 9 2 3 5" xfId="1403" xr:uid="{00000000-0005-0000-0000-00004D1F0000}"/>
    <cellStyle name="Normal 9 2 3 5 2" xfId="3633" xr:uid="{00000000-0005-0000-0000-00004E1F0000}"/>
    <cellStyle name="Normal 9 2 3 5 2 2" xfId="7855" xr:uid="{00000000-0005-0000-0000-00004F1F0000}"/>
    <cellStyle name="Normal 9 2 3 5 2 2 2" xfId="25628" xr:uid="{8C91864C-683E-4C6B-AE8C-55ECC163B4B9}"/>
    <cellStyle name="Normal 9 2 3 5 2 2 2 2" xfId="42522" xr:uid="{BA717D5B-1E63-4831-A6F4-2E31B2395294}"/>
    <cellStyle name="Normal 9 2 3 5 2 2 3" xfId="17181" xr:uid="{90F20B0F-EFB7-49DC-99D0-0956932A5443}"/>
    <cellStyle name="Normal 9 2 3 5 2 2 4" xfId="34075" xr:uid="{B4E16CB3-5957-482B-AA76-22DF2145163C}"/>
    <cellStyle name="Normal 9 2 3 5 2 3" xfId="21411" xr:uid="{EFA9F393-5EE9-40E9-8390-9B5391F1094B}"/>
    <cellStyle name="Normal 9 2 3 5 2 3 2" xfId="38305" xr:uid="{F87FD835-2A9D-4CE3-8217-3D14700F33EE}"/>
    <cellStyle name="Normal 9 2 3 5 2 4" xfId="12964" xr:uid="{A609279A-6D7C-4F04-82B6-B52B9E014F97}"/>
    <cellStyle name="Normal 9 2 3 5 2 5" xfId="29858" xr:uid="{0C980FA9-6D82-4FD7-A401-4BDEB3B83D07}"/>
    <cellStyle name="Normal 9 2 3 5 3" xfId="5710" xr:uid="{00000000-0005-0000-0000-0000501F0000}"/>
    <cellStyle name="Normal 9 2 3 5 3 2" xfId="23483" xr:uid="{D38E35FF-21AB-46AF-8E1A-11B827A3BACE}"/>
    <cellStyle name="Normal 9 2 3 5 3 2 2" xfId="40377" xr:uid="{3DB22BD1-A863-419A-97CF-78104CA2B049}"/>
    <cellStyle name="Normal 9 2 3 5 3 3" xfId="15036" xr:uid="{545B21B2-83C6-4C8F-9D6A-F4512872CBFF}"/>
    <cellStyle name="Normal 9 2 3 5 3 4" xfId="31930" xr:uid="{D0EF7144-37B2-42F7-8597-854955C17145}"/>
    <cellStyle name="Normal 9 2 3 5 4" xfId="19266" xr:uid="{3E2A85DD-CFA5-4263-9B6C-1804F8A1DBBC}"/>
    <cellStyle name="Normal 9 2 3 5 4 2" xfId="36160" xr:uid="{7D987BD0-93BA-45CE-A60C-DE618A277B24}"/>
    <cellStyle name="Normal 9 2 3 5 5" xfId="10819" xr:uid="{F6575C98-6C5B-4A6B-8A17-704CFAED9019}"/>
    <cellStyle name="Normal 9 2 3 5 6" xfId="27713" xr:uid="{591F22FC-4E3B-402E-A821-E71F517DEB97}"/>
    <cellStyle name="Normal 9 2 3 6" xfId="1816" xr:uid="{00000000-0005-0000-0000-0000511F0000}"/>
    <cellStyle name="Normal 9 2 3 6 2" xfId="4046" xr:uid="{00000000-0005-0000-0000-0000521F0000}"/>
    <cellStyle name="Normal 9 2 3 6 2 2" xfId="8268" xr:uid="{00000000-0005-0000-0000-0000531F0000}"/>
    <cellStyle name="Normal 9 2 3 6 2 2 2" xfId="26041" xr:uid="{151C4895-A3C3-4ECA-B35C-CAC379B1AFCD}"/>
    <cellStyle name="Normal 9 2 3 6 2 2 2 2" xfId="42935" xr:uid="{814069D7-B159-4C58-A94D-BCC5368FFF93}"/>
    <cellStyle name="Normal 9 2 3 6 2 2 3" xfId="17594" xr:uid="{CAAE917E-B108-4AC5-9632-4BD98D6BA28B}"/>
    <cellStyle name="Normal 9 2 3 6 2 2 4" xfId="34488" xr:uid="{001FA521-E735-4D1A-B35C-07EC09B25AE7}"/>
    <cellStyle name="Normal 9 2 3 6 2 3" xfId="21824" xr:uid="{611DB893-145F-499E-AE59-D629D5EBFEDE}"/>
    <cellStyle name="Normal 9 2 3 6 2 3 2" xfId="38718" xr:uid="{DAD1F2DA-4057-4E70-B2D3-196840BDD7DD}"/>
    <cellStyle name="Normal 9 2 3 6 2 4" xfId="13377" xr:uid="{FC148697-57BF-4BBA-B44A-A3981C66A3BA}"/>
    <cellStyle name="Normal 9 2 3 6 2 5" xfId="30271" xr:uid="{8C2AE919-9263-4A28-8F67-B2991764BB58}"/>
    <cellStyle name="Normal 9 2 3 6 3" xfId="6123" xr:uid="{00000000-0005-0000-0000-0000541F0000}"/>
    <cellStyle name="Normal 9 2 3 6 3 2" xfId="23896" xr:uid="{EED398A0-2949-4E12-B3E3-1BCC748E3498}"/>
    <cellStyle name="Normal 9 2 3 6 3 2 2" xfId="40790" xr:uid="{1730E02C-6180-49CC-A921-B1C25394FE02}"/>
    <cellStyle name="Normal 9 2 3 6 3 3" xfId="15449" xr:uid="{7D7AEC6E-666C-4097-B475-356C3B8F1FD4}"/>
    <cellStyle name="Normal 9 2 3 6 3 4" xfId="32343" xr:uid="{81968B8B-EFD4-43C1-8BDA-DF867622932F}"/>
    <cellStyle name="Normal 9 2 3 6 4" xfId="19679" xr:uid="{0C2A796B-AAFA-4A58-99DA-4AEE29ECFC2B}"/>
    <cellStyle name="Normal 9 2 3 6 4 2" xfId="36573" xr:uid="{5A8C2ACD-3E6B-4A69-B003-3219082712DF}"/>
    <cellStyle name="Normal 9 2 3 6 5" xfId="11232" xr:uid="{598934E7-20B4-436F-A6AF-9E5EFED8D7DC}"/>
    <cellStyle name="Normal 9 2 3 6 6" xfId="28126" xr:uid="{7A463149-0852-4608-A648-C29C94A6E421}"/>
    <cellStyle name="Normal 9 2 3 7" xfId="2230" xr:uid="{00000000-0005-0000-0000-0000551F0000}"/>
    <cellStyle name="Normal 9 2 3 7 2" xfId="4459" xr:uid="{00000000-0005-0000-0000-0000561F0000}"/>
    <cellStyle name="Normal 9 2 3 7 2 2" xfId="8681" xr:uid="{00000000-0005-0000-0000-0000571F0000}"/>
    <cellStyle name="Normal 9 2 3 7 2 2 2" xfId="26454" xr:uid="{D9C523A6-13AD-43E2-9314-5538912BDD78}"/>
    <cellStyle name="Normal 9 2 3 7 2 2 2 2" xfId="43348" xr:uid="{039F3E5E-B20F-41B0-9A04-7EE0E508CC94}"/>
    <cellStyle name="Normal 9 2 3 7 2 2 3" xfId="18007" xr:uid="{187626EF-23EE-4E50-B51C-ABB6F53F1EF7}"/>
    <cellStyle name="Normal 9 2 3 7 2 2 4" xfId="34901" xr:uid="{944DE37B-0629-4234-8CF3-9A879A67DE4E}"/>
    <cellStyle name="Normal 9 2 3 7 2 3" xfId="22237" xr:uid="{D58F5E1B-2115-4D71-BEB2-129D441D98EF}"/>
    <cellStyle name="Normal 9 2 3 7 2 3 2" xfId="39131" xr:uid="{6FF44AFD-FE76-4CA6-899C-B6883323D183}"/>
    <cellStyle name="Normal 9 2 3 7 2 4" xfId="13790" xr:uid="{D3C2E46E-3605-491A-BF75-8B863DE7528E}"/>
    <cellStyle name="Normal 9 2 3 7 2 5" xfId="30684" xr:uid="{F1764226-2377-40EB-BEBB-13D109FF7E28}"/>
    <cellStyle name="Normal 9 2 3 7 3" xfId="6536" xr:uid="{00000000-0005-0000-0000-0000581F0000}"/>
    <cellStyle name="Normal 9 2 3 7 3 2" xfId="24309" xr:uid="{5544AA04-7876-42B2-AEAA-51DA6707AAF6}"/>
    <cellStyle name="Normal 9 2 3 7 3 2 2" xfId="41203" xr:uid="{5B4F5E1E-7D2A-41A1-906B-4AC76BA3EC39}"/>
    <cellStyle name="Normal 9 2 3 7 3 3" xfId="15862" xr:uid="{C61DB87C-FDA5-4D9A-81A5-AB8F03C1AAD7}"/>
    <cellStyle name="Normal 9 2 3 7 3 4" xfId="32756" xr:uid="{91C3108D-4E43-4450-B86A-38F97AE70217}"/>
    <cellStyle name="Normal 9 2 3 7 4" xfId="20092" xr:uid="{66ED1963-52D0-4FA7-911C-8398D90636CC}"/>
    <cellStyle name="Normal 9 2 3 7 4 2" xfId="36986" xr:uid="{E19E4C2C-CF1F-4453-9085-5CFB0CDB4A1A}"/>
    <cellStyle name="Normal 9 2 3 7 5" xfId="11645" xr:uid="{2C4D8EA8-56DD-4710-98E0-D5E3F2442727}"/>
    <cellStyle name="Normal 9 2 3 7 6" xfId="28539" xr:uid="{29231F13-0BAC-4882-9CD5-54600DB4E5DA}"/>
    <cellStyle name="Normal 9 2 3 8" xfId="2666" xr:uid="{00000000-0005-0000-0000-0000591F0000}"/>
    <cellStyle name="Normal 9 2 3 8 2" xfId="6949" xr:uid="{00000000-0005-0000-0000-00005A1F0000}"/>
    <cellStyle name="Normal 9 2 3 8 2 2" xfId="24722" xr:uid="{D51CA9EC-5A7F-4C9F-92B5-BD72892ED6A2}"/>
    <cellStyle name="Normal 9 2 3 8 2 2 2" xfId="41616" xr:uid="{DB928EAF-1872-4182-BD7B-BE9EC7EA1FAC}"/>
    <cellStyle name="Normal 9 2 3 8 2 3" xfId="16275" xr:uid="{09E35218-A020-4972-B46E-3A8DBE5B27BF}"/>
    <cellStyle name="Normal 9 2 3 8 2 4" xfId="33169" xr:uid="{D25CB929-1D98-46FA-90D3-D6901C862820}"/>
    <cellStyle name="Normal 9 2 3 8 3" xfId="20505" xr:uid="{9578E915-CCE2-4976-9B06-F340C0939AEB}"/>
    <cellStyle name="Normal 9 2 3 8 3 2" xfId="37399" xr:uid="{F3735281-6E75-4DC3-B75A-88816C102028}"/>
    <cellStyle name="Normal 9 2 3 8 4" xfId="12058" xr:uid="{CFDE5482-7868-403F-8DE7-534DB58F46EF}"/>
    <cellStyle name="Normal 9 2 3 8 5" xfId="28952" xr:uid="{CD0969ED-19B9-4FC0-8BD8-9805DDFB5CF5}"/>
    <cellStyle name="Normal 9 2 3 9" xfId="4884" xr:uid="{00000000-0005-0000-0000-00005B1F0000}"/>
    <cellStyle name="Normal 9 2 3 9 2" xfId="22657" xr:uid="{8A3EA6D6-0BE4-4EE6-85D3-AE05D7A75F31}"/>
    <cellStyle name="Normal 9 2 3 9 2 2" xfId="39551" xr:uid="{F5517628-85B3-44C8-8C11-742B79694F7C}"/>
    <cellStyle name="Normal 9 2 3 9 3" xfId="14210" xr:uid="{BAB13336-4760-41D6-BE78-CF0835A50E9D}"/>
    <cellStyle name="Normal 9 2 3 9 4" xfId="31104" xr:uid="{6E5DDE50-5DF0-41EB-89B8-15CF4E774227}"/>
    <cellStyle name="Normal 9 2 4" xfId="524" xr:uid="{00000000-0005-0000-0000-00005C1F0000}"/>
    <cellStyle name="Normal 9 2 4 10" xfId="9997" xr:uid="{6E88A711-410D-4B4E-9ACD-EA9526281F05}"/>
    <cellStyle name="Normal 9 2 4 11" xfId="26891" xr:uid="{C1967002-A2A9-4C2F-914B-7326A4093040}"/>
    <cellStyle name="Normal 9 2 4 2" xfId="525" xr:uid="{00000000-0005-0000-0000-00005D1F0000}"/>
    <cellStyle name="Normal 9 2 4 2 10" xfId="26892" xr:uid="{CC9C3A76-1D7B-41F6-87D6-7680B030C20C}"/>
    <cellStyle name="Normal 9 2 4 2 2" xfId="992" xr:uid="{00000000-0005-0000-0000-00005E1F0000}"/>
    <cellStyle name="Normal 9 2 4 2 2 2" xfId="3225" xr:uid="{00000000-0005-0000-0000-00005F1F0000}"/>
    <cellStyle name="Normal 9 2 4 2 2 2 2" xfId="7447" xr:uid="{00000000-0005-0000-0000-0000601F0000}"/>
    <cellStyle name="Normal 9 2 4 2 2 2 2 2" xfId="25220" xr:uid="{73E47699-3FC2-4F5B-BB40-7FA1A0E09782}"/>
    <cellStyle name="Normal 9 2 4 2 2 2 2 2 2" xfId="42114" xr:uid="{3CE7A83B-DEC9-46A4-9F24-DC8FA4C378FE}"/>
    <cellStyle name="Normal 9 2 4 2 2 2 2 3" xfId="16773" xr:uid="{D5D282B3-2737-4426-86FE-588AF26A9598}"/>
    <cellStyle name="Normal 9 2 4 2 2 2 2 4" xfId="33667" xr:uid="{527D4433-25CE-4D7D-9466-D17A1AFFF169}"/>
    <cellStyle name="Normal 9 2 4 2 2 2 3" xfId="21003" xr:uid="{55FA1F1E-26D2-439D-8C75-2262412E84C5}"/>
    <cellStyle name="Normal 9 2 4 2 2 2 3 2" xfId="37897" xr:uid="{5F507522-19D9-45B4-B179-F5BD073302EC}"/>
    <cellStyle name="Normal 9 2 4 2 2 2 4" xfId="12556" xr:uid="{76CABCDF-E4C9-47F5-9A14-E8C0597569CE}"/>
    <cellStyle name="Normal 9 2 4 2 2 2 5" xfId="29450" xr:uid="{BBB27789-574B-4CA0-B84A-12E0D0282F8B}"/>
    <cellStyle name="Normal 9 2 4 2 2 3" xfId="5302" xr:uid="{00000000-0005-0000-0000-0000611F0000}"/>
    <cellStyle name="Normal 9 2 4 2 2 3 2" xfId="23075" xr:uid="{B4F48892-154D-4AF1-B501-044D4A2E6202}"/>
    <cellStyle name="Normal 9 2 4 2 2 3 2 2" xfId="39969" xr:uid="{693F8060-5B33-4D3E-BCB3-FE1E79FF47B9}"/>
    <cellStyle name="Normal 9 2 4 2 2 3 3" xfId="14628" xr:uid="{687EC4AD-45F3-4F9E-97ED-6C6AEB2ED835}"/>
    <cellStyle name="Normal 9 2 4 2 2 3 4" xfId="31522" xr:uid="{3D5FC3AE-B34B-4E2F-BEF2-A30C45FF81B3}"/>
    <cellStyle name="Normal 9 2 4 2 2 4" xfId="9489" xr:uid="{4BA9DC16-58A7-4D6B-90A6-6BB0C51A0279}"/>
    <cellStyle name="Normal 9 2 4 2 2 4 2" xfId="18858" xr:uid="{823D2E1A-EB8D-4417-B1A4-2EE0960D1C75}"/>
    <cellStyle name="Normal 9 2 4 2 2 4 3" xfId="35752" xr:uid="{A9AE59B7-06A9-4874-B395-D3B2651382E5}"/>
    <cellStyle name="Normal 9 2 4 2 2 5" xfId="10411" xr:uid="{F7B6EC6E-E4C5-4899-A9CF-5F91AA64EBEF}"/>
    <cellStyle name="Normal 9 2 4 2 2 6" xfId="27305" xr:uid="{E680A33F-B3F0-48DC-95E0-3E1B3BDCB5F0}"/>
    <cellStyle name="Normal 9 2 4 2 3" xfId="1408" xr:uid="{00000000-0005-0000-0000-0000621F0000}"/>
    <cellStyle name="Normal 9 2 4 2 3 2" xfId="3638" xr:uid="{00000000-0005-0000-0000-0000631F0000}"/>
    <cellStyle name="Normal 9 2 4 2 3 2 2" xfId="7860" xr:uid="{00000000-0005-0000-0000-0000641F0000}"/>
    <cellStyle name="Normal 9 2 4 2 3 2 2 2" xfId="25633" xr:uid="{95371992-A326-4002-8856-A020B696AB6F}"/>
    <cellStyle name="Normal 9 2 4 2 3 2 2 2 2" xfId="42527" xr:uid="{0A746C29-9F16-4A7D-AF5E-C84ABE61B330}"/>
    <cellStyle name="Normal 9 2 4 2 3 2 2 3" xfId="17186" xr:uid="{DFDECDDC-0E68-45F2-9E43-B586CF19E82C}"/>
    <cellStyle name="Normal 9 2 4 2 3 2 2 4" xfId="34080" xr:uid="{15A198B2-112C-4D39-80DF-925C3A36B7BF}"/>
    <cellStyle name="Normal 9 2 4 2 3 2 3" xfId="21416" xr:uid="{8998AD8A-FF23-4C78-A134-82C6E91E327C}"/>
    <cellStyle name="Normal 9 2 4 2 3 2 3 2" xfId="38310" xr:uid="{88E41337-1509-480E-977F-64411EDDD027}"/>
    <cellStyle name="Normal 9 2 4 2 3 2 4" xfId="12969" xr:uid="{6E1D52EE-CFE2-451B-920C-A4A9046A2D69}"/>
    <cellStyle name="Normal 9 2 4 2 3 2 5" xfId="29863" xr:uid="{16D8F626-1190-4F2F-BFBC-BD0A2EF3AEA3}"/>
    <cellStyle name="Normal 9 2 4 2 3 3" xfId="5715" xr:uid="{00000000-0005-0000-0000-0000651F0000}"/>
    <cellStyle name="Normal 9 2 4 2 3 3 2" xfId="23488" xr:uid="{1F773C8A-BAB0-45B6-8BBD-84A0B1D812B5}"/>
    <cellStyle name="Normal 9 2 4 2 3 3 2 2" xfId="40382" xr:uid="{576D569A-9576-4776-A1F7-274847A50080}"/>
    <cellStyle name="Normal 9 2 4 2 3 3 3" xfId="15041" xr:uid="{3FDDF2AE-8768-4BB3-9DF7-9990CC478AF2}"/>
    <cellStyle name="Normal 9 2 4 2 3 3 4" xfId="31935" xr:uid="{0E272EF5-37F4-4416-B0FC-18B0D40FD525}"/>
    <cellStyle name="Normal 9 2 4 2 3 4" xfId="19271" xr:uid="{30EE5D53-9C1D-449B-A4AD-66BACFB9C348}"/>
    <cellStyle name="Normal 9 2 4 2 3 4 2" xfId="36165" xr:uid="{4B284744-F0FE-4249-946E-C1877478A930}"/>
    <cellStyle name="Normal 9 2 4 2 3 5" xfId="10824" xr:uid="{D259C4AE-9F86-45E5-B555-9840324D7D04}"/>
    <cellStyle name="Normal 9 2 4 2 3 6" xfId="27718" xr:uid="{8DAA2E1D-066E-4FF8-83B7-AF09916B4B3D}"/>
    <cellStyle name="Normal 9 2 4 2 4" xfId="1821" xr:uid="{00000000-0005-0000-0000-0000661F0000}"/>
    <cellStyle name="Normal 9 2 4 2 4 2" xfId="4051" xr:uid="{00000000-0005-0000-0000-0000671F0000}"/>
    <cellStyle name="Normal 9 2 4 2 4 2 2" xfId="8273" xr:uid="{00000000-0005-0000-0000-0000681F0000}"/>
    <cellStyle name="Normal 9 2 4 2 4 2 2 2" xfId="26046" xr:uid="{454AA849-8CA6-468B-B6AE-EB712D875F18}"/>
    <cellStyle name="Normal 9 2 4 2 4 2 2 2 2" xfId="42940" xr:uid="{5345546E-6544-4B31-96D7-9B58841399AF}"/>
    <cellStyle name="Normal 9 2 4 2 4 2 2 3" xfId="17599" xr:uid="{39835207-19F2-46EA-973A-EC66EBE3C2A4}"/>
    <cellStyle name="Normal 9 2 4 2 4 2 2 4" xfId="34493" xr:uid="{E2592AB8-A41B-412F-A259-8B1317C30170}"/>
    <cellStyle name="Normal 9 2 4 2 4 2 3" xfId="21829" xr:uid="{4678FE92-4FD2-4317-9073-0273ED198598}"/>
    <cellStyle name="Normal 9 2 4 2 4 2 3 2" xfId="38723" xr:uid="{C6318F22-DEB9-4E6E-BCAE-BEA06326A2BA}"/>
    <cellStyle name="Normal 9 2 4 2 4 2 4" xfId="13382" xr:uid="{4E7C8DE7-EAFE-481C-8018-0151FDE85F69}"/>
    <cellStyle name="Normal 9 2 4 2 4 2 5" xfId="30276" xr:uid="{85E97CA0-6B28-4B1E-988D-EF89EE3D8A7D}"/>
    <cellStyle name="Normal 9 2 4 2 4 3" xfId="6128" xr:uid="{00000000-0005-0000-0000-0000691F0000}"/>
    <cellStyle name="Normal 9 2 4 2 4 3 2" xfId="23901" xr:uid="{6892CDF6-A5AC-4204-B318-4BF6D7D70C14}"/>
    <cellStyle name="Normal 9 2 4 2 4 3 2 2" xfId="40795" xr:uid="{9CC63174-96BD-4107-96A6-7A108D03DB47}"/>
    <cellStyle name="Normal 9 2 4 2 4 3 3" xfId="15454" xr:uid="{6099CCFD-9DFF-415E-991C-E3418180332E}"/>
    <cellStyle name="Normal 9 2 4 2 4 3 4" xfId="32348" xr:uid="{7CBE288A-6E55-4CA9-ACFD-3D230E0A4190}"/>
    <cellStyle name="Normal 9 2 4 2 4 4" xfId="19684" xr:uid="{ACE51AC0-0A9C-4A69-B38B-451CAB46D60B}"/>
    <cellStyle name="Normal 9 2 4 2 4 4 2" xfId="36578" xr:uid="{31E974C4-B350-4BBA-8B53-00EE9E5CCA5C}"/>
    <cellStyle name="Normal 9 2 4 2 4 5" xfId="11237" xr:uid="{D5419352-B684-4EF4-B78D-78EA3643EA77}"/>
    <cellStyle name="Normal 9 2 4 2 4 6" xfId="28131" xr:uid="{18BCFDF7-9C90-49CC-B51F-2B5EE2AEEEC4}"/>
    <cellStyle name="Normal 9 2 4 2 5" xfId="2235" xr:uid="{00000000-0005-0000-0000-00006A1F0000}"/>
    <cellStyle name="Normal 9 2 4 2 5 2" xfId="4464" xr:uid="{00000000-0005-0000-0000-00006B1F0000}"/>
    <cellStyle name="Normal 9 2 4 2 5 2 2" xfId="8686" xr:uid="{00000000-0005-0000-0000-00006C1F0000}"/>
    <cellStyle name="Normal 9 2 4 2 5 2 2 2" xfId="26459" xr:uid="{61E32831-F95E-4BB8-B33A-ED164031502E}"/>
    <cellStyle name="Normal 9 2 4 2 5 2 2 2 2" xfId="43353" xr:uid="{C671E4A2-0A2E-4CCE-B927-B0799CFE1241}"/>
    <cellStyle name="Normal 9 2 4 2 5 2 2 3" xfId="18012" xr:uid="{278BB433-56F0-4F5F-8EF8-C0C9A98B170D}"/>
    <cellStyle name="Normal 9 2 4 2 5 2 2 4" xfId="34906" xr:uid="{3A692644-C5A3-4FD8-8CB5-C60ABBB125A6}"/>
    <cellStyle name="Normal 9 2 4 2 5 2 3" xfId="22242" xr:uid="{52A9D851-7F3B-4E72-9E00-32292ED4633F}"/>
    <cellStyle name="Normal 9 2 4 2 5 2 3 2" xfId="39136" xr:uid="{FC4C9DD8-E76D-48A5-A88D-BF5A2A292873}"/>
    <cellStyle name="Normal 9 2 4 2 5 2 4" xfId="13795" xr:uid="{BA68438A-640C-43FA-AD27-6C95262D10CF}"/>
    <cellStyle name="Normal 9 2 4 2 5 2 5" xfId="30689" xr:uid="{048CBB11-7936-4D1B-9ECE-4BE2C7736001}"/>
    <cellStyle name="Normal 9 2 4 2 5 3" xfId="6541" xr:uid="{00000000-0005-0000-0000-00006D1F0000}"/>
    <cellStyle name="Normal 9 2 4 2 5 3 2" xfId="24314" xr:uid="{4A528278-1AE0-4678-92C2-1586F9E1F757}"/>
    <cellStyle name="Normal 9 2 4 2 5 3 2 2" xfId="41208" xr:uid="{C41249EF-E68A-44FF-9DCC-E9753FAB08F4}"/>
    <cellStyle name="Normal 9 2 4 2 5 3 3" xfId="15867" xr:uid="{6E2C9511-977C-4A5A-A110-5C2BA0720DC6}"/>
    <cellStyle name="Normal 9 2 4 2 5 3 4" xfId="32761" xr:uid="{D85779E7-F4FF-4C29-A257-B502388EE853}"/>
    <cellStyle name="Normal 9 2 4 2 5 4" xfId="20097" xr:uid="{201CC3EE-39D7-45C5-B0FD-8F72639B5BDF}"/>
    <cellStyle name="Normal 9 2 4 2 5 4 2" xfId="36991" xr:uid="{CE41B278-2FBF-4F92-95AD-961903340A75}"/>
    <cellStyle name="Normal 9 2 4 2 5 5" xfId="11650" xr:uid="{C9877F5F-A228-4BA4-986B-7D939805D2F9}"/>
    <cellStyle name="Normal 9 2 4 2 5 6" xfId="28544" xr:uid="{A796E00F-2EEB-4056-87CD-EFBC100BBC40}"/>
    <cellStyle name="Normal 9 2 4 2 6" xfId="2671" xr:uid="{00000000-0005-0000-0000-00006E1F0000}"/>
    <cellStyle name="Normal 9 2 4 2 6 2" xfId="6954" xr:uid="{00000000-0005-0000-0000-00006F1F0000}"/>
    <cellStyle name="Normal 9 2 4 2 6 2 2" xfId="24727" xr:uid="{AA909738-14A3-4879-A40D-C0F75F5BE8A6}"/>
    <cellStyle name="Normal 9 2 4 2 6 2 2 2" xfId="41621" xr:uid="{92E25028-7847-4A19-B81F-E6380EDBE136}"/>
    <cellStyle name="Normal 9 2 4 2 6 2 3" xfId="16280" xr:uid="{1E8721A7-FEDA-4E86-8789-2C9168C2A9DD}"/>
    <cellStyle name="Normal 9 2 4 2 6 2 4" xfId="33174" xr:uid="{7848FCDA-074F-436B-9ED9-EE85E6B30974}"/>
    <cellStyle name="Normal 9 2 4 2 6 3" xfId="20510" xr:uid="{6DA3A04B-950C-4ADD-9656-2B6CDCC0A49F}"/>
    <cellStyle name="Normal 9 2 4 2 6 3 2" xfId="37404" xr:uid="{0F327326-E5A2-432D-AF1D-DDD16FD56725}"/>
    <cellStyle name="Normal 9 2 4 2 6 4" xfId="12063" xr:uid="{55B6FD6E-5BAF-4087-A250-F4DE2F1FF065}"/>
    <cellStyle name="Normal 9 2 4 2 6 5" xfId="28957" xr:uid="{D14DB111-565A-411E-B7F8-7DDAEBD1BAA7}"/>
    <cellStyle name="Normal 9 2 4 2 7" xfId="4889" xr:uid="{00000000-0005-0000-0000-0000701F0000}"/>
    <cellStyle name="Normal 9 2 4 2 7 2" xfId="22662" xr:uid="{E643B037-0E85-40E0-B1D8-0E3FFD6C8900}"/>
    <cellStyle name="Normal 9 2 4 2 7 2 2" xfId="39556" xr:uid="{838CB330-D247-474E-B125-F1E3239AF919}"/>
    <cellStyle name="Normal 9 2 4 2 7 3" xfId="14215" xr:uid="{35CCA028-19CB-4F10-8154-5AD2696E7AD2}"/>
    <cellStyle name="Normal 9 2 4 2 7 4" xfId="31109" xr:uid="{61D8BA2A-407C-40BA-96DD-AC3A7DE8A4E2}"/>
    <cellStyle name="Normal 9 2 4 2 8" xfId="9064" xr:uid="{7D4090C3-C767-4FFF-8A1F-282B2C8BAE68}"/>
    <cellStyle name="Normal 9 2 4 2 8 2" xfId="18445" xr:uid="{32CCC42D-00A9-4D61-9669-7B1EB3ACA64E}"/>
    <cellStyle name="Normal 9 2 4 2 8 3" xfId="35339" xr:uid="{CF06F8E6-2DE0-4528-8729-3C98F4850049}"/>
    <cellStyle name="Normal 9 2 4 2 9" xfId="9998" xr:uid="{9F6AD6D7-4773-4239-9D96-6D47795DEDF0}"/>
    <cellStyle name="Normal 9 2 4 3" xfId="991" xr:uid="{00000000-0005-0000-0000-0000711F0000}"/>
    <cellStyle name="Normal 9 2 4 3 2" xfId="3224" xr:uid="{00000000-0005-0000-0000-0000721F0000}"/>
    <cellStyle name="Normal 9 2 4 3 2 2" xfId="7446" xr:uid="{00000000-0005-0000-0000-0000731F0000}"/>
    <cellStyle name="Normal 9 2 4 3 2 2 2" xfId="25219" xr:uid="{01EE4840-D47A-4105-AB8F-8316A307738A}"/>
    <cellStyle name="Normal 9 2 4 3 2 2 2 2" xfId="42113" xr:uid="{BAEC940A-0845-434A-8368-48EF27C008E2}"/>
    <cellStyle name="Normal 9 2 4 3 2 2 3" xfId="16772" xr:uid="{CD6495F8-DCDB-4F96-A9D3-D693BBB0C92F}"/>
    <cellStyle name="Normal 9 2 4 3 2 2 4" xfId="33666" xr:uid="{0CBACA5A-FE8B-415D-8171-DBD5CA08D4DA}"/>
    <cellStyle name="Normal 9 2 4 3 2 3" xfId="21002" xr:uid="{205034A8-E422-447C-B4E6-BEF68CBEC37B}"/>
    <cellStyle name="Normal 9 2 4 3 2 3 2" xfId="37896" xr:uid="{309D6904-8424-4B19-BA1B-1A8E2665BF1F}"/>
    <cellStyle name="Normal 9 2 4 3 2 4" xfId="12555" xr:uid="{E14E7F47-DEE7-47E8-B7BB-31368873963F}"/>
    <cellStyle name="Normal 9 2 4 3 2 5" xfId="29449" xr:uid="{68F1BCAF-27A3-441A-99B7-39D35E592F97}"/>
    <cellStyle name="Normal 9 2 4 3 3" xfId="5301" xr:uid="{00000000-0005-0000-0000-0000741F0000}"/>
    <cellStyle name="Normal 9 2 4 3 3 2" xfId="23074" xr:uid="{B8098171-5526-412A-A0F0-2BE9B128BC7F}"/>
    <cellStyle name="Normal 9 2 4 3 3 2 2" xfId="39968" xr:uid="{13243E2C-E712-4792-AAF3-3E3191BA486B}"/>
    <cellStyle name="Normal 9 2 4 3 3 3" xfId="14627" xr:uid="{475FEBCC-0A5B-47E1-9CAF-A0C9AEF82470}"/>
    <cellStyle name="Normal 9 2 4 3 3 4" xfId="31521" xr:uid="{7DBA28FA-3068-40B3-B46E-9FE5AEF43D70}"/>
    <cellStyle name="Normal 9 2 4 3 4" xfId="9282" xr:uid="{2471E5AC-3D06-4E90-9462-C54FACA9B22B}"/>
    <cellStyle name="Normal 9 2 4 3 4 2" xfId="18857" xr:uid="{03534DCB-6D8A-4B55-801C-EB738BCF6EAF}"/>
    <cellStyle name="Normal 9 2 4 3 4 3" xfId="35751" xr:uid="{A09D5962-393F-4521-9E45-528FC885722E}"/>
    <cellStyle name="Normal 9 2 4 3 5" xfId="10410" xr:uid="{707F879D-C423-41B6-A2BB-BFD0DBA08D71}"/>
    <cellStyle name="Normal 9 2 4 3 6" xfId="27304" xr:uid="{39648FDD-DC8E-4477-B565-8E6A5C9783F2}"/>
    <cellStyle name="Normal 9 2 4 4" xfId="1407" xr:uid="{00000000-0005-0000-0000-0000751F0000}"/>
    <cellStyle name="Normal 9 2 4 4 2" xfId="3637" xr:uid="{00000000-0005-0000-0000-0000761F0000}"/>
    <cellStyle name="Normal 9 2 4 4 2 2" xfId="7859" xr:uid="{00000000-0005-0000-0000-0000771F0000}"/>
    <cellStyle name="Normal 9 2 4 4 2 2 2" xfId="25632" xr:uid="{5EED9705-8A96-4118-95FC-3CA3FFD79B24}"/>
    <cellStyle name="Normal 9 2 4 4 2 2 2 2" xfId="42526" xr:uid="{6AC32986-ED04-493E-BE90-D961A1065EE0}"/>
    <cellStyle name="Normal 9 2 4 4 2 2 3" xfId="17185" xr:uid="{01880554-898F-48A4-A148-6734E7527F07}"/>
    <cellStyle name="Normal 9 2 4 4 2 2 4" xfId="34079" xr:uid="{F21C2849-0B66-45B0-B9FB-4A17CA29A30C}"/>
    <cellStyle name="Normal 9 2 4 4 2 3" xfId="21415" xr:uid="{5CA2C2F7-B1C0-488E-BC6A-88D549601EFE}"/>
    <cellStyle name="Normal 9 2 4 4 2 3 2" xfId="38309" xr:uid="{1CB02CEB-157D-4270-9DF1-B3BE038261AF}"/>
    <cellStyle name="Normal 9 2 4 4 2 4" xfId="12968" xr:uid="{2E86D46B-3830-47EE-90DF-E6CABB140559}"/>
    <cellStyle name="Normal 9 2 4 4 2 5" xfId="29862" xr:uid="{86E8F82D-E5B7-412C-B33A-5A57617D7FBF}"/>
    <cellStyle name="Normal 9 2 4 4 3" xfId="5714" xr:uid="{00000000-0005-0000-0000-0000781F0000}"/>
    <cellStyle name="Normal 9 2 4 4 3 2" xfId="23487" xr:uid="{2F73B2F5-A21D-4126-8624-94A9376598DF}"/>
    <cellStyle name="Normal 9 2 4 4 3 2 2" xfId="40381" xr:uid="{D58E3497-B1C2-4008-A098-16CA6551B8E7}"/>
    <cellStyle name="Normal 9 2 4 4 3 3" xfId="15040" xr:uid="{3B16765E-96C9-4A62-A205-B8D421159EE9}"/>
    <cellStyle name="Normal 9 2 4 4 3 4" xfId="31934" xr:uid="{3F17417C-BB05-44F1-8946-AF7FA881608D}"/>
    <cellStyle name="Normal 9 2 4 4 4" xfId="19270" xr:uid="{02F63657-9D5A-4B96-9B63-3796BBF28630}"/>
    <cellStyle name="Normal 9 2 4 4 4 2" xfId="36164" xr:uid="{60E66931-46F2-4C3A-8FBF-CA9CC75B7613}"/>
    <cellStyle name="Normal 9 2 4 4 5" xfId="10823" xr:uid="{35BC8865-793F-49F1-90B7-DD8B9EBD4DC6}"/>
    <cellStyle name="Normal 9 2 4 4 6" xfId="27717" xr:uid="{2EF20CFA-2716-45A0-92D1-06F398D95638}"/>
    <cellStyle name="Normal 9 2 4 5" xfId="1820" xr:uid="{00000000-0005-0000-0000-0000791F0000}"/>
    <cellStyle name="Normal 9 2 4 5 2" xfId="4050" xr:uid="{00000000-0005-0000-0000-00007A1F0000}"/>
    <cellStyle name="Normal 9 2 4 5 2 2" xfId="8272" xr:uid="{00000000-0005-0000-0000-00007B1F0000}"/>
    <cellStyle name="Normal 9 2 4 5 2 2 2" xfId="26045" xr:uid="{7C503E47-3228-471D-A363-496863DFDB6D}"/>
    <cellStyle name="Normal 9 2 4 5 2 2 2 2" xfId="42939" xr:uid="{1DC0DCAA-44FA-4ACF-85F3-520F64475F37}"/>
    <cellStyle name="Normal 9 2 4 5 2 2 3" xfId="17598" xr:uid="{06E8F49F-C44C-4999-8965-7C086941E13B}"/>
    <cellStyle name="Normal 9 2 4 5 2 2 4" xfId="34492" xr:uid="{CDE98B52-E10F-49F7-AE77-B16C06C3E1D0}"/>
    <cellStyle name="Normal 9 2 4 5 2 3" xfId="21828" xr:uid="{A060DACF-15F7-4CBB-9C03-AC50A98522A7}"/>
    <cellStyle name="Normal 9 2 4 5 2 3 2" xfId="38722" xr:uid="{6B25F101-8C19-4A8C-B55D-A6A9D191FE54}"/>
    <cellStyle name="Normal 9 2 4 5 2 4" xfId="13381" xr:uid="{4F7D4F95-62ED-4B9C-8234-59FD030A1EC6}"/>
    <cellStyle name="Normal 9 2 4 5 2 5" xfId="30275" xr:uid="{980872D0-9A22-4E2B-94B5-CF44D6DCBDCE}"/>
    <cellStyle name="Normal 9 2 4 5 3" xfId="6127" xr:uid="{00000000-0005-0000-0000-00007C1F0000}"/>
    <cellStyle name="Normal 9 2 4 5 3 2" xfId="23900" xr:uid="{572CEF52-2D2E-4059-8F86-E1AD5DD0BB74}"/>
    <cellStyle name="Normal 9 2 4 5 3 2 2" xfId="40794" xr:uid="{62F69875-FB0F-45A9-80BF-BC01C6061714}"/>
    <cellStyle name="Normal 9 2 4 5 3 3" xfId="15453" xr:uid="{D4363752-98CB-47D8-BBAD-2F89EA9D9164}"/>
    <cellStyle name="Normal 9 2 4 5 3 4" xfId="32347" xr:uid="{CE443026-1287-44F3-ADA2-C5C8F47E508B}"/>
    <cellStyle name="Normal 9 2 4 5 4" xfId="19683" xr:uid="{BE8F91C6-0EBA-41DF-A8DB-676D198CCC58}"/>
    <cellStyle name="Normal 9 2 4 5 4 2" xfId="36577" xr:uid="{A9F9CF7E-4281-41B8-9FFA-3817A2422E3C}"/>
    <cellStyle name="Normal 9 2 4 5 5" xfId="11236" xr:uid="{105DB6C7-6F58-4A6B-BE6F-E98D63F20AC0}"/>
    <cellStyle name="Normal 9 2 4 5 6" xfId="28130" xr:uid="{F78BEC73-CCBD-4086-9449-7527A0D5D8FD}"/>
    <cellStyle name="Normal 9 2 4 6" xfId="2234" xr:uid="{00000000-0005-0000-0000-00007D1F0000}"/>
    <cellStyle name="Normal 9 2 4 6 2" xfId="4463" xr:uid="{00000000-0005-0000-0000-00007E1F0000}"/>
    <cellStyle name="Normal 9 2 4 6 2 2" xfId="8685" xr:uid="{00000000-0005-0000-0000-00007F1F0000}"/>
    <cellStyle name="Normal 9 2 4 6 2 2 2" xfId="26458" xr:uid="{FAD24635-8ABC-4970-B543-181842FC2218}"/>
    <cellStyle name="Normal 9 2 4 6 2 2 2 2" xfId="43352" xr:uid="{4846825E-C55D-492B-8614-C21B22B643C5}"/>
    <cellStyle name="Normal 9 2 4 6 2 2 3" xfId="18011" xr:uid="{7A5042B8-A923-42DE-983A-81AD174FDB51}"/>
    <cellStyle name="Normal 9 2 4 6 2 2 4" xfId="34905" xr:uid="{46AE8227-0E5E-4159-A451-4F01B3F5FD36}"/>
    <cellStyle name="Normal 9 2 4 6 2 3" xfId="22241" xr:uid="{E340687C-595B-40F8-932C-A66CE4297721}"/>
    <cellStyle name="Normal 9 2 4 6 2 3 2" xfId="39135" xr:uid="{33A06BE7-9348-418C-86FE-D20A31FC14C2}"/>
    <cellStyle name="Normal 9 2 4 6 2 4" xfId="13794" xr:uid="{2C9652C9-07AA-45B1-B23D-4B2A63006430}"/>
    <cellStyle name="Normal 9 2 4 6 2 5" xfId="30688" xr:uid="{855C4E89-A8A6-4C17-8D08-3D4A972C41D6}"/>
    <cellStyle name="Normal 9 2 4 6 3" xfId="6540" xr:uid="{00000000-0005-0000-0000-0000801F0000}"/>
    <cellStyle name="Normal 9 2 4 6 3 2" xfId="24313" xr:uid="{94C31AE7-8C86-48F8-B317-665632517F96}"/>
    <cellStyle name="Normal 9 2 4 6 3 2 2" xfId="41207" xr:uid="{3D60FF94-7A2E-4ACD-B241-BB4106AD3133}"/>
    <cellStyle name="Normal 9 2 4 6 3 3" xfId="15866" xr:uid="{E9D41CD2-0BF6-4756-AC01-149C09867879}"/>
    <cellStyle name="Normal 9 2 4 6 3 4" xfId="32760" xr:uid="{8C14C937-9FC1-4EF4-AB3F-05523709AE3D}"/>
    <cellStyle name="Normal 9 2 4 6 4" xfId="20096" xr:uid="{53E6876E-62DD-406A-93CE-35D6238062E7}"/>
    <cellStyle name="Normal 9 2 4 6 4 2" xfId="36990" xr:uid="{2E53D743-4933-4FCC-9DC9-ECFEC0F049EA}"/>
    <cellStyle name="Normal 9 2 4 6 5" xfId="11649" xr:uid="{02344CA2-E2D5-41EB-A72A-8FACD163BB47}"/>
    <cellStyle name="Normal 9 2 4 6 6" xfId="28543" xr:uid="{E9AE59A4-1A68-470E-8E74-AFBC733FB490}"/>
    <cellStyle name="Normal 9 2 4 7" xfId="2670" xr:uid="{00000000-0005-0000-0000-0000811F0000}"/>
    <cellStyle name="Normal 9 2 4 7 2" xfId="6953" xr:uid="{00000000-0005-0000-0000-0000821F0000}"/>
    <cellStyle name="Normal 9 2 4 7 2 2" xfId="24726" xr:uid="{5995C2D6-DCA9-4C2F-8D40-B634B794634D}"/>
    <cellStyle name="Normal 9 2 4 7 2 2 2" xfId="41620" xr:uid="{D8BCFA2B-CC37-4B04-987A-A2551788FC5E}"/>
    <cellStyle name="Normal 9 2 4 7 2 3" xfId="16279" xr:uid="{180AC4BC-82F6-4923-9D63-D8FEC24859AC}"/>
    <cellStyle name="Normal 9 2 4 7 2 4" xfId="33173" xr:uid="{769C6822-53A8-427C-AF91-4D35C111189C}"/>
    <cellStyle name="Normal 9 2 4 7 3" xfId="20509" xr:uid="{C65504B3-B441-4E7F-8DE8-0014A0F5AA1F}"/>
    <cellStyle name="Normal 9 2 4 7 3 2" xfId="37403" xr:uid="{EF71A2A7-112F-4ABD-A2E9-7903CACD8562}"/>
    <cellStyle name="Normal 9 2 4 7 4" xfId="12062" xr:uid="{398EB097-9569-4094-A25F-49D0C76373E8}"/>
    <cellStyle name="Normal 9 2 4 7 5" xfId="28956" xr:uid="{0B229160-C392-4F8B-951D-98B19C028519}"/>
    <cellStyle name="Normal 9 2 4 8" xfId="4888" xr:uid="{00000000-0005-0000-0000-0000831F0000}"/>
    <cellStyle name="Normal 9 2 4 8 2" xfId="22661" xr:uid="{A76CC653-4333-4648-9CFF-B189820AE7BD}"/>
    <cellStyle name="Normal 9 2 4 8 2 2" xfId="39555" xr:uid="{0FB6530E-1AAE-4D0D-9A60-7CC54CD667FF}"/>
    <cellStyle name="Normal 9 2 4 8 3" xfId="14214" xr:uid="{57321015-7EBB-4D8B-A8DF-118B991CFED3}"/>
    <cellStyle name="Normal 9 2 4 8 4" xfId="31108" xr:uid="{2055A7A2-A011-4C81-BED4-2C9BAA8ED205}"/>
    <cellStyle name="Normal 9 2 4 9" xfId="8857" xr:uid="{D785C0E6-B403-4CCC-AB0B-78E822EF1E40}"/>
    <cellStyle name="Normal 9 2 4 9 2" xfId="18444" xr:uid="{4CD34D95-CED2-43F9-BB33-AC7F18CB59A5}"/>
    <cellStyle name="Normal 9 2 4 9 3" xfId="35338" xr:uid="{E56015F8-D3A2-411C-96B9-8878C91604FB}"/>
    <cellStyle name="Normal 9 2 5" xfId="526" xr:uid="{00000000-0005-0000-0000-0000841F0000}"/>
    <cellStyle name="Normal 9 2 5 10" xfId="26893" xr:uid="{3935610A-03C9-4803-8822-AE04803B4308}"/>
    <cellStyle name="Normal 9 2 5 2" xfId="993" xr:uid="{00000000-0005-0000-0000-0000851F0000}"/>
    <cellStyle name="Normal 9 2 5 2 2" xfId="3226" xr:uid="{00000000-0005-0000-0000-0000861F0000}"/>
    <cellStyle name="Normal 9 2 5 2 2 2" xfId="7448" xr:uid="{00000000-0005-0000-0000-0000871F0000}"/>
    <cellStyle name="Normal 9 2 5 2 2 2 2" xfId="25221" xr:uid="{2E76221A-3F69-4C7A-86FB-82D0B2317418}"/>
    <cellStyle name="Normal 9 2 5 2 2 2 2 2" xfId="42115" xr:uid="{2A72730F-D3A4-4E92-9297-1A5E69B33B9C}"/>
    <cellStyle name="Normal 9 2 5 2 2 2 3" xfId="16774" xr:uid="{9FDCA0BF-CC0D-4C6E-ABEB-5ECFD502D85E}"/>
    <cellStyle name="Normal 9 2 5 2 2 2 4" xfId="33668" xr:uid="{7938ADFF-6B03-479C-8036-FD6A26C712C5}"/>
    <cellStyle name="Normal 9 2 5 2 2 3" xfId="21004" xr:uid="{013FE998-11C4-4937-AD4C-F1E4110E5CD8}"/>
    <cellStyle name="Normal 9 2 5 2 2 3 2" xfId="37898" xr:uid="{272DCF1C-21CD-4549-B5DD-ABC2531F7D31}"/>
    <cellStyle name="Normal 9 2 5 2 2 4" xfId="12557" xr:uid="{533D6FC5-30B5-4E35-8963-9242E79B5C33}"/>
    <cellStyle name="Normal 9 2 5 2 2 5" xfId="29451" xr:uid="{FC8B5C37-0F44-4FE3-A86F-3F712A4FC97D}"/>
    <cellStyle name="Normal 9 2 5 2 3" xfId="5303" xr:uid="{00000000-0005-0000-0000-0000881F0000}"/>
    <cellStyle name="Normal 9 2 5 2 3 2" xfId="23076" xr:uid="{3DC15C5C-0B99-4FDF-B3B3-2ABFFAC593A9}"/>
    <cellStyle name="Normal 9 2 5 2 3 2 2" xfId="39970" xr:uid="{EDC08C2A-1EE5-4A13-A84F-C037A92A4A9A}"/>
    <cellStyle name="Normal 9 2 5 2 3 3" xfId="14629" xr:uid="{5308D02C-39F1-4952-9041-FE2BF277C4EB}"/>
    <cellStyle name="Normal 9 2 5 2 3 4" xfId="31523" xr:uid="{66241ECC-4E66-490C-9997-508ED5B89451}"/>
    <cellStyle name="Normal 9 2 5 2 4" xfId="9398" xr:uid="{5B2A416E-986C-4898-8893-9EAFDDDBCDD4}"/>
    <cellStyle name="Normal 9 2 5 2 4 2" xfId="18859" xr:uid="{6F1A13BC-033F-4523-B97F-0EA44F4D61C3}"/>
    <cellStyle name="Normal 9 2 5 2 4 3" xfId="35753" xr:uid="{55A73FE5-7985-46A6-826A-AE02494233A3}"/>
    <cellStyle name="Normal 9 2 5 2 5" xfId="10412" xr:uid="{FEF2734F-F7C6-4702-8AAA-E03CF85C984A}"/>
    <cellStyle name="Normal 9 2 5 2 6" xfId="27306" xr:uid="{7BF260DD-6545-44D2-A300-34ECD867238E}"/>
    <cellStyle name="Normal 9 2 5 3" xfId="1409" xr:uid="{00000000-0005-0000-0000-0000891F0000}"/>
    <cellStyle name="Normal 9 2 5 3 2" xfId="3639" xr:uid="{00000000-0005-0000-0000-00008A1F0000}"/>
    <cellStyle name="Normal 9 2 5 3 2 2" xfId="7861" xr:uid="{00000000-0005-0000-0000-00008B1F0000}"/>
    <cellStyle name="Normal 9 2 5 3 2 2 2" xfId="25634" xr:uid="{65F1CC0C-526C-4282-9BE6-8239CDA0159F}"/>
    <cellStyle name="Normal 9 2 5 3 2 2 2 2" xfId="42528" xr:uid="{8BAE50E9-4C4E-468B-A09A-0DB0D733036D}"/>
    <cellStyle name="Normal 9 2 5 3 2 2 3" xfId="17187" xr:uid="{8D8DF809-4D9D-4ED7-9887-7329F01C320F}"/>
    <cellStyle name="Normal 9 2 5 3 2 2 4" xfId="34081" xr:uid="{ED30077B-E712-463A-BDA3-191A0C9EED6C}"/>
    <cellStyle name="Normal 9 2 5 3 2 3" xfId="21417" xr:uid="{C9D1410C-0086-438F-8DA1-74C6D4BEDDAB}"/>
    <cellStyle name="Normal 9 2 5 3 2 3 2" xfId="38311" xr:uid="{15EF4E68-B10C-4139-80B2-C6F30B39123F}"/>
    <cellStyle name="Normal 9 2 5 3 2 4" xfId="12970" xr:uid="{F7B9FA32-F5BD-4A9E-BA67-767160C6DA88}"/>
    <cellStyle name="Normal 9 2 5 3 2 5" xfId="29864" xr:uid="{41617712-C9C2-4E12-B4AE-09D5F8256CE4}"/>
    <cellStyle name="Normal 9 2 5 3 3" xfId="5716" xr:uid="{00000000-0005-0000-0000-00008C1F0000}"/>
    <cellStyle name="Normal 9 2 5 3 3 2" xfId="23489" xr:uid="{E571E312-7206-4187-9EFD-E2A320B72FDD}"/>
    <cellStyle name="Normal 9 2 5 3 3 2 2" xfId="40383" xr:uid="{03C21437-9DE1-4194-9A53-C1D162179424}"/>
    <cellStyle name="Normal 9 2 5 3 3 3" xfId="15042" xr:uid="{3F68F064-C50C-4020-99FB-14E840626571}"/>
    <cellStyle name="Normal 9 2 5 3 3 4" xfId="31936" xr:uid="{4A0B0337-517F-4D75-BB93-3D26DCE4400D}"/>
    <cellStyle name="Normal 9 2 5 3 4" xfId="19272" xr:uid="{2FFAC9F8-0E90-4770-A5D0-410C694541E8}"/>
    <cellStyle name="Normal 9 2 5 3 4 2" xfId="36166" xr:uid="{DFC1E62B-92A7-4C23-91DB-D245FFF42491}"/>
    <cellStyle name="Normal 9 2 5 3 5" xfId="10825" xr:uid="{2493E63A-A47B-4AF1-8A4D-2A41BA55DB20}"/>
    <cellStyle name="Normal 9 2 5 3 6" xfId="27719" xr:uid="{6B7F42F6-D003-497F-8EF1-87A01B004D38}"/>
    <cellStyle name="Normal 9 2 5 4" xfId="1822" xr:uid="{00000000-0005-0000-0000-00008D1F0000}"/>
    <cellStyle name="Normal 9 2 5 4 2" xfId="4052" xr:uid="{00000000-0005-0000-0000-00008E1F0000}"/>
    <cellStyle name="Normal 9 2 5 4 2 2" xfId="8274" xr:uid="{00000000-0005-0000-0000-00008F1F0000}"/>
    <cellStyle name="Normal 9 2 5 4 2 2 2" xfId="26047" xr:uid="{6515A465-61B3-4F06-8562-F52FBE46782A}"/>
    <cellStyle name="Normal 9 2 5 4 2 2 2 2" xfId="42941" xr:uid="{7C0EA40E-3676-42E8-A615-84043E685AA8}"/>
    <cellStyle name="Normal 9 2 5 4 2 2 3" xfId="17600" xr:uid="{851DAF04-1B59-4E10-8853-A2CC70A5EA01}"/>
    <cellStyle name="Normal 9 2 5 4 2 2 4" xfId="34494" xr:uid="{3221E318-9F48-4D9C-BC1E-EF4AE58C7580}"/>
    <cellStyle name="Normal 9 2 5 4 2 3" xfId="21830" xr:uid="{9B6D7501-5756-4CA0-BDA5-552DD970ED15}"/>
    <cellStyle name="Normal 9 2 5 4 2 3 2" xfId="38724" xr:uid="{51079933-7931-4589-BAC3-0BD69F0140A9}"/>
    <cellStyle name="Normal 9 2 5 4 2 4" xfId="13383" xr:uid="{CFCFBB7B-6CF6-420C-A518-8096BA566A28}"/>
    <cellStyle name="Normal 9 2 5 4 2 5" xfId="30277" xr:uid="{31C6415E-8693-476D-BE2E-F129A37B14A2}"/>
    <cellStyle name="Normal 9 2 5 4 3" xfId="6129" xr:uid="{00000000-0005-0000-0000-0000901F0000}"/>
    <cellStyle name="Normal 9 2 5 4 3 2" xfId="23902" xr:uid="{4464A431-6B38-4DE5-97F6-9D8A43DF615E}"/>
    <cellStyle name="Normal 9 2 5 4 3 2 2" xfId="40796" xr:uid="{09E1B458-A813-4EC5-AC26-1DC470D57FCD}"/>
    <cellStyle name="Normal 9 2 5 4 3 3" xfId="15455" xr:uid="{2469D20C-BFEB-4B4E-95BD-17584375392E}"/>
    <cellStyle name="Normal 9 2 5 4 3 4" xfId="32349" xr:uid="{5802357D-BADE-4F9A-B1B7-7478F9110283}"/>
    <cellStyle name="Normal 9 2 5 4 4" xfId="19685" xr:uid="{4D208B40-2968-406F-81D7-8C13B238D9CA}"/>
    <cellStyle name="Normal 9 2 5 4 4 2" xfId="36579" xr:uid="{829C8BBB-2BFA-424D-A5C8-0E40CF38FED6}"/>
    <cellStyle name="Normal 9 2 5 4 5" xfId="11238" xr:uid="{41DCC319-EDE4-48AA-A447-064DFD1B6C2C}"/>
    <cellStyle name="Normal 9 2 5 4 6" xfId="28132" xr:uid="{C8FDEB14-E148-41D7-A5DE-BD9B5591AEF1}"/>
    <cellStyle name="Normal 9 2 5 5" xfId="2236" xr:uid="{00000000-0005-0000-0000-0000911F0000}"/>
    <cellStyle name="Normal 9 2 5 5 2" xfId="4465" xr:uid="{00000000-0005-0000-0000-0000921F0000}"/>
    <cellStyle name="Normal 9 2 5 5 2 2" xfId="8687" xr:uid="{00000000-0005-0000-0000-0000931F0000}"/>
    <cellStyle name="Normal 9 2 5 5 2 2 2" xfId="26460" xr:uid="{37031B58-9DB0-4470-9B84-8E3794B6E583}"/>
    <cellStyle name="Normal 9 2 5 5 2 2 2 2" xfId="43354" xr:uid="{841CFE99-3ABD-46C9-911F-5A23FEDA12B1}"/>
    <cellStyle name="Normal 9 2 5 5 2 2 3" xfId="18013" xr:uid="{2ABF3380-4B43-41B5-9035-76530537EF37}"/>
    <cellStyle name="Normal 9 2 5 5 2 2 4" xfId="34907" xr:uid="{DD5E116A-370A-41D8-A958-CDBE24B436E2}"/>
    <cellStyle name="Normal 9 2 5 5 2 3" xfId="22243" xr:uid="{2224EC66-E546-4D9E-A353-967901D64BFE}"/>
    <cellStyle name="Normal 9 2 5 5 2 3 2" xfId="39137" xr:uid="{925C54F7-3B67-4D5C-9E06-BED776A11C9E}"/>
    <cellStyle name="Normal 9 2 5 5 2 4" xfId="13796" xr:uid="{06121967-037A-40EF-B82B-0CB75FE06D8F}"/>
    <cellStyle name="Normal 9 2 5 5 2 5" xfId="30690" xr:uid="{5781EA35-4379-4CC1-8191-FD7C66CD4DCB}"/>
    <cellStyle name="Normal 9 2 5 5 3" xfId="6542" xr:uid="{00000000-0005-0000-0000-0000941F0000}"/>
    <cellStyle name="Normal 9 2 5 5 3 2" xfId="24315" xr:uid="{4D05BF2C-8C41-4084-9D5B-925A06FDF33E}"/>
    <cellStyle name="Normal 9 2 5 5 3 2 2" xfId="41209" xr:uid="{4E0B2F19-D7CC-4551-A3C7-D4D9C2D54A49}"/>
    <cellStyle name="Normal 9 2 5 5 3 3" xfId="15868" xr:uid="{FE5DC3AE-3506-4C96-93A7-A76E48699D7D}"/>
    <cellStyle name="Normal 9 2 5 5 3 4" xfId="32762" xr:uid="{D1089EFB-76E2-4611-AC46-77EEC02AA89E}"/>
    <cellStyle name="Normal 9 2 5 5 4" xfId="20098" xr:uid="{17DD2F6B-3147-4B5A-BFE8-1A0DF0DE4FD1}"/>
    <cellStyle name="Normal 9 2 5 5 4 2" xfId="36992" xr:uid="{B663C22B-D6F3-425E-933C-4315F852D816}"/>
    <cellStyle name="Normal 9 2 5 5 5" xfId="11651" xr:uid="{651BE26E-4A2E-47D5-96A0-F57E4251131F}"/>
    <cellStyle name="Normal 9 2 5 5 6" xfId="28545" xr:uid="{C5021D48-3A80-4DE9-A572-0C5716AF68FA}"/>
    <cellStyle name="Normal 9 2 5 6" xfId="2672" xr:uid="{00000000-0005-0000-0000-0000951F0000}"/>
    <cellStyle name="Normal 9 2 5 6 2" xfId="6955" xr:uid="{00000000-0005-0000-0000-0000961F0000}"/>
    <cellStyle name="Normal 9 2 5 6 2 2" xfId="24728" xr:uid="{1BE613D4-6F13-44B9-9762-F875B0667635}"/>
    <cellStyle name="Normal 9 2 5 6 2 2 2" xfId="41622" xr:uid="{A82BF447-4822-470B-BB8D-CADB7BD93880}"/>
    <cellStyle name="Normal 9 2 5 6 2 3" xfId="16281" xr:uid="{57CB5A34-377F-491E-B580-F136EB75AD09}"/>
    <cellStyle name="Normal 9 2 5 6 2 4" xfId="33175" xr:uid="{34971FC4-E7A0-4C42-BC27-47C100A01E82}"/>
    <cellStyle name="Normal 9 2 5 6 3" xfId="20511" xr:uid="{32C3F524-125E-4A22-944B-6CBF3838A4E8}"/>
    <cellStyle name="Normal 9 2 5 6 3 2" xfId="37405" xr:uid="{E9D3CBD9-646A-442C-85E7-1779DC7106D5}"/>
    <cellStyle name="Normal 9 2 5 6 4" xfId="12064" xr:uid="{9E2F387F-8A77-411B-A835-F345484003A0}"/>
    <cellStyle name="Normal 9 2 5 6 5" xfId="28958" xr:uid="{21E0D973-C18C-4611-9995-9C11980295B5}"/>
    <cellStyle name="Normal 9 2 5 7" xfId="4890" xr:uid="{00000000-0005-0000-0000-0000971F0000}"/>
    <cellStyle name="Normal 9 2 5 7 2" xfId="22663" xr:uid="{5230156C-F3B7-4E4B-B973-05057E522A66}"/>
    <cellStyle name="Normal 9 2 5 7 2 2" xfId="39557" xr:uid="{198275E0-98D8-4469-A832-AA1FB433442C}"/>
    <cellStyle name="Normal 9 2 5 7 3" xfId="14216" xr:uid="{B20F8F30-7992-4BDF-9A57-608512D5A710}"/>
    <cellStyle name="Normal 9 2 5 7 4" xfId="31110" xr:uid="{EE54640A-217F-459E-ADF5-4A13B65D8DBC}"/>
    <cellStyle name="Normal 9 2 5 8" xfId="8973" xr:uid="{BA9464C2-72F7-4B38-B1BD-6986FFA433D9}"/>
    <cellStyle name="Normal 9 2 5 8 2" xfId="18446" xr:uid="{6223F910-9FC5-4979-929E-07F4EEBBDE95}"/>
    <cellStyle name="Normal 9 2 5 8 3" xfId="35340" xr:uid="{209BE259-D99A-41BC-968A-B30FAAB75197}"/>
    <cellStyle name="Normal 9 2 5 9" xfId="9999" xr:uid="{86494F6A-1DDF-4DEB-B6F3-9BE36B0F5D4C}"/>
    <cellStyle name="Normal 9 2 6" xfId="978" xr:uid="{00000000-0005-0000-0000-0000981F0000}"/>
    <cellStyle name="Normal 9 2 6 2" xfId="3211" xr:uid="{00000000-0005-0000-0000-0000991F0000}"/>
    <cellStyle name="Normal 9 2 6 2 2" xfId="7433" xr:uid="{00000000-0005-0000-0000-00009A1F0000}"/>
    <cellStyle name="Normal 9 2 6 2 2 2" xfId="25206" xr:uid="{83DC6D97-A58E-4074-8101-51BC9D0ADE97}"/>
    <cellStyle name="Normal 9 2 6 2 2 2 2" xfId="42100" xr:uid="{BF40F8A1-F6D2-4A54-8115-E3884FBF1EA8}"/>
    <cellStyle name="Normal 9 2 6 2 2 3" xfId="16759" xr:uid="{839AFBAC-04E1-4E41-B75C-B2833A680B8E}"/>
    <cellStyle name="Normal 9 2 6 2 2 4" xfId="33653" xr:uid="{558C67B9-09A3-4D99-A666-139C01DCD08D}"/>
    <cellStyle name="Normal 9 2 6 2 3" xfId="20989" xr:uid="{C4DD7F05-1006-4A5D-9959-77D9690B038B}"/>
    <cellStyle name="Normal 9 2 6 2 3 2" xfId="37883" xr:uid="{5DE303FB-1D5E-4C31-9611-7BE753CC78C0}"/>
    <cellStyle name="Normal 9 2 6 2 4" xfId="12542" xr:uid="{B851070B-5935-4747-B123-9093553097F9}"/>
    <cellStyle name="Normal 9 2 6 2 5" xfId="29436" xr:uid="{B49D0F36-87F6-4D8A-BD1A-ABF291206C6B}"/>
    <cellStyle name="Normal 9 2 6 3" xfId="5288" xr:uid="{00000000-0005-0000-0000-00009B1F0000}"/>
    <cellStyle name="Normal 9 2 6 3 2" xfId="23061" xr:uid="{9A5DD4E7-0E65-464A-BF1E-2484AE67BA26}"/>
    <cellStyle name="Normal 9 2 6 3 2 2" xfId="39955" xr:uid="{C61D05FF-69A7-4F31-B182-41550F3FC895}"/>
    <cellStyle name="Normal 9 2 6 3 3" xfId="14614" xr:uid="{CD03A2A4-B6C3-4912-B31E-EAE8A7752D99}"/>
    <cellStyle name="Normal 9 2 6 3 4" xfId="31508" xr:uid="{0B3D3BC6-B947-4DB5-B4C1-7B67F6273940}"/>
    <cellStyle name="Normal 9 2 6 4" xfId="9176" xr:uid="{F3933A08-5B20-47C9-B0FC-7B73F4B0BA7D}"/>
    <cellStyle name="Normal 9 2 6 4 2" xfId="18844" xr:uid="{034B2C19-3D57-4E79-9971-CCBCAAF32BB3}"/>
    <cellStyle name="Normal 9 2 6 4 3" xfId="35738" xr:uid="{F73437DC-AAF2-40F4-8120-F070D8047A66}"/>
    <cellStyle name="Normal 9 2 6 5" xfId="10397" xr:uid="{1CF1F03D-0E4B-4B5D-8D4C-40F8AA2BFC24}"/>
    <cellStyle name="Normal 9 2 6 6" xfId="27291" xr:uid="{055D7D58-A13A-422A-A39B-D88ABDA8EA6C}"/>
    <cellStyle name="Normal 9 2 7" xfId="1394" xr:uid="{00000000-0005-0000-0000-00009C1F0000}"/>
    <cellStyle name="Normal 9 2 7 2" xfId="3624" xr:uid="{00000000-0005-0000-0000-00009D1F0000}"/>
    <cellStyle name="Normal 9 2 7 2 2" xfId="7846" xr:uid="{00000000-0005-0000-0000-00009E1F0000}"/>
    <cellStyle name="Normal 9 2 7 2 2 2" xfId="25619" xr:uid="{6466C195-7783-4D0C-9985-0AA50F7A7FF3}"/>
    <cellStyle name="Normal 9 2 7 2 2 2 2" xfId="42513" xr:uid="{F1FDF74A-71F4-411B-8933-8348CB0BC626}"/>
    <cellStyle name="Normal 9 2 7 2 2 3" xfId="17172" xr:uid="{6737CF96-A838-4944-A774-8C9F1C98F89D}"/>
    <cellStyle name="Normal 9 2 7 2 2 4" xfId="34066" xr:uid="{B1DDA271-6BB4-47FC-B3CA-8ED92193FF77}"/>
    <cellStyle name="Normal 9 2 7 2 3" xfId="21402" xr:uid="{01ACA6AA-EFF0-40B8-BE98-C6DEE336DB9D}"/>
    <cellStyle name="Normal 9 2 7 2 3 2" xfId="38296" xr:uid="{4E155BCB-DA00-46A2-9C62-5AB2E4DC9CBC}"/>
    <cellStyle name="Normal 9 2 7 2 4" xfId="12955" xr:uid="{5A582852-46A2-4286-8076-ED2C63CFC839}"/>
    <cellStyle name="Normal 9 2 7 2 5" xfId="29849" xr:uid="{D8561104-D1C1-4744-855A-E5E3AA9B3406}"/>
    <cellStyle name="Normal 9 2 7 3" xfId="5701" xr:uid="{00000000-0005-0000-0000-00009F1F0000}"/>
    <cellStyle name="Normal 9 2 7 3 2" xfId="23474" xr:uid="{842809B9-AFED-4259-8470-F9B9847CD5F3}"/>
    <cellStyle name="Normal 9 2 7 3 2 2" xfId="40368" xr:uid="{73326F81-ADE9-4D48-9D84-001F13700CCC}"/>
    <cellStyle name="Normal 9 2 7 3 3" xfId="15027" xr:uid="{7BEBA81F-72A4-423F-8819-92BA9C03A6DB}"/>
    <cellStyle name="Normal 9 2 7 3 4" xfId="31921" xr:uid="{A6DE68D8-70AA-426F-BA6E-A25025BCE2AE}"/>
    <cellStyle name="Normal 9 2 7 4" xfId="19257" xr:uid="{D9B4B6D0-B2C3-48D5-A299-C83F627DF359}"/>
    <cellStyle name="Normal 9 2 7 4 2" xfId="36151" xr:uid="{EF0F94A2-BFBD-4CBE-8253-8C39174B87C9}"/>
    <cellStyle name="Normal 9 2 7 5" xfId="10810" xr:uid="{0A9FFA54-D929-4C4F-A5D9-3A8A2CF3E816}"/>
    <cellStyle name="Normal 9 2 7 6" xfId="27704" xr:uid="{39F720AB-A39E-4AA0-8587-6BEA49A3131B}"/>
    <cellStyle name="Normal 9 2 8" xfId="1807" xr:uid="{00000000-0005-0000-0000-0000A01F0000}"/>
    <cellStyle name="Normal 9 2 8 2" xfId="4037" xr:uid="{00000000-0005-0000-0000-0000A11F0000}"/>
    <cellStyle name="Normal 9 2 8 2 2" xfId="8259" xr:uid="{00000000-0005-0000-0000-0000A21F0000}"/>
    <cellStyle name="Normal 9 2 8 2 2 2" xfId="26032" xr:uid="{84C50042-8F64-4C35-BA61-CE98FFFEAC6A}"/>
    <cellStyle name="Normal 9 2 8 2 2 2 2" xfId="42926" xr:uid="{66D748F2-D292-4CE6-AA70-9860663F7C7B}"/>
    <cellStyle name="Normal 9 2 8 2 2 3" xfId="17585" xr:uid="{C2950534-4AB1-439E-8F2F-1B0A83FAE797}"/>
    <cellStyle name="Normal 9 2 8 2 2 4" xfId="34479" xr:uid="{C84FD969-F31D-4D10-83C3-F7960AD647FC}"/>
    <cellStyle name="Normal 9 2 8 2 3" xfId="21815" xr:uid="{265DC32F-6FAC-40AD-934C-ABF4EF513956}"/>
    <cellStyle name="Normal 9 2 8 2 3 2" xfId="38709" xr:uid="{9788AF41-DAC1-41EF-8247-CF65BBF92D2D}"/>
    <cellStyle name="Normal 9 2 8 2 4" xfId="13368" xr:uid="{D33F2FC3-8CEC-48DC-B8B6-208C47AFE22C}"/>
    <cellStyle name="Normal 9 2 8 2 5" xfId="30262" xr:uid="{59567A63-8F1D-4217-86C6-46D8016B3A08}"/>
    <cellStyle name="Normal 9 2 8 3" xfId="6114" xr:uid="{00000000-0005-0000-0000-0000A31F0000}"/>
    <cellStyle name="Normal 9 2 8 3 2" xfId="23887" xr:uid="{5011A332-4E4F-4C2C-9380-9611F10C9746}"/>
    <cellStyle name="Normal 9 2 8 3 2 2" xfId="40781" xr:uid="{D9347D82-83B5-4ECB-AE73-822E3261F052}"/>
    <cellStyle name="Normal 9 2 8 3 3" xfId="15440" xr:uid="{7ED1E7C8-1C00-4AEE-901B-9BFFDEF6D8A6}"/>
    <cellStyle name="Normal 9 2 8 3 4" xfId="32334" xr:uid="{2575269C-2FBB-4A64-804A-FCCA3EB968CC}"/>
    <cellStyle name="Normal 9 2 8 4" xfId="19670" xr:uid="{413529EA-0892-45B1-99DD-B0708AA8FB40}"/>
    <cellStyle name="Normal 9 2 8 4 2" xfId="36564" xr:uid="{7C5E10A0-8548-496C-A9CE-1D64FA7BD398}"/>
    <cellStyle name="Normal 9 2 8 5" xfId="11223" xr:uid="{B42E1DFC-C44E-4A58-B706-5362516321BB}"/>
    <cellStyle name="Normal 9 2 8 6" xfId="28117" xr:uid="{E7330561-33D7-4CB5-BCC6-C857B13FA067}"/>
    <cellStyle name="Normal 9 2 9" xfId="2221" xr:uid="{00000000-0005-0000-0000-0000A41F0000}"/>
    <cellStyle name="Normal 9 2 9 2" xfId="4450" xr:uid="{00000000-0005-0000-0000-0000A51F0000}"/>
    <cellStyle name="Normal 9 2 9 2 2" xfId="8672" xr:uid="{00000000-0005-0000-0000-0000A61F0000}"/>
    <cellStyle name="Normal 9 2 9 2 2 2" xfId="26445" xr:uid="{D161E0C5-B46C-4AD4-ADDB-05D112BC57AA}"/>
    <cellStyle name="Normal 9 2 9 2 2 2 2" xfId="43339" xr:uid="{BF8603BB-79FE-41AA-AB6B-8286FDFE7038}"/>
    <cellStyle name="Normal 9 2 9 2 2 3" xfId="17998" xr:uid="{2A89DB17-5595-40D5-BBF9-CB5598D271F2}"/>
    <cellStyle name="Normal 9 2 9 2 2 4" xfId="34892" xr:uid="{685B3531-F711-48E9-A65F-505F1A0AF7D5}"/>
    <cellStyle name="Normal 9 2 9 2 3" xfId="22228" xr:uid="{FE93BE18-D633-4B43-B59A-638DA80E0BA3}"/>
    <cellStyle name="Normal 9 2 9 2 3 2" xfId="39122" xr:uid="{FC89B024-4849-49CB-BA62-3DF1411878A3}"/>
    <cellStyle name="Normal 9 2 9 2 4" xfId="13781" xr:uid="{3DA95303-1CB0-492D-806E-760670636F9C}"/>
    <cellStyle name="Normal 9 2 9 2 5" xfId="30675" xr:uid="{F82D8A78-59CD-4E83-8CEA-95AF4085FD47}"/>
    <cellStyle name="Normal 9 2 9 3" xfId="6527" xr:uid="{00000000-0005-0000-0000-0000A71F0000}"/>
    <cellStyle name="Normal 9 2 9 3 2" xfId="24300" xr:uid="{95A750E3-0147-48F1-95BC-770A11013EED}"/>
    <cellStyle name="Normal 9 2 9 3 2 2" xfId="41194" xr:uid="{93730FE0-E93A-4D25-A717-E58A74FA2B52}"/>
    <cellStyle name="Normal 9 2 9 3 3" xfId="15853" xr:uid="{44EA2627-D8FA-4031-A2B4-84D4C99363FA}"/>
    <cellStyle name="Normal 9 2 9 3 4" xfId="32747" xr:uid="{B158ABA0-9A23-4823-9E3A-4DE2C37D8089}"/>
    <cellStyle name="Normal 9 2 9 4" xfId="20083" xr:uid="{5ADB7AFB-4F33-42CF-BBFA-85F2A07091FC}"/>
    <cellStyle name="Normal 9 2 9 4 2" xfId="36977" xr:uid="{790EE2F4-EEF4-452A-837E-D9F72F564BAD}"/>
    <cellStyle name="Normal 9 2 9 5" xfId="11636" xr:uid="{123BC679-F984-4B22-94F0-B6221BE9DDF8}"/>
    <cellStyle name="Normal 9 2 9 6" xfId="28530" xr:uid="{664BE137-EF3B-449C-80FD-D202421BA570}"/>
    <cellStyle name="Normal 9 3" xfId="527" xr:uid="{00000000-0005-0000-0000-0000A81F0000}"/>
    <cellStyle name="Normal 9 3 10" xfId="4891" xr:uid="{00000000-0005-0000-0000-0000A91F0000}"/>
    <cellStyle name="Normal 9 3 10 2" xfId="22664" xr:uid="{F7ED4B64-80F8-4D85-A335-EC619C8C021A}"/>
    <cellStyle name="Normal 9 3 10 2 2" xfId="39558" xr:uid="{BCB7658D-0AFD-4945-BE07-D05937713A39}"/>
    <cellStyle name="Normal 9 3 10 3" xfId="14217" xr:uid="{1D68F302-2E14-42A7-95F0-495B0756B840}"/>
    <cellStyle name="Normal 9 3 10 4" xfId="31111" xr:uid="{9372EC36-4AA5-4479-8B18-A0DD9DD64484}"/>
    <cellStyle name="Normal 9 3 11" xfId="8777" xr:uid="{1F3D7E21-FC22-4F0C-9371-3D8250746BB7}"/>
    <cellStyle name="Normal 9 3 11 2" xfId="18447" xr:uid="{7B09D1FA-FBDC-417F-9C48-FBE5A41C7E4A}"/>
    <cellStyle name="Normal 9 3 11 3" xfId="35341" xr:uid="{A79EFAA4-958A-48CF-A874-F0B379A9162D}"/>
    <cellStyle name="Normal 9 3 12" xfId="10000" xr:uid="{A12566FB-FB52-4497-A12F-51456A35B806}"/>
    <cellStyle name="Normal 9 3 13" xfId="26894" xr:uid="{56F18EA1-968A-4A38-AD84-AF8AD06DA946}"/>
    <cellStyle name="Normal 9 3 2" xfId="528" xr:uid="{00000000-0005-0000-0000-0000AA1F0000}"/>
    <cellStyle name="Normal 9 3 2 10" xfId="8840" xr:uid="{94797BE2-1721-4871-A768-79D4D45F48BB}"/>
    <cellStyle name="Normal 9 3 2 10 2" xfId="18448" xr:uid="{1C1F249E-8A04-44D6-B9DB-F8402D28B14F}"/>
    <cellStyle name="Normal 9 3 2 10 3" xfId="35342" xr:uid="{8612F0AA-E024-4425-A5AC-256E0652B2CD}"/>
    <cellStyle name="Normal 9 3 2 11" xfId="10001" xr:uid="{53FE2971-E993-4267-9DF0-672172943FA8}"/>
    <cellStyle name="Normal 9 3 2 12" xfId="26895" xr:uid="{96B95D54-26B3-44E9-81B3-A3CC50E730AD}"/>
    <cellStyle name="Normal 9 3 2 2" xfId="529" xr:uid="{00000000-0005-0000-0000-0000AB1F0000}"/>
    <cellStyle name="Normal 9 3 2 2 10" xfId="10002" xr:uid="{58B7FA73-8089-4F8B-A847-6D0C34997EBC}"/>
    <cellStyle name="Normal 9 3 2 2 11" xfId="26896" xr:uid="{5C42CAE1-232C-446D-9A54-7FABEE13A8DD}"/>
    <cellStyle name="Normal 9 3 2 2 2" xfId="530" xr:uid="{00000000-0005-0000-0000-0000AC1F0000}"/>
    <cellStyle name="Normal 9 3 2 2 2 10" xfId="26897" xr:uid="{9BC257C8-9866-462E-A167-0CCC64CE5BD5}"/>
    <cellStyle name="Normal 9 3 2 2 2 2" xfId="997" xr:uid="{00000000-0005-0000-0000-0000AD1F0000}"/>
    <cellStyle name="Normal 9 3 2 2 2 2 2" xfId="3230" xr:uid="{00000000-0005-0000-0000-0000AE1F0000}"/>
    <cellStyle name="Normal 9 3 2 2 2 2 2 2" xfId="7452" xr:uid="{00000000-0005-0000-0000-0000AF1F0000}"/>
    <cellStyle name="Normal 9 3 2 2 2 2 2 2 2" xfId="25225" xr:uid="{80E54A03-7439-4757-BA51-ECDFA42FB26D}"/>
    <cellStyle name="Normal 9 3 2 2 2 2 2 2 2 2" xfId="42119" xr:uid="{A396FE09-0F24-430B-9160-9EF5BDD5F84F}"/>
    <cellStyle name="Normal 9 3 2 2 2 2 2 2 3" xfId="16778" xr:uid="{F038B4A0-27C2-4591-814F-15A5ABE91208}"/>
    <cellStyle name="Normal 9 3 2 2 2 2 2 2 4" xfId="33672" xr:uid="{603E2624-69A6-4991-A932-8DC64860E696}"/>
    <cellStyle name="Normal 9 3 2 2 2 2 2 3" xfId="21008" xr:uid="{AFE4DEB1-D44F-409E-A6D2-86F7C85019D7}"/>
    <cellStyle name="Normal 9 3 2 2 2 2 2 3 2" xfId="37902" xr:uid="{EC8DC92F-96A1-4C02-9196-D84E44A3EE46}"/>
    <cellStyle name="Normal 9 3 2 2 2 2 2 4" xfId="12561" xr:uid="{BA8857CF-F675-465E-9C83-BB4DA01A9BD4}"/>
    <cellStyle name="Normal 9 3 2 2 2 2 2 5" xfId="29455" xr:uid="{7AD2FB4F-2355-4824-8495-049AE9EF2608}"/>
    <cellStyle name="Normal 9 3 2 2 2 2 3" xfId="5307" xr:uid="{00000000-0005-0000-0000-0000B01F0000}"/>
    <cellStyle name="Normal 9 3 2 2 2 2 3 2" xfId="23080" xr:uid="{B435E7C2-259B-4C0D-91A0-FC06ADF1736F}"/>
    <cellStyle name="Normal 9 3 2 2 2 2 3 2 2" xfId="39974" xr:uid="{1264B1D1-A750-4C3D-A3C3-699810A8BA04}"/>
    <cellStyle name="Normal 9 3 2 2 2 2 3 3" xfId="14633" xr:uid="{3D9928BB-E3AF-4045-9660-2E4C8808B70E}"/>
    <cellStyle name="Normal 9 3 2 2 2 2 3 4" xfId="31527" xr:uid="{276D8319-80D1-45B1-B6DE-A481BC5C750A}"/>
    <cellStyle name="Normal 9 3 2 2 2 2 4" xfId="9575" xr:uid="{DA05DE06-1987-4B8E-8439-C692853FF296}"/>
    <cellStyle name="Normal 9 3 2 2 2 2 4 2" xfId="18863" xr:uid="{4D51F1A4-D090-4D69-AD73-FDC644BEE7CF}"/>
    <cellStyle name="Normal 9 3 2 2 2 2 4 3" xfId="35757" xr:uid="{2537A6A4-D0A8-4376-9DCA-BC31C7F85810}"/>
    <cellStyle name="Normal 9 3 2 2 2 2 5" xfId="10416" xr:uid="{0D4AB184-2826-4480-8F12-E50030FCECD2}"/>
    <cellStyle name="Normal 9 3 2 2 2 2 6" xfId="27310" xr:uid="{4EA4E95A-BB1C-4A00-B98E-9EF70DC0BA70}"/>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2 2 2" xfId="25638" xr:uid="{B618C0F8-D470-4A5A-93FA-C1B1D7A6C129}"/>
    <cellStyle name="Normal 9 3 2 2 2 3 2 2 2 2" xfId="42532" xr:uid="{95D7B541-B7D1-4737-ACD7-BCA93E8B72AD}"/>
    <cellStyle name="Normal 9 3 2 2 2 3 2 2 3" xfId="17191" xr:uid="{0A4151E1-FED9-41D9-8FE9-917C394FB474}"/>
    <cellStyle name="Normal 9 3 2 2 2 3 2 2 4" xfId="34085" xr:uid="{3A96E847-0037-40D0-8F87-F9FBAB531A7F}"/>
    <cellStyle name="Normal 9 3 2 2 2 3 2 3" xfId="21421" xr:uid="{64D66BA7-0B8D-4789-9C5A-D611BA1D2AC0}"/>
    <cellStyle name="Normal 9 3 2 2 2 3 2 3 2" xfId="38315" xr:uid="{AA4D8B24-CFB8-4264-8CF3-45E33492EB91}"/>
    <cellStyle name="Normal 9 3 2 2 2 3 2 4" xfId="12974" xr:uid="{602DB533-3E4B-439D-A567-F325E1F06A98}"/>
    <cellStyle name="Normal 9 3 2 2 2 3 2 5" xfId="29868" xr:uid="{3607A361-874A-4C02-A33F-7D5F01AA74DD}"/>
    <cellStyle name="Normal 9 3 2 2 2 3 3" xfId="5720" xr:uid="{00000000-0005-0000-0000-0000B41F0000}"/>
    <cellStyle name="Normal 9 3 2 2 2 3 3 2" xfId="23493" xr:uid="{4237A04C-71DE-463C-B1D8-89E3C1AFA5EC}"/>
    <cellStyle name="Normal 9 3 2 2 2 3 3 2 2" xfId="40387" xr:uid="{F592D0AE-6A04-4539-A7BC-DCC0594D44D2}"/>
    <cellStyle name="Normal 9 3 2 2 2 3 3 3" xfId="15046" xr:uid="{2F459541-20D1-4B84-A3B9-2B401998037C}"/>
    <cellStyle name="Normal 9 3 2 2 2 3 3 4" xfId="31940" xr:uid="{671B8723-649B-40E9-BDC6-CC76B9A20884}"/>
    <cellStyle name="Normal 9 3 2 2 2 3 4" xfId="19276" xr:uid="{A098B4BE-7780-4479-AEB1-09AEAF8E519F}"/>
    <cellStyle name="Normal 9 3 2 2 2 3 4 2" xfId="36170" xr:uid="{F6206CBC-D7DC-4FCA-B318-770DD7C7BABB}"/>
    <cellStyle name="Normal 9 3 2 2 2 3 5" xfId="10829" xr:uid="{52659779-37ED-4A05-B9DA-AEACEE2954EE}"/>
    <cellStyle name="Normal 9 3 2 2 2 3 6" xfId="27723" xr:uid="{1E503883-4E11-485B-86B5-5010190A2353}"/>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2 2 2" xfId="26051" xr:uid="{B1EA9F7E-CA08-4EF7-8A80-4FF6C3EA3396}"/>
    <cellStyle name="Normal 9 3 2 2 2 4 2 2 2 2" xfId="42945" xr:uid="{D1C2C140-0DBD-4473-B955-36A7E8281661}"/>
    <cellStyle name="Normal 9 3 2 2 2 4 2 2 3" xfId="17604" xr:uid="{EE494A58-2864-4E29-83E5-4BB97909CB61}"/>
    <cellStyle name="Normal 9 3 2 2 2 4 2 2 4" xfId="34498" xr:uid="{4094941C-7912-43CD-8305-4E6CF6432B8D}"/>
    <cellStyle name="Normal 9 3 2 2 2 4 2 3" xfId="21834" xr:uid="{4B33CB9E-A29D-450D-BDC3-53AA8396E3C6}"/>
    <cellStyle name="Normal 9 3 2 2 2 4 2 3 2" xfId="38728" xr:uid="{49FBFFED-9503-436A-9C94-79D4FC5569A2}"/>
    <cellStyle name="Normal 9 3 2 2 2 4 2 4" xfId="13387" xr:uid="{21C83C81-1030-4984-92AE-639D2D530543}"/>
    <cellStyle name="Normal 9 3 2 2 2 4 2 5" xfId="30281" xr:uid="{DA0D3AD9-D4DC-447B-8A30-5E7881B93A02}"/>
    <cellStyle name="Normal 9 3 2 2 2 4 3" xfId="6133" xr:uid="{00000000-0005-0000-0000-0000B81F0000}"/>
    <cellStyle name="Normal 9 3 2 2 2 4 3 2" xfId="23906" xr:uid="{4E705803-F594-4F43-A25D-97BD5B224670}"/>
    <cellStyle name="Normal 9 3 2 2 2 4 3 2 2" xfId="40800" xr:uid="{7B1F2E78-3848-4A32-8594-FE1F36A8D104}"/>
    <cellStyle name="Normal 9 3 2 2 2 4 3 3" xfId="15459" xr:uid="{EC9BB94B-C394-4249-BEFD-3D5619782E4A}"/>
    <cellStyle name="Normal 9 3 2 2 2 4 3 4" xfId="32353" xr:uid="{65274776-5E82-4B96-AA01-1FDC2C8D8D80}"/>
    <cellStyle name="Normal 9 3 2 2 2 4 4" xfId="19689" xr:uid="{1036E569-CCF8-4BC5-B608-25426F4A794B}"/>
    <cellStyle name="Normal 9 3 2 2 2 4 4 2" xfId="36583" xr:uid="{9F4C5A1C-D786-42C6-8BCE-626A08292540}"/>
    <cellStyle name="Normal 9 3 2 2 2 4 5" xfId="11242" xr:uid="{92A9F806-B8B8-41E6-B78D-1F760599C3B0}"/>
    <cellStyle name="Normal 9 3 2 2 2 4 6" xfId="28136" xr:uid="{6C86335E-09CF-4E39-9AA2-0C47FC21E332}"/>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2 2 2" xfId="26464" xr:uid="{5181E133-3302-4CB1-A9C0-F258C3E429B5}"/>
    <cellStyle name="Normal 9 3 2 2 2 5 2 2 2 2" xfId="43358" xr:uid="{76B951C4-8BBB-481D-9DA1-95A79F90A2A5}"/>
    <cellStyle name="Normal 9 3 2 2 2 5 2 2 3" xfId="18017" xr:uid="{CBA275F1-3484-4917-858E-1ED6CFA17E42}"/>
    <cellStyle name="Normal 9 3 2 2 2 5 2 2 4" xfId="34911" xr:uid="{B6A5AA54-5F11-4435-86E4-A643DA9C9754}"/>
    <cellStyle name="Normal 9 3 2 2 2 5 2 3" xfId="22247" xr:uid="{1F4207F3-B586-498B-9F41-A6A67E58337E}"/>
    <cellStyle name="Normal 9 3 2 2 2 5 2 3 2" xfId="39141" xr:uid="{CB72728A-B8AC-4F6C-8C0A-1C89D520F0DF}"/>
    <cellStyle name="Normal 9 3 2 2 2 5 2 4" xfId="13800" xr:uid="{5A05245A-A398-4528-A97D-3D9755483C43}"/>
    <cellStyle name="Normal 9 3 2 2 2 5 2 5" xfId="30694" xr:uid="{DE7BEE78-77E9-4746-9F9C-5EE2B3935885}"/>
    <cellStyle name="Normal 9 3 2 2 2 5 3" xfId="6546" xr:uid="{00000000-0005-0000-0000-0000BC1F0000}"/>
    <cellStyle name="Normal 9 3 2 2 2 5 3 2" xfId="24319" xr:uid="{FD8D3FE2-7C35-40EF-85B1-7FFB98A5EDB4}"/>
    <cellStyle name="Normal 9 3 2 2 2 5 3 2 2" xfId="41213" xr:uid="{49E393D5-2EF7-4732-8E90-02A1A16A5008}"/>
    <cellStyle name="Normal 9 3 2 2 2 5 3 3" xfId="15872" xr:uid="{2A66A106-32F7-41FA-8EE2-7E515338E5E5}"/>
    <cellStyle name="Normal 9 3 2 2 2 5 3 4" xfId="32766" xr:uid="{A0B4FDA3-B6C5-49C5-8FD6-334C6E3EC572}"/>
    <cellStyle name="Normal 9 3 2 2 2 5 4" xfId="20102" xr:uid="{A73C168A-11D4-4F16-A86D-7303CB3D602A}"/>
    <cellStyle name="Normal 9 3 2 2 2 5 4 2" xfId="36996" xr:uid="{4A892A8B-6E98-4864-9051-3B3C578B4185}"/>
    <cellStyle name="Normal 9 3 2 2 2 5 5" xfId="11655" xr:uid="{D8A226D1-DA6E-4581-9C96-BC3234399352}"/>
    <cellStyle name="Normal 9 3 2 2 2 5 6" xfId="28549" xr:uid="{D4576ABE-D0AE-4F17-BC93-9CE112B5799A}"/>
    <cellStyle name="Normal 9 3 2 2 2 6" xfId="2676" xr:uid="{00000000-0005-0000-0000-0000BD1F0000}"/>
    <cellStyle name="Normal 9 3 2 2 2 6 2" xfId="6959" xr:uid="{00000000-0005-0000-0000-0000BE1F0000}"/>
    <cellStyle name="Normal 9 3 2 2 2 6 2 2" xfId="24732" xr:uid="{A17FD25D-91D5-4604-92A8-FD5005286096}"/>
    <cellStyle name="Normal 9 3 2 2 2 6 2 2 2" xfId="41626" xr:uid="{E7B97A9C-21D5-4699-A202-793279142575}"/>
    <cellStyle name="Normal 9 3 2 2 2 6 2 3" xfId="16285" xr:uid="{94DB54CF-9106-44F3-BB33-1185E6A64C41}"/>
    <cellStyle name="Normal 9 3 2 2 2 6 2 4" xfId="33179" xr:uid="{972D2EA7-F5D3-4AC8-BE91-6193E313D380}"/>
    <cellStyle name="Normal 9 3 2 2 2 6 3" xfId="20515" xr:uid="{2D66BF0B-CD40-4692-9F51-DDE13DE79D90}"/>
    <cellStyle name="Normal 9 3 2 2 2 6 3 2" xfId="37409" xr:uid="{E0E05821-4637-4253-8CE8-A435964AE003}"/>
    <cellStyle name="Normal 9 3 2 2 2 6 4" xfId="12068" xr:uid="{3E15D63A-9F74-47A8-BFDB-B68B7FD291AE}"/>
    <cellStyle name="Normal 9 3 2 2 2 6 5" xfId="28962" xr:uid="{339BE77A-D183-49C0-9663-9E0C87E069EF}"/>
    <cellStyle name="Normal 9 3 2 2 2 7" xfId="4894" xr:uid="{00000000-0005-0000-0000-0000BF1F0000}"/>
    <cellStyle name="Normal 9 3 2 2 2 7 2" xfId="22667" xr:uid="{7EA0E754-8E25-4B3E-B56F-1E3AD16A67B3}"/>
    <cellStyle name="Normal 9 3 2 2 2 7 2 2" xfId="39561" xr:uid="{F4B8B1C0-C0E4-482D-8074-22798D8782E4}"/>
    <cellStyle name="Normal 9 3 2 2 2 7 3" xfId="14220" xr:uid="{CA4B9916-2361-408E-80E8-7B0981AFE8CB}"/>
    <cellStyle name="Normal 9 3 2 2 2 7 4" xfId="31114" xr:uid="{E567E4A4-01CC-4238-9C8A-F2FCA080B865}"/>
    <cellStyle name="Normal 9 3 2 2 2 8" xfId="9150" xr:uid="{F54F74BE-A583-4C94-A198-8E0D27AD7F4F}"/>
    <cellStyle name="Normal 9 3 2 2 2 8 2" xfId="18450" xr:uid="{D5B0521D-C73F-4128-B9B3-02571F40A91C}"/>
    <cellStyle name="Normal 9 3 2 2 2 8 3" xfId="35344" xr:uid="{8EB9E32A-255C-4A4E-94DD-3F479BF499EF}"/>
    <cellStyle name="Normal 9 3 2 2 2 9" xfId="10003" xr:uid="{C716C188-530A-43AF-9E46-E57353BC82FD}"/>
    <cellStyle name="Normal 9 3 2 2 3" xfId="996" xr:uid="{00000000-0005-0000-0000-0000C01F0000}"/>
    <cellStyle name="Normal 9 3 2 2 3 2" xfId="3229" xr:uid="{00000000-0005-0000-0000-0000C11F0000}"/>
    <cellStyle name="Normal 9 3 2 2 3 2 2" xfId="7451" xr:uid="{00000000-0005-0000-0000-0000C21F0000}"/>
    <cellStyle name="Normal 9 3 2 2 3 2 2 2" xfId="25224" xr:uid="{B39D083D-8F09-46B3-A6AB-B2F93C0D4FA0}"/>
    <cellStyle name="Normal 9 3 2 2 3 2 2 2 2" xfId="42118" xr:uid="{C0BA298F-CB57-4277-9D63-B6186DE1BCB8}"/>
    <cellStyle name="Normal 9 3 2 2 3 2 2 3" xfId="16777" xr:uid="{127FC8D8-597C-4970-BA1C-C4023417D2B4}"/>
    <cellStyle name="Normal 9 3 2 2 3 2 2 4" xfId="33671" xr:uid="{B0F98BBF-DC0E-4D84-96CB-DB014CE6BA9D}"/>
    <cellStyle name="Normal 9 3 2 2 3 2 3" xfId="21007" xr:uid="{6A8C241E-38DD-4CB5-A6F1-19B9D2A9EEBA}"/>
    <cellStyle name="Normal 9 3 2 2 3 2 3 2" xfId="37901" xr:uid="{259EF01B-77A8-4C42-AC79-4C86219A1298}"/>
    <cellStyle name="Normal 9 3 2 2 3 2 4" xfId="12560" xr:uid="{37732A12-7E33-4495-B2EA-3158565F1341}"/>
    <cellStyle name="Normal 9 3 2 2 3 2 5" xfId="29454" xr:uid="{165515E6-2A36-45C5-9B64-63BE0E976B15}"/>
    <cellStyle name="Normal 9 3 2 2 3 3" xfId="5306" xr:uid="{00000000-0005-0000-0000-0000C31F0000}"/>
    <cellStyle name="Normal 9 3 2 2 3 3 2" xfId="23079" xr:uid="{B2816DB6-ACE7-42C8-A493-1084F58D41B3}"/>
    <cellStyle name="Normal 9 3 2 2 3 3 2 2" xfId="39973" xr:uid="{093F8CAC-3BB9-4A8F-9869-0AE2F4E8D1A4}"/>
    <cellStyle name="Normal 9 3 2 2 3 3 3" xfId="14632" xr:uid="{6E33E3D2-BE24-43A6-B960-D7FA40DF91CB}"/>
    <cellStyle name="Normal 9 3 2 2 3 3 4" xfId="31526" xr:uid="{30674286-98C2-402A-A336-574494378775}"/>
    <cellStyle name="Normal 9 3 2 2 3 4" xfId="9368" xr:uid="{B3189122-1774-442D-BD5B-8DA329618536}"/>
    <cellStyle name="Normal 9 3 2 2 3 4 2" xfId="18862" xr:uid="{530DAF81-D4A8-4524-941A-865171C2DAE1}"/>
    <cellStyle name="Normal 9 3 2 2 3 4 3" xfId="35756" xr:uid="{5C9A8C9C-2929-4B10-8F39-8969C4FB483F}"/>
    <cellStyle name="Normal 9 3 2 2 3 5" xfId="10415" xr:uid="{330F9F9A-3D6D-4F6C-952F-63ADCF9A42C1}"/>
    <cellStyle name="Normal 9 3 2 2 3 6" xfId="27309" xr:uid="{AB9E304E-0100-4A63-ACEE-F58A453F659C}"/>
    <cellStyle name="Normal 9 3 2 2 4" xfId="1412" xr:uid="{00000000-0005-0000-0000-0000C41F0000}"/>
    <cellStyle name="Normal 9 3 2 2 4 2" xfId="3642" xr:uid="{00000000-0005-0000-0000-0000C51F0000}"/>
    <cellStyle name="Normal 9 3 2 2 4 2 2" xfId="7864" xr:uid="{00000000-0005-0000-0000-0000C61F0000}"/>
    <cellStyle name="Normal 9 3 2 2 4 2 2 2" xfId="25637" xr:uid="{F898BA31-120B-40E0-B313-412B92DFA1BD}"/>
    <cellStyle name="Normal 9 3 2 2 4 2 2 2 2" xfId="42531" xr:uid="{81983C88-B151-4997-A97D-1E7217BC1FEF}"/>
    <cellStyle name="Normal 9 3 2 2 4 2 2 3" xfId="17190" xr:uid="{58E119CA-98EF-4455-AA9F-96E07B32DB22}"/>
    <cellStyle name="Normal 9 3 2 2 4 2 2 4" xfId="34084" xr:uid="{76DA587E-11A2-4030-B113-DA5AFC9E99ED}"/>
    <cellStyle name="Normal 9 3 2 2 4 2 3" xfId="21420" xr:uid="{D782A359-87FC-41E8-8D04-3F2B072A374D}"/>
    <cellStyle name="Normal 9 3 2 2 4 2 3 2" xfId="38314" xr:uid="{FB5A3493-D012-4601-BEAC-B10188D2096C}"/>
    <cellStyle name="Normal 9 3 2 2 4 2 4" xfId="12973" xr:uid="{2742945A-961D-4F35-95B4-C2396F9AB93F}"/>
    <cellStyle name="Normal 9 3 2 2 4 2 5" xfId="29867" xr:uid="{81B00AC3-91DA-4601-9946-2C88BC9C992E}"/>
    <cellStyle name="Normal 9 3 2 2 4 3" xfId="5719" xr:uid="{00000000-0005-0000-0000-0000C71F0000}"/>
    <cellStyle name="Normal 9 3 2 2 4 3 2" xfId="23492" xr:uid="{EB9AFCD7-1C64-4D66-9F19-40410EB5876F}"/>
    <cellStyle name="Normal 9 3 2 2 4 3 2 2" xfId="40386" xr:uid="{641FE234-9BBE-489D-996C-BBFDE637E8B0}"/>
    <cellStyle name="Normal 9 3 2 2 4 3 3" xfId="15045" xr:uid="{C17C6963-C215-4A08-8FD1-4C0F5D341D4E}"/>
    <cellStyle name="Normal 9 3 2 2 4 3 4" xfId="31939" xr:uid="{B925D4A0-FF60-4604-891B-66767CAA1AC5}"/>
    <cellStyle name="Normal 9 3 2 2 4 4" xfId="19275" xr:uid="{AB37D9F6-3D92-4590-B0B8-6B5CBEF7F141}"/>
    <cellStyle name="Normal 9 3 2 2 4 4 2" xfId="36169" xr:uid="{A69D2DF1-598D-4941-A9CD-52A8EC6510D3}"/>
    <cellStyle name="Normal 9 3 2 2 4 5" xfId="10828" xr:uid="{9CCAEBF0-E719-49A4-86F8-D80CBA5B4EFE}"/>
    <cellStyle name="Normal 9 3 2 2 4 6" xfId="27722" xr:uid="{57643B14-94CE-4ABC-9395-9EE591AA9A65}"/>
    <cellStyle name="Normal 9 3 2 2 5" xfId="1825" xr:uid="{00000000-0005-0000-0000-0000C81F0000}"/>
    <cellStyle name="Normal 9 3 2 2 5 2" xfId="4055" xr:uid="{00000000-0005-0000-0000-0000C91F0000}"/>
    <cellStyle name="Normal 9 3 2 2 5 2 2" xfId="8277" xr:uid="{00000000-0005-0000-0000-0000CA1F0000}"/>
    <cellStyle name="Normal 9 3 2 2 5 2 2 2" xfId="26050" xr:uid="{F422CA1A-EF99-4653-A41B-4781230DDA73}"/>
    <cellStyle name="Normal 9 3 2 2 5 2 2 2 2" xfId="42944" xr:uid="{546CBAE0-E402-4D38-A324-FC121A5BF3EC}"/>
    <cellStyle name="Normal 9 3 2 2 5 2 2 3" xfId="17603" xr:uid="{77DCC5C9-0556-4B67-9722-78FBCE69748E}"/>
    <cellStyle name="Normal 9 3 2 2 5 2 2 4" xfId="34497" xr:uid="{C23E272F-FCA4-4401-A4EE-3233DAC0CD3E}"/>
    <cellStyle name="Normal 9 3 2 2 5 2 3" xfId="21833" xr:uid="{EFEF93B5-E849-4801-9A50-E727F456258D}"/>
    <cellStyle name="Normal 9 3 2 2 5 2 3 2" xfId="38727" xr:uid="{AE4488C5-A030-45E1-B0FB-83CEE119EF23}"/>
    <cellStyle name="Normal 9 3 2 2 5 2 4" xfId="13386" xr:uid="{E46F7E19-D73B-45BA-93E3-22183850EE25}"/>
    <cellStyle name="Normal 9 3 2 2 5 2 5" xfId="30280" xr:uid="{A466EF12-EDFF-47EA-BD26-6E3E2C37D61D}"/>
    <cellStyle name="Normal 9 3 2 2 5 3" xfId="6132" xr:uid="{00000000-0005-0000-0000-0000CB1F0000}"/>
    <cellStyle name="Normal 9 3 2 2 5 3 2" xfId="23905" xr:uid="{F11F413F-53FD-4048-ABA7-3AA0A1FD98F1}"/>
    <cellStyle name="Normal 9 3 2 2 5 3 2 2" xfId="40799" xr:uid="{CDD69C17-92E0-4D59-A320-60B7B79D50FC}"/>
    <cellStyle name="Normal 9 3 2 2 5 3 3" xfId="15458" xr:uid="{26394BFB-DBBD-425F-B72F-490B1AD8E59E}"/>
    <cellStyle name="Normal 9 3 2 2 5 3 4" xfId="32352" xr:uid="{D7A49AF8-3B13-4AE7-A853-06F3AA32D147}"/>
    <cellStyle name="Normal 9 3 2 2 5 4" xfId="19688" xr:uid="{99B79C74-0E38-4751-A0A8-0C3E185462D1}"/>
    <cellStyle name="Normal 9 3 2 2 5 4 2" xfId="36582" xr:uid="{1F61C057-5A4E-4C3D-9369-FFD9E6CD8923}"/>
    <cellStyle name="Normal 9 3 2 2 5 5" xfId="11241" xr:uid="{77EE21CA-248B-4935-8C3A-9279ED730C86}"/>
    <cellStyle name="Normal 9 3 2 2 5 6" xfId="28135" xr:uid="{EA806EA1-08FB-4E6E-8BD6-5FF82A08C214}"/>
    <cellStyle name="Normal 9 3 2 2 6" xfId="2239" xr:uid="{00000000-0005-0000-0000-0000CC1F0000}"/>
    <cellStyle name="Normal 9 3 2 2 6 2" xfId="4468" xr:uid="{00000000-0005-0000-0000-0000CD1F0000}"/>
    <cellStyle name="Normal 9 3 2 2 6 2 2" xfId="8690" xr:uid="{00000000-0005-0000-0000-0000CE1F0000}"/>
    <cellStyle name="Normal 9 3 2 2 6 2 2 2" xfId="26463" xr:uid="{D9E0BBB4-795C-4129-9562-5BC6E0D5E82C}"/>
    <cellStyle name="Normal 9 3 2 2 6 2 2 2 2" xfId="43357" xr:uid="{FE923F70-E4C5-4049-9023-599D60F250F2}"/>
    <cellStyle name="Normal 9 3 2 2 6 2 2 3" xfId="18016" xr:uid="{DD05EDF6-D2E8-416A-9595-031E65EF35AA}"/>
    <cellStyle name="Normal 9 3 2 2 6 2 2 4" xfId="34910" xr:uid="{D5A4245E-89C6-4AFE-948C-5EB55B2EABC1}"/>
    <cellStyle name="Normal 9 3 2 2 6 2 3" xfId="22246" xr:uid="{E546D740-6A89-4C85-8E37-E2EBDED67148}"/>
    <cellStyle name="Normal 9 3 2 2 6 2 3 2" xfId="39140" xr:uid="{185F6093-E9C4-4DF0-8D11-17278056479E}"/>
    <cellStyle name="Normal 9 3 2 2 6 2 4" xfId="13799" xr:uid="{85EBAEA6-4810-4908-A7D1-0E733AEC5CF3}"/>
    <cellStyle name="Normal 9 3 2 2 6 2 5" xfId="30693" xr:uid="{91880DA5-B1CE-4B5E-9FE3-C02B3EE55C31}"/>
    <cellStyle name="Normal 9 3 2 2 6 3" xfId="6545" xr:uid="{00000000-0005-0000-0000-0000CF1F0000}"/>
    <cellStyle name="Normal 9 3 2 2 6 3 2" xfId="24318" xr:uid="{4D3F089A-2F83-4298-992C-1AE3D4E5E8AA}"/>
    <cellStyle name="Normal 9 3 2 2 6 3 2 2" xfId="41212" xr:uid="{4631C545-2B11-4ED2-A7CE-0D05C193C4F1}"/>
    <cellStyle name="Normal 9 3 2 2 6 3 3" xfId="15871" xr:uid="{FAA2DCAA-8230-446A-B569-B972353540AB}"/>
    <cellStyle name="Normal 9 3 2 2 6 3 4" xfId="32765" xr:uid="{8E811E77-1E2C-4C51-8018-F295099520C1}"/>
    <cellStyle name="Normal 9 3 2 2 6 4" xfId="20101" xr:uid="{2C445677-6B04-4DA7-AB77-A20EC4BF7CD4}"/>
    <cellStyle name="Normal 9 3 2 2 6 4 2" xfId="36995" xr:uid="{F95F24B4-95B2-4FD4-A419-B4A36D886184}"/>
    <cellStyle name="Normal 9 3 2 2 6 5" xfId="11654" xr:uid="{1BB1A7D9-032D-4C1B-A29B-360BDBB8E728}"/>
    <cellStyle name="Normal 9 3 2 2 6 6" xfId="28548" xr:uid="{0128DEBF-7400-4B64-B2C6-6FD2A7EE2933}"/>
    <cellStyle name="Normal 9 3 2 2 7" xfId="2675" xr:uid="{00000000-0005-0000-0000-0000D01F0000}"/>
    <cellStyle name="Normal 9 3 2 2 7 2" xfId="6958" xr:uid="{00000000-0005-0000-0000-0000D11F0000}"/>
    <cellStyle name="Normal 9 3 2 2 7 2 2" xfId="24731" xr:uid="{3C995D96-7F7F-4DF3-8D0D-BA627A1E49E4}"/>
    <cellStyle name="Normal 9 3 2 2 7 2 2 2" xfId="41625" xr:uid="{7E68ECB3-3D5F-4EF0-8F7D-E189CAA52BDB}"/>
    <cellStyle name="Normal 9 3 2 2 7 2 3" xfId="16284" xr:uid="{F7F59207-0C9F-445A-B49E-81C515C74228}"/>
    <cellStyle name="Normal 9 3 2 2 7 2 4" xfId="33178" xr:uid="{2D437273-D7EB-42D6-9566-F992C09A1244}"/>
    <cellStyle name="Normal 9 3 2 2 7 3" xfId="20514" xr:uid="{6F3D153E-8D8B-4DDF-9A92-59C120B11C2D}"/>
    <cellStyle name="Normal 9 3 2 2 7 3 2" xfId="37408" xr:uid="{12E289E0-7C27-44CF-B81D-1346A3B7823F}"/>
    <cellStyle name="Normal 9 3 2 2 7 4" xfId="12067" xr:uid="{97758565-DF81-4D8F-B3E1-B81CC0631ADD}"/>
    <cellStyle name="Normal 9 3 2 2 7 5" xfId="28961" xr:uid="{69BBB3D6-91FF-49CC-9F5D-0626A1E6BBD6}"/>
    <cellStyle name="Normal 9 3 2 2 8" xfId="4893" xr:uid="{00000000-0005-0000-0000-0000D21F0000}"/>
    <cellStyle name="Normal 9 3 2 2 8 2" xfId="22666" xr:uid="{379E8787-0441-4057-934D-787B6088CEC2}"/>
    <cellStyle name="Normal 9 3 2 2 8 2 2" xfId="39560" xr:uid="{A088655E-DC6B-41B7-8307-636E1A106E7D}"/>
    <cellStyle name="Normal 9 3 2 2 8 3" xfId="14219" xr:uid="{C8B995CE-E8CF-4049-9375-0B3AB17A1C46}"/>
    <cellStyle name="Normal 9 3 2 2 8 4" xfId="31113" xr:uid="{6D142774-AC17-4EC4-BB6F-4308F7BF76A9}"/>
    <cellStyle name="Normal 9 3 2 2 9" xfId="8943" xr:uid="{1E59706A-169E-45B8-A6E4-1A0514B9DDBD}"/>
    <cellStyle name="Normal 9 3 2 2 9 2" xfId="18449" xr:uid="{C6224F88-6F57-4FCE-AAE7-D657C06EA52F}"/>
    <cellStyle name="Normal 9 3 2 2 9 3" xfId="35343" xr:uid="{A003D6A2-6C89-4B80-8013-11FB36B5C11E}"/>
    <cellStyle name="Normal 9 3 2 3" xfId="531" xr:uid="{00000000-0005-0000-0000-0000D31F0000}"/>
    <cellStyle name="Normal 9 3 2 3 10" xfId="26898" xr:uid="{F8EA99FD-D86D-4288-89EC-6CC2BA2FAAB4}"/>
    <cellStyle name="Normal 9 3 2 3 2" xfId="998" xr:uid="{00000000-0005-0000-0000-0000D41F0000}"/>
    <cellStyle name="Normal 9 3 2 3 2 2" xfId="3231" xr:uid="{00000000-0005-0000-0000-0000D51F0000}"/>
    <cellStyle name="Normal 9 3 2 3 2 2 2" xfId="7453" xr:uid="{00000000-0005-0000-0000-0000D61F0000}"/>
    <cellStyle name="Normal 9 3 2 3 2 2 2 2" xfId="25226" xr:uid="{7A9D8BDB-F06F-4F0D-BE61-E91507025DD2}"/>
    <cellStyle name="Normal 9 3 2 3 2 2 2 2 2" xfId="42120" xr:uid="{36A25342-83B3-40D4-932B-1B554625E152}"/>
    <cellStyle name="Normal 9 3 2 3 2 2 2 3" xfId="16779" xr:uid="{9AF2B76A-5413-49D3-BE25-CC0D04E5F68D}"/>
    <cellStyle name="Normal 9 3 2 3 2 2 2 4" xfId="33673" xr:uid="{F02AB8AC-3806-4205-98E8-815C870BA68F}"/>
    <cellStyle name="Normal 9 3 2 3 2 2 3" xfId="21009" xr:uid="{D55165E6-15E4-490C-867E-C4825FDFB568}"/>
    <cellStyle name="Normal 9 3 2 3 2 2 3 2" xfId="37903" xr:uid="{8B87B8F5-714E-4E1B-BEE5-E24C3B379D23}"/>
    <cellStyle name="Normal 9 3 2 3 2 2 4" xfId="12562" xr:uid="{720DDD34-7381-49DF-965F-FBD71EC384F2}"/>
    <cellStyle name="Normal 9 3 2 3 2 2 5" xfId="29456" xr:uid="{8F483250-DF8B-43BB-BC6B-E2FB5D0FDC15}"/>
    <cellStyle name="Normal 9 3 2 3 2 3" xfId="5308" xr:uid="{00000000-0005-0000-0000-0000D71F0000}"/>
    <cellStyle name="Normal 9 3 2 3 2 3 2" xfId="23081" xr:uid="{8881748A-8DC8-42D7-8ADC-0AA2BF8C174B}"/>
    <cellStyle name="Normal 9 3 2 3 2 3 2 2" xfId="39975" xr:uid="{5996CD0F-AE32-4672-AC9D-58CBF0974566}"/>
    <cellStyle name="Normal 9 3 2 3 2 3 3" xfId="14634" xr:uid="{9272DB34-678B-495D-9183-2D42DA9099BF}"/>
    <cellStyle name="Normal 9 3 2 3 2 3 4" xfId="31528" xr:uid="{6D180A7B-3C91-49C1-88BA-EC9058E999DF}"/>
    <cellStyle name="Normal 9 3 2 3 2 4" xfId="9472" xr:uid="{427A8E71-9BC4-47C0-A855-6886AF96C97E}"/>
    <cellStyle name="Normal 9 3 2 3 2 4 2" xfId="18864" xr:uid="{55C29941-20CD-4E0E-9539-5CC8988E93BC}"/>
    <cellStyle name="Normal 9 3 2 3 2 4 3" xfId="35758" xr:uid="{258FCB6D-2E29-4037-9D87-5CB21E496B9C}"/>
    <cellStyle name="Normal 9 3 2 3 2 5" xfId="10417" xr:uid="{C81FD631-E1D1-44A4-A685-15B6FB3914AE}"/>
    <cellStyle name="Normal 9 3 2 3 2 6" xfId="27311" xr:uid="{576EC8BA-A4F2-478F-BA5E-898CA43C80AD}"/>
    <cellStyle name="Normal 9 3 2 3 3" xfId="1414" xr:uid="{00000000-0005-0000-0000-0000D81F0000}"/>
    <cellStyle name="Normal 9 3 2 3 3 2" xfId="3644" xr:uid="{00000000-0005-0000-0000-0000D91F0000}"/>
    <cellStyle name="Normal 9 3 2 3 3 2 2" xfId="7866" xr:uid="{00000000-0005-0000-0000-0000DA1F0000}"/>
    <cellStyle name="Normal 9 3 2 3 3 2 2 2" xfId="25639" xr:uid="{D96AF5A4-CBC1-4DCA-98DA-AAF18133C1B7}"/>
    <cellStyle name="Normal 9 3 2 3 3 2 2 2 2" xfId="42533" xr:uid="{71FFD7C9-F044-4965-9D8F-9140E663E4AC}"/>
    <cellStyle name="Normal 9 3 2 3 3 2 2 3" xfId="17192" xr:uid="{48C9227F-5791-477F-B3BE-2B7F72C2135D}"/>
    <cellStyle name="Normal 9 3 2 3 3 2 2 4" xfId="34086" xr:uid="{6347EB20-FDA5-4137-A15C-2BC6F5224530}"/>
    <cellStyle name="Normal 9 3 2 3 3 2 3" xfId="21422" xr:uid="{5BAA6F41-FB89-48DE-9AE4-DD3FB8D4553C}"/>
    <cellStyle name="Normal 9 3 2 3 3 2 3 2" xfId="38316" xr:uid="{06C6CD7F-F780-418E-AE50-57BBA4B63138}"/>
    <cellStyle name="Normal 9 3 2 3 3 2 4" xfId="12975" xr:uid="{7E962818-9FA8-446D-A208-EC1232268B27}"/>
    <cellStyle name="Normal 9 3 2 3 3 2 5" xfId="29869" xr:uid="{940C8ECC-EADF-4013-9338-3549A1412676}"/>
    <cellStyle name="Normal 9 3 2 3 3 3" xfId="5721" xr:uid="{00000000-0005-0000-0000-0000DB1F0000}"/>
    <cellStyle name="Normal 9 3 2 3 3 3 2" xfId="23494" xr:uid="{7F023ECF-D2BE-428A-A6EE-0AE6CC2736DA}"/>
    <cellStyle name="Normal 9 3 2 3 3 3 2 2" xfId="40388" xr:uid="{133C96AB-4C8D-4F83-9B93-076B8EAF2465}"/>
    <cellStyle name="Normal 9 3 2 3 3 3 3" xfId="15047" xr:uid="{4A6A9BC2-E0A8-4DFF-9046-2730D0995484}"/>
    <cellStyle name="Normal 9 3 2 3 3 3 4" xfId="31941" xr:uid="{78D02316-6DB9-4EFC-9466-86B8E51E0011}"/>
    <cellStyle name="Normal 9 3 2 3 3 4" xfId="19277" xr:uid="{C0257605-AC97-4436-B36A-D6FF04F14019}"/>
    <cellStyle name="Normal 9 3 2 3 3 4 2" xfId="36171" xr:uid="{9F0C4B32-3782-490E-8FE2-2C036FDE8995}"/>
    <cellStyle name="Normal 9 3 2 3 3 5" xfId="10830" xr:uid="{5ABC53F6-2AA1-4130-B873-A1207A45CE42}"/>
    <cellStyle name="Normal 9 3 2 3 3 6" xfId="27724" xr:uid="{04DCF32C-BCAE-448A-9721-105AAE70F080}"/>
    <cellStyle name="Normal 9 3 2 3 4" xfId="1827" xr:uid="{00000000-0005-0000-0000-0000DC1F0000}"/>
    <cellStyle name="Normal 9 3 2 3 4 2" xfId="4057" xr:uid="{00000000-0005-0000-0000-0000DD1F0000}"/>
    <cellStyle name="Normal 9 3 2 3 4 2 2" xfId="8279" xr:uid="{00000000-0005-0000-0000-0000DE1F0000}"/>
    <cellStyle name="Normal 9 3 2 3 4 2 2 2" xfId="26052" xr:uid="{25FAE006-B44A-4BA1-8031-B301C3CD06F6}"/>
    <cellStyle name="Normal 9 3 2 3 4 2 2 2 2" xfId="42946" xr:uid="{714860B9-5D36-4139-B8F5-8957716DF598}"/>
    <cellStyle name="Normal 9 3 2 3 4 2 2 3" xfId="17605" xr:uid="{5B600031-896D-49F7-A63D-882061ECD8A4}"/>
    <cellStyle name="Normal 9 3 2 3 4 2 2 4" xfId="34499" xr:uid="{66CE2A9B-8955-4105-9C6A-A0D7EAB7B013}"/>
    <cellStyle name="Normal 9 3 2 3 4 2 3" xfId="21835" xr:uid="{41E84883-70F3-4946-A154-DBC1E3204EEE}"/>
    <cellStyle name="Normal 9 3 2 3 4 2 3 2" xfId="38729" xr:uid="{AE47D602-4AD8-4CCB-8706-75C58E7122C6}"/>
    <cellStyle name="Normal 9 3 2 3 4 2 4" xfId="13388" xr:uid="{BBC29E48-4FDB-4F6D-B8D9-45C2846A8876}"/>
    <cellStyle name="Normal 9 3 2 3 4 2 5" xfId="30282" xr:uid="{941D815C-9255-4250-BEFD-54662297BFB7}"/>
    <cellStyle name="Normal 9 3 2 3 4 3" xfId="6134" xr:uid="{00000000-0005-0000-0000-0000DF1F0000}"/>
    <cellStyle name="Normal 9 3 2 3 4 3 2" xfId="23907" xr:uid="{F028D017-28B3-4376-89DA-87F73EC0E230}"/>
    <cellStyle name="Normal 9 3 2 3 4 3 2 2" xfId="40801" xr:uid="{3847834E-D10F-4B27-B4D7-6F2259C45688}"/>
    <cellStyle name="Normal 9 3 2 3 4 3 3" xfId="15460" xr:uid="{094B19CE-96D7-4A30-91CF-BC04E96FEEDF}"/>
    <cellStyle name="Normal 9 3 2 3 4 3 4" xfId="32354" xr:uid="{F486D1AD-184E-42AF-B3C4-FBE399EDA6CD}"/>
    <cellStyle name="Normal 9 3 2 3 4 4" xfId="19690" xr:uid="{263AC42A-24B7-48B8-97E6-B7B23CF2DB44}"/>
    <cellStyle name="Normal 9 3 2 3 4 4 2" xfId="36584" xr:uid="{646867EF-9BF8-405A-9CE6-4C3A44B8A4EF}"/>
    <cellStyle name="Normal 9 3 2 3 4 5" xfId="11243" xr:uid="{DF7C4A52-28D9-40BB-8BE5-B9F7B6D338E5}"/>
    <cellStyle name="Normal 9 3 2 3 4 6" xfId="28137" xr:uid="{7EBAF46A-A017-4279-A0B2-0FCDF439A221}"/>
    <cellStyle name="Normal 9 3 2 3 5" xfId="2241" xr:uid="{00000000-0005-0000-0000-0000E01F0000}"/>
    <cellStyle name="Normal 9 3 2 3 5 2" xfId="4470" xr:uid="{00000000-0005-0000-0000-0000E11F0000}"/>
    <cellStyle name="Normal 9 3 2 3 5 2 2" xfId="8692" xr:uid="{00000000-0005-0000-0000-0000E21F0000}"/>
    <cellStyle name="Normal 9 3 2 3 5 2 2 2" xfId="26465" xr:uid="{3CE9A1E3-379A-433A-A570-C270C18119FC}"/>
    <cellStyle name="Normal 9 3 2 3 5 2 2 2 2" xfId="43359" xr:uid="{FE3C4606-F4F4-4254-B133-97E4381717B3}"/>
    <cellStyle name="Normal 9 3 2 3 5 2 2 3" xfId="18018" xr:uid="{E04DB29C-BB8F-4028-9975-BDCCA25AC4AC}"/>
    <cellStyle name="Normal 9 3 2 3 5 2 2 4" xfId="34912" xr:uid="{8C106168-2AC1-4A7A-AEEC-5413B23EE8A3}"/>
    <cellStyle name="Normal 9 3 2 3 5 2 3" xfId="22248" xr:uid="{2E443F98-CD2F-42E7-8BFC-8F3DFDE60629}"/>
    <cellStyle name="Normal 9 3 2 3 5 2 3 2" xfId="39142" xr:uid="{6F965FF2-C8D0-43D4-B8D1-6D73D045FBEE}"/>
    <cellStyle name="Normal 9 3 2 3 5 2 4" xfId="13801" xr:uid="{938EAC00-356C-4F5B-95AC-3E2AD281624B}"/>
    <cellStyle name="Normal 9 3 2 3 5 2 5" xfId="30695" xr:uid="{576054B5-EBDB-4FB7-805C-91D4C7DAF812}"/>
    <cellStyle name="Normal 9 3 2 3 5 3" xfId="6547" xr:uid="{00000000-0005-0000-0000-0000E31F0000}"/>
    <cellStyle name="Normal 9 3 2 3 5 3 2" xfId="24320" xr:uid="{58912678-8A79-4E1B-85D8-13EE5D6191A3}"/>
    <cellStyle name="Normal 9 3 2 3 5 3 2 2" xfId="41214" xr:uid="{A207EE77-6751-45D8-B397-95AFFEC45487}"/>
    <cellStyle name="Normal 9 3 2 3 5 3 3" xfId="15873" xr:uid="{2C99E388-F8B4-4782-8381-5B7D3966A75A}"/>
    <cellStyle name="Normal 9 3 2 3 5 3 4" xfId="32767" xr:uid="{26425DC7-4C1E-4100-9F96-D7F8E72DD8FB}"/>
    <cellStyle name="Normal 9 3 2 3 5 4" xfId="20103" xr:uid="{1D627A07-2E4F-4AF1-94DD-EB7F4210F993}"/>
    <cellStyle name="Normal 9 3 2 3 5 4 2" xfId="36997" xr:uid="{2FC48976-8613-4384-83F7-348668656440}"/>
    <cellStyle name="Normal 9 3 2 3 5 5" xfId="11656" xr:uid="{6CCBB96E-A3BA-4D2A-B733-9571DAC6DB2C}"/>
    <cellStyle name="Normal 9 3 2 3 5 6" xfId="28550" xr:uid="{6D1E643C-5C5F-4CEB-ABB8-AC0A5AD0B204}"/>
    <cellStyle name="Normal 9 3 2 3 6" xfId="2677" xr:uid="{00000000-0005-0000-0000-0000E41F0000}"/>
    <cellStyle name="Normal 9 3 2 3 6 2" xfId="6960" xr:uid="{00000000-0005-0000-0000-0000E51F0000}"/>
    <cellStyle name="Normal 9 3 2 3 6 2 2" xfId="24733" xr:uid="{4D01BD9B-90AA-4ABC-BC98-4183AC0BA2F4}"/>
    <cellStyle name="Normal 9 3 2 3 6 2 2 2" xfId="41627" xr:uid="{CF3B7E37-3158-495B-B63C-B48DF6EF512F}"/>
    <cellStyle name="Normal 9 3 2 3 6 2 3" xfId="16286" xr:uid="{0F39F82A-9153-42FA-A8CA-967C88DA0F60}"/>
    <cellStyle name="Normal 9 3 2 3 6 2 4" xfId="33180" xr:uid="{E940C8EA-D63D-4878-A664-E94EBAC996E6}"/>
    <cellStyle name="Normal 9 3 2 3 6 3" xfId="20516" xr:uid="{823019A1-8CAB-49C9-8B2D-8FE771BD3676}"/>
    <cellStyle name="Normal 9 3 2 3 6 3 2" xfId="37410" xr:uid="{5984A30D-91DA-4F71-9E20-6650FA3B2C16}"/>
    <cellStyle name="Normal 9 3 2 3 6 4" xfId="12069" xr:uid="{8E8B6E4E-DE73-4236-AC49-611D34BB1C81}"/>
    <cellStyle name="Normal 9 3 2 3 6 5" xfId="28963" xr:uid="{619261F3-66BE-4FA5-BA7C-C1866EB5829D}"/>
    <cellStyle name="Normal 9 3 2 3 7" xfId="4895" xr:uid="{00000000-0005-0000-0000-0000E61F0000}"/>
    <cellStyle name="Normal 9 3 2 3 7 2" xfId="22668" xr:uid="{86912DA2-91A0-4BF7-A594-04310875C282}"/>
    <cellStyle name="Normal 9 3 2 3 7 2 2" xfId="39562" xr:uid="{B42B686F-5392-406A-90DA-8B75417B120F}"/>
    <cellStyle name="Normal 9 3 2 3 7 3" xfId="14221" xr:uid="{1B6E9D28-C00E-4D60-971D-C2E64EA9145E}"/>
    <cellStyle name="Normal 9 3 2 3 7 4" xfId="31115" xr:uid="{4A77689E-5988-46B5-83FA-F69B98906D3F}"/>
    <cellStyle name="Normal 9 3 2 3 8" xfId="9047" xr:uid="{4CBBBE80-D24B-484D-910E-0072EA0E95DD}"/>
    <cellStyle name="Normal 9 3 2 3 8 2" xfId="18451" xr:uid="{74994EA4-B34A-402D-90FC-0391ED5029F0}"/>
    <cellStyle name="Normal 9 3 2 3 8 3" xfId="35345" xr:uid="{D2EE1BDB-96DB-4067-8AC6-1291D56C25C0}"/>
    <cellStyle name="Normal 9 3 2 3 9" xfId="10004" xr:uid="{7F07E4D0-EDB2-4C90-8766-3604808FB8D2}"/>
    <cellStyle name="Normal 9 3 2 4" xfId="995" xr:uid="{00000000-0005-0000-0000-0000E71F0000}"/>
    <cellStyle name="Normal 9 3 2 4 2" xfId="3228" xr:uid="{00000000-0005-0000-0000-0000E81F0000}"/>
    <cellStyle name="Normal 9 3 2 4 2 2" xfId="7450" xr:uid="{00000000-0005-0000-0000-0000E91F0000}"/>
    <cellStyle name="Normal 9 3 2 4 2 2 2" xfId="25223" xr:uid="{5BB6D9E1-0C6D-4450-A7F4-CE7B9FEF286F}"/>
    <cellStyle name="Normal 9 3 2 4 2 2 2 2" xfId="42117" xr:uid="{72230D52-68BF-49DD-8A93-B11FAE4623E8}"/>
    <cellStyle name="Normal 9 3 2 4 2 2 3" xfId="16776" xr:uid="{EA75D47C-4065-443D-B521-7C06B46145D9}"/>
    <cellStyle name="Normal 9 3 2 4 2 2 4" xfId="33670" xr:uid="{0E47C6F7-2574-4DA3-822A-54B5B9F564DB}"/>
    <cellStyle name="Normal 9 3 2 4 2 3" xfId="21006" xr:uid="{322EC450-4E54-43BB-A18B-33EAA30DBCD7}"/>
    <cellStyle name="Normal 9 3 2 4 2 3 2" xfId="37900" xr:uid="{FFD60CC1-EA73-4A53-9215-771AD6BC2AAF}"/>
    <cellStyle name="Normal 9 3 2 4 2 4" xfId="12559" xr:uid="{8E6EB711-F877-4FD9-AD46-050E0E0F44D9}"/>
    <cellStyle name="Normal 9 3 2 4 2 5" xfId="29453" xr:uid="{7C6EDDAD-D67F-4A8D-A35F-9CC320B5E64A}"/>
    <cellStyle name="Normal 9 3 2 4 3" xfId="5305" xr:uid="{00000000-0005-0000-0000-0000EA1F0000}"/>
    <cellStyle name="Normal 9 3 2 4 3 2" xfId="23078" xr:uid="{00A51F99-FF4C-49D8-B2AD-0342F68D692F}"/>
    <cellStyle name="Normal 9 3 2 4 3 2 2" xfId="39972" xr:uid="{1751654D-C276-4F0E-9CD7-DA4808F7F919}"/>
    <cellStyle name="Normal 9 3 2 4 3 3" xfId="14631" xr:uid="{CC72026C-F49A-4032-B22D-3127FA6FE09D}"/>
    <cellStyle name="Normal 9 3 2 4 3 4" xfId="31525" xr:uid="{48516C0E-1095-40AD-AF47-AE7985B14079}"/>
    <cellStyle name="Normal 9 3 2 4 4" xfId="9265" xr:uid="{BF00A9B8-67BA-48F6-8D48-0E4380D60577}"/>
    <cellStyle name="Normal 9 3 2 4 4 2" xfId="18861" xr:uid="{26901AF7-5BD1-4230-9000-5C0B89E33B71}"/>
    <cellStyle name="Normal 9 3 2 4 4 3" xfId="35755" xr:uid="{16673D29-B6A9-48F5-883E-D2FF453B5ED3}"/>
    <cellStyle name="Normal 9 3 2 4 5" xfId="10414" xr:uid="{8F6AE4E1-389A-40E1-B6AC-0F8375EF60E6}"/>
    <cellStyle name="Normal 9 3 2 4 6" xfId="27308" xr:uid="{600B4D2A-BAAF-42D1-9A31-6035D3CA2CE7}"/>
    <cellStyle name="Normal 9 3 2 5" xfId="1411" xr:uid="{00000000-0005-0000-0000-0000EB1F0000}"/>
    <cellStyle name="Normal 9 3 2 5 2" xfId="3641" xr:uid="{00000000-0005-0000-0000-0000EC1F0000}"/>
    <cellStyle name="Normal 9 3 2 5 2 2" xfId="7863" xr:uid="{00000000-0005-0000-0000-0000ED1F0000}"/>
    <cellStyle name="Normal 9 3 2 5 2 2 2" xfId="25636" xr:uid="{4FE1AB27-FC5B-4135-A221-22B39AC8BB78}"/>
    <cellStyle name="Normal 9 3 2 5 2 2 2 2" xfId="42530" xr:uid="{757E8C6E-5778-449D-A2B8-EA8B04CF7328}"/>
    <cellStyle name="Normal 9 3 2 5 2 2 3" xfId="17189" xr:uid="{785B280B-7D9A-438D-9D29-B31E30C6DAA0}"/>
    <cellStyle name="Normal 9 3 2 5 2 2 4" xfId="34083" xr:uid="{1743795C-4A67-4B0E-8B38-47F86FBBC8FF}"/>
    <cellStyle name="Normal 9 3 2 5 2 3" xfId="21419" xr:uid="{8A052E8D-B76B-4438-A028-0EB47D2155F8}"/>
    <cellStyle name="Normal 9 3 2 5 2 3 2" xfId="38313" xr:uid="{3B83E967-338D-421A-8AC2-8E72FD0A57C9}"/>
    <cellStyle name="Normal 9 3 2 5 2 4" xfId="12972" xr:uid="{4EC1D013-DD0B-415E-A913-AA9F4E5C79C4}"/>
    <cellStyle name="Normal 9 3 2 5 2 5" xfId="29866" xr:uid="{BAC15F26-A3C9-43FA-A298-86F75BEAB292}"/>
    <cellStyle name="Normal 9 3 2 5 3" xfId="5718" xr:uid="{00000000-0005-0000-0000-0000EE1F0000}"/>
    <cellStyle name="Normal 9 3 2 5 3 2" xfId="23491" xr:uid="{8022D4D2-C762-4B23-B2EA-F6E071F1E9C4}"/>
    <cellStyle name="Normal 9 3 2 5 3 2 2" xfId="40385" xr:uid="{02A7422A-B475-457C-A1B3-63074809B5CF}"/>
    <cellStyle name="Normal 9 3 2 5 3 3" xfId="15044" xr:uid="{90A8ED65-277F-485B-A385-5F41CA9A1C97}"/>
    <cellStyle name="Normal 9 3 2 5 3 4" xfId="31938" xr:uid="{7B9E4305-6E13-4BB8-9C72-58D842DE56F3}"/>
    <cellStyle name="Normal 9 3 2 5 4" xfId="19274" xr:uid="{7B2C0F3E-D9EE-46CD-864C-D082AEB5ED20}"/>
    <cellStyle name="Normal 9 3 2 5 4 2" xfId="36168" xr:uid="{F5C59ED9-054C-4B93-8D5D-4FE625D3F2A4}"/>
    <cellStyle name="Normal 9 3 2 5 5" xfId="10827" xr:uid="{22CCFEF4-55D1-4402-AEAD-D4B1E7DC54CA}"/>
    <cellStyle name="Normal 9 3 2 5 6" xfId="27721" xr:uid="{C5D10614-D07E-4812-8EDC-92571F50B9C2}"/>
    <cellStyle name="Normal 9 3 2 6" xfId="1824" xr:uid="{00000000-0005-0000-0000-0000EF1F0000}"/>
    <cellStyle name="Normal 9 3 2 6 2" xfId="4054" xr:uid="{00000000-0005-0000-0000-0000F01F0000}"/>
    <cellStyle name="Normal 9 3 2 6 2 2" xfId="8276" xr:uid="{00000000-0005-0000-0000-0000F11F0000}"/>
    <cellStyle name="Normal 9 3 2 6 2 2 2" xfId="26049" xr:uid="{ED94B700-267D-4994-8FBE-C7C846B9CD34}"/>
    <cellStyle name="Normal 9 3 2 6 2 2 2 2" xfId="42943" xr:uid="{6124355C-2AE8-4A93-9115-01B6F81A932C}"/>
    <cellStyle name="Normal 9 3 2 6 2 2 3" xfId="17602" xr:uid="{0A69F988-7701-420A-8625-30C13D3FD837}"/>
    <cellStyle name="Normal 9 3 2 6 2 2 4" xfId="34496" xr:uid="{7B937F0C-2562-42C2-9CB5-11F800E57FA0}"/>
    <cellStyle name="Normal 9 3 2 6 2 3" xfId="21832" xr:uid="{9A11F2B9-DB6C-4DF4-98F8-72C351E3E7EE}"/>
    <cellStyle name="Normal 9 3 2 6 2 3 2" xfId="38726" xr:uid="{988095B1-3655-49A4-BCC8-8989A1387AC9}"/>
    <cellStyle name="Normal 9 3 2 6 2 4" xfId="13385" xr:uid="{661A42B4-42DD-4ACD-BB25-4CBAFE086401}"/>
    <cellStyle name="Normal 9 3 2 6 2 5" xfId="30279" xr:uid="{61C0F381-3091-4A42-8748-369C5F7E021F}"/>
    <cellStyle name="Normal 9 3 2 6 3" xfId="6131" xr:uid="{00000000-0005-0000-0000-0000F21F0000}"/>
    <cellStyle name="Normal 9 3 2 6 3 2" xfId="23904" xr:uid="{E8972F42-092F-49D5-AB6B-8CA1566383D7}"/>
    <cellStyle name="Normal 9 3 2 6 3 2 2" xfId="40798" xr:uid="{1FD8CE3C-EF15-40EC-BE4F-1407BBBE252A}"/>
    <cellStyle name="Normal 9 3 2 6 3 3" xfId="15457" xr:uid="{B24635F9-A487-4A9A-889B-9C10FB6B0BE8}"/>
    <cellStyle name="Normal 9 3 2 6 3 4" xfId="32351" xr:uid="{6557B5C6-5586-4B41-AE3B-55DF2524A4F2}"/>
    <cellStyle name="Normal 9 3 2 6 4" xfId="19687" xr:uid="{8658172F-D425-44A0-BE57-D98D195B4608}"/>
    <cellStyle name="Normal 9 3 2 6 4 2" xfId="36581" xr:uid="{8BE7BE3E-FAA3-4FE1-A1EF-F87F4ACA45FA}"/>
    <cellStyle name="Normal 9 3 2 6 5" xfId="11240" xr:uid="{188D1F3F-C6EF-4CE5-AA53-3E2872F5773C}"/>
    <cellStyle name="Normal 9 3 2 6 6" xfId="28134" xr:uid="{B585180F-5F10-4D09-A3E5-8A901A78DCE4}"/>
    <cellStyle name="Normal 9 3 2 7" xfId="2238" xr:uid="{00000000-0005-0000-0000-0000F31F0000}"/>
    <cellStyle name="Normal 9 3 2 7 2" xfId="4467" xr:uid="{00000000-0005-0000-0000-0000F41F0000}"/>
    <cellStyle name="Normal 9 3 2 7 2 2" xfId="8689" xr:uid="{00000000-0005-0000-0000-0000F51F0000}"/>
    <cellStyle name="Normal 9 3 2 7 2 2 2" xfId="26462" xr:uid="{8C1CE3E1-8D53-4B78-985E-D9F52423952C}"/>
    <cellStyle name="Normal 9 3 2 7 2 2 2 2" xfId="43356" xr:uid="{70752389-3F6E-4C8A-9353-0CE4D367A7F0}"/>
    <cellStyle name="Normal 9 3 2 7 2 2 3" xfId="18015" xr:uid="{B6C5C523-FD70-47C9-8258-C980D43932DC}"/>
    <cellStyle name="Normal 9 3 2 7 2 2 4" xfId="34909" xr:uid="{212B0C29-7BC5-4235-B71C-DEBC6AADA3B5}"/>
    <cellStyle name="Normal 9 3 2 7 2 3" xfId="22245" xr:uid="{37A24793-7AA0-4960-A0BA-7F2207EAAC5C}"/>
    <cellStyle name="Normal 9 3 2 7 2 3 2" xfId="39139" xr:uid="{3ED326A9-E411-4437-8636-611A6E86C26F}"/>
    <cellStyle name="Normal 9 3 2 7 2 4" xfId="13798" xr:uid="{6D10497B-F465-4D16-86C6-6E8B9C990009}"/>
    <cellStyle name="Normal 9 3 2 7 2 5" xfId="30692" xr:uid="{4661F277-F565-4190-BD92-37B433A89A1A}"/>
    <cellStyle name="Normal 9 3 2 7 3" xfId="6544" xr:uid="{00000000-0005-0000-0000-0000F61F0000}"/>
    <cellStyle name="Normal 9 3 2 7 3 2" xfId="24317" xr:uid="{EAD42948-07D5-410C-821F-FE6DC666011F}"/>
    <cellStyle name="Normal 9 3 2 7 3 2 2" xfId="41211" xr:uid="{1183ED2F-AAF5-4862-AA9D-24452ED35465}"/>
    <cellStyle name="Normal 9 3 2 7 3 3" xfId="15870" xr:uid="{7D7EAAD8-CFCE-4BE3-AB31-5F4F50C8B560}"/>
    <cellStyle name="Normal 9 3 2 7 3 4" xfId="32764" xr:uid="{DF78E33E-31C5-4A32-A5FA-0AB33FB1788E}"/>
    <cellStyle name="Normal 9 3 2 7 4" xfId="20100" xr:uid="{9EA765CB-BC47-4ED8-A7F7-0AA2D0EE497F}"/>
    <cellStyle name="Normal 9 3 2 7 4 2" xfId="36994" xr:uid="{C48EA759-8F7B-4148-B19C-AFA6CDBB4FD1}"/>
    <cellStyle name="Normal 9 3 2 7 5" xfId="11653" xr:uid="{ED3559A2-1C35-41C8-B66C-2C68945726C8}"/>
    <cellStyle name="Normal 9 3 2 7 6" xfId="28547" xr:uid="{C42B58F7-1DD4-4DF0-97FC-008545F79E92}"/>
    <cellStyle name="Normal 9 3 2 8" xfId="2674" xr:uid="{00000000-0005-0000-0000-0000F71F0000}"/>
    <cellStyle name="Normal 9 3 2 8 2" xfId="6957" xr:uid="{00000000-0005-0000-0000-0000F81F0000}"/>
    <cellStyle name="Normal 9 3 2 8 2 2" xfId="24730" xr:uid="{6BD2DA7B-7EF4-4567-B826-F9A756A99846}"/>
    <cellStyle name="Normal 9 3 2 8 2 2 2" xfId="41624" xr:uid="{E1E8FD44-F4A2-4733-A597-05ED59D94D75}"/>
    <cellStyle name="Normal 9 3 2 8 2 3" xfId="16283" xr:uid="{CBC8AC9A-702F-4C5A-9019-6A86C73FB0BB}"/>
    <cellStyle name="Normal 9 3 2 8 2 4" xfId="33177" xr:uid="{60D2E214-0D90-4DDF-ADF6-9C687D31CBA1}"/>
    <cellStyle name="Normal 9 3 2 8 3" xfId="20513" xr:uid="{63875A1A-AB0D-43BB-AC80-CB7F8D94FD55}"/>
    <cellStyle name="Normal 9 3 2 8 3 2" xfId="37407" xr:uid="{F83DA86B-03B4-42CA-8872-E15414AFAB02}"/>
    <cellStyle name="Normal 9 3 2 8 4" xfId="12066" xr:uid="{64C1AF82-9AE6-43AC-ADE6-646A3A4B1987}"/>
    <cellStyle name="Normal 9 3 2 8 5" xfId="28960" xr:uid="{1B823BD9-0DEF-41FD-BFEA-16C971CFEE9A}"/>
    <cellStyle name="Normal 9 3 2 9" xfId="4892" xr:uid="{00000000-0005-0000-0000-0000F91F0000}"/>
    <cellStyle name="Normal 9 3 2 9 2" xfId="22665" xr:uid="{861C2901-D4D8-473A-89C7-B81F8159A498}"/>
    <cellStyle name="Normal 9 3 2 9 2 2" xfId="39559" xr:uid="{B0581684-FEDB-412A-AAAA-0E1C9386707E}"/>
    <cellStyle name="Normal 9 3 2 9 3" xfId="14218" xr:uid="{7589D3EC-FB1C-4A1A-AFAE-889F4A65AE1C}"/>
    <cellStyle name="Normal 9 3 2 9 4" xfId="31112" xr:uid="{526F341F-672F-4AD4-B0B9-6A03E5842916}"/>
    <cellStyle name="Normal 9 3 3" xfId="532" xr:uid="{00000000-0005-0000-0000-0000FA1F0000}"/>
    <cellStyle name="Normal 9 3 3 10" xfId="10005" xr:uid="{CC317968-0B07-4BE9-92B1-A9E3FAF1D689}"/>
    <cellStyle name="Normal 9 3 3 11" xfId="26899" xr:uid="{843526B0-AB74-4740-8F3A-E1E192E37A0D}"/>
    <cellStyle name="Normal 9 3 3 2" xfId="533" xr:uid="{00000000-0005-0000-0000-0000FB1F0000}"/>
    <cellStyle name="Normal 9 3 3 2 10" xfId="26900" xr:uid="{CA9B5E26-D378-4FB3-B399-868E4F7C3362}"/>
    <cellStyle name="Normal 9 3 3 2 2" xfId="1000" xr:uid="{00000000-0005-0000-0000-0000FC1F0000}"/>
    <cellStyle name="Normal 9 3 3 2 2 2" xfId="3233" xr:uid="{00000000-0005-0000-0000-0000FD1F0000}"/>
    <cellStyle name="Normal 9 3 3 2 2 2 2" xfId="7455" xr:uid="{00000000-0005-0000-0000-0000FE1F0000}"/>
    <cellStyle name="Normal 9 3 3 2 2 2 2 2" xfId="25228" xr:uid="{4884ABE8-228C-4192-9A1F-309227DD2A39}"/>
    <cellStyle name="Normal 9 3 3 2 2 2 2 2 2" xfId="42122" xr:uid="{337C4CED-1F33-4FA7-813B-336821662FBA}"/>
    <cellStyle name="Normal 9 3 3 2 2 2 2 3" xfId="16781" xr:uid="{4B6854CB-84B8-4682-B4CF-8243CAAADF34}"/>
    <cellStyle name="Normal 9 3 3 2 2 2 2 4" xfId="33675" xr:uid="{353AAA84-1F2A-47C8-8C94-191F07551B10}"/>
    <cellStyle name="Normal 9 3 3 2 2 2 3" xfId="21011" xr:uid="{42B7622B-2976-4FF5-BF20-CCB009657813}"/>
    <cellStyle name="Normal 9 3 3 2 2 2 3 2" xfId="37905" xr:uid="{EE9D6D89-46F5-4ED2-8A1E-E91F0691DDD5}"/>
    <cellStyle name="Normal 9 3 3 2 2 2 4" xfId="12564" xr:uid="{E69B1F45-CB64-47B6-AD19-CFA02D557AF0}"/>
    <cellStyle name="Normal 9 3 3 2 2 2 5" xfId="29458" xr:uid="{ADE74776-8355-421D-86F3-12D64CE76C46}"/>
    <cellStyle name="Normal 9 3 3 2 2 3" xfId="5310" xr:uid="{00000000-0005-0000-0000-0000FF1F0000}"/>
    <cellStyle name="Normal 9 3 3 2 2 3 2" xfId="23083" xr:uid="{B3EA4016-48A4-4C2E-A239-7DC6B9BC4CC8}"/>
    <cellStyle name="Normal 9 3 3 2 2 3 2 2" xfId="39977" xr:uid="{84A00B39-B745-4403-8A67-06F80703C95C}"/>
    <cellStyle name="Normal 9 3 3 2 2 3 3" xfId="14636" xr:uid="{C1653BED-6E94-4E90-A9B5-7FCEC30DFD02}"/>
    <cellStyle name="Normal 9 3 3 2 2 3 4" xfId="31530" xr:uid="{664238C9-6A37-43A1-B18E-FEF69C0330D7}"/>
    <cellStyle name="Normal 9 3 3 2 2 4" xfId="9512" xr:uid="{2D87B26D-94B2-43FF-B3AD-59DF0A117D21}"/>
    <cellStyle name="Normal 9 3 3 2 2 4 2" xfId="18866" xr:uid="{29CDA052-A40D-404A-8CFC-7A0658BCB8F2}"/>
    <cellStyle name="Normal 9 3 3 2 2 4 3" xfId="35760" xr:uid="{9ECA4F83-A72C-47F4-BD37-A85156A37FBD}"/>
    <cellStyle name="Normal 9 3 3 2 2 5" xfId="10419" xr:uid="{323FF393-C3AA-4DE5-B33B-7C00E335A87A}"/>
    <cellStyle name="Normal 9 3 3 2 2 6" xfId="27313" xr:uid="{ECABAD60-73CB-4293-ABB5-14E501554187}"/>
    <cellStyle name="Normal 9 3 3 2 3" xfId="1416" xr:uid="{00000000-0005-0000-0000-000000200000}"/>
    <cellStyle name="Normal 9 3 3 2 3 2" xfId="3646" xr:uid="{00000000-0005-0000-0000-000001200000}"/>
    <cellStyle name="Normal 9 3 3 2 3 2 2" xfId="7868" xr:uid="{00000000-0005-0000-0000-000002200000}"/>
    <cellStyle name="Normal 9 3 3 2 3 2 2 2" xfId="25641" xr:uid="{4FB770F4-29B2-4D13-8251-C769480B8E61}"/>
    <cellStyle name="Normal 9 3 3 2 3 2 2 2 2" xfId="42535" xr:uid="{341AB3E3-6CFA-4F06-AAF1-14BB83DAFD5C}"/>
    <cellStyle name="Normal 9 3 3 2 3 2 2 3" xfId="17194" xr:uid="{3D79E6F9-ECB7-4760-9F53-763CF8C73460}"/>
    <cellStyle name="Normal 9 3 3 2 3 2 2 4" xfId="34088" xr:uid="{20D02394-1F17-4A9A-9F66-6EFD2922EB7B}"/>
    <cellStyle name="Normal 9 3 3 2 3 2 3" xfId="21424" xr:uid="{3A4265C2-BFD8-4E15-A967-03EF99E10B2A}"/>
    <cellStyle name="Normal 9 3 3 2 3 2 3 2" xfId="38318" xr:uid="{E0AD9AF3-CE84-46D8-8C46-16AAD1C0A276}"/>
    <cellStyle name="Normal 9 3 3 2 3 2 4" xfId="12977" xr:uid="{EA0636A7-DA53-48B2-AD2A-E09F9B065AF8}"/>
    <cellStyle name="Normal 9 3 3 2 3 2 5" xfId="29871" xr:uid="{B2098E7F-651F-4BE1-AC7B-EC64AE637AFF}"/>
    <cellStyle name="Normal 9 3 3 2 3 3" xfId="5723" xr:uid="{00000000-0005-0000-0000-000003200000}"/>
    <cellStyle name="Normal 9 3 3 2 3 3 2" xfId="23496" xr:uid="{E281F8D1-24D7-469C-A9B0-0AFA9F2C1298}"/>
    <cellStyle name="Normal 9 3 3 2 3 3 2 2" xfId="40390" xr:uid="{8A66473C-8A46-455B-A228-B74DF895E60B}"/>
    <cellStyle name="Normal 9 3 3 2 3 3 3" xfId="15049" xr:uid="{53500D1A-9E66-479B-B61F-CAA4B347A880}"/>
    <cellStyle name="Normal 9 3 3 2 3 3 4" xfId="31943" xr:uid="{FCE6851E-5654-4273-B82A-4902324BC7A7}"/>
    <cellStyle name="Normal 9 3 3 2 3 4" xfId="19279" xr:uid="{1A47B9CB-99AB-416E-A060-602164511DB1}"/>
    <cellStyle name="Normal 9 3 3 2 3 4 2" xfId="36173" xr:uid="{8E586FAF-C328-44CD-92F3-AA9F8C20E910}"/>
    <cellStyle name="Normal 9 3 3 2 3 5" xfId="10832" xr:uid="{1F3C839C-CE93-4BF6-A158-F628A3692B86}"/>
    <cellStyle name="Normal 9 3 3 2 3 6" xfId="27726" xr:uid="{528C14C4-B8F7-446E-A10B-51470364A9A7}"/>
    <cellStyle name="Normal 9 3 3 2 4" xfId="1829" xr:uid="{00000000-0005-0000-0000-000004200000}"/>
    <cellStyle name="Normal 9 3 3 2 4 2" xfId="4059" xr:uid="{00000000-0005-0000-0000-000005200000}"/>
    <cellStyle name="Normal 9 3 3 2 4 2 2" xfId="8281" xr:uid="{00000000-0005-0000-0000-000006200000}"/>
    <cellStyle name="Normal 9 3 3 2 4 2 2 2" xfId="26054" xr:uid="{F37F56E8-F680-4C51-A20E-1F16A1373F31}"/>
    <cellStyle name="Normal 9 3 3 2 4 2 2 2 2" xfId="42948" xr:uid="{BFDF2F69-B789-4667-81A1-D0B86514D2B7}"/>
    <cellStyle name="Normal 9 3 3 2 4 2 2 3" xfId="17607" xr:uid="{56AC9D5E-15B7-497F-AE62-BEE81E0A93FC}"/>
    <cellStyle name="Normal 9 3 3 2 4 2 2 4" xfId="34501" xr:uid="{27B28EF7-CCD4-4E52-A938-AE7B2FF58063}"/>
    <cellStyle name="Normal 9 3 3 2 4 2 3" xfId="21837" xr:uid="{3DF39E13-CFFE-4208-9EC3-7B066243F817}"/>
    <cellStyle name="Normal 9 3 3 2 4 2 3 2" xfId="38731" xr:uid="{DB0967A3-B4D8-4698-B121-B0ACF34FEA62}"/>
    <cellStyle name="Normal 9 3 3 2 4 2 4" xfId="13390" xr:uid="{3A82A754-E46F-4C59-B568-ADAC7ED15C8C}"/>
    <cellStyle name="Normal 9 3 3 2 4 2 5" xfId="30284" xr:uid="{304D17AA-B3D3-48C2-9179-A0F247F77DBC}"/>
    <cellStyle name="Normal 9 3 3 2 4 3" xfId="6136" xr:uid="{00000000-0005-0000-0000-000007200000}"/>
    <cellStyle name="Normal 9 3 3 2 4 3 2" xfId="23909" xr:uid="{A76CCDA5-9BD9-4639-BB3B-AD4E0E231ADA}"/>
    <cellStyle name="Normal 9 3 3 2 4 3 2 2" xfId="40803" xr:uid="{1D48BE66-814D-4DA1-9CB2-0CA326E50320}"/>
    <cellStyle name="Normal 9 3 3 2 4 3 3" xfId="15462" xr:uid="{2CBFE555-C47F-49ED-AD5E-49DAA4A4179C}"/>
    <cellStyle name="Normal 9 3 3 2 4 3 4" xfId="32356" xr:uid="{53B6C614-69A4-4F51-9A00-178604287128}"/>
    <cellStyle name="Normal 9 3 3 2 4 4" xfId="19692" xr:uid="{24FD4639-15C4-4766-8BA8-52DF076B0266}"/>
    <cellStyle name="Normal 9 3 3 2 4 4 2" xfId="36586" xr:uid="{7D775811-E43C-4AA8-9AA8-535D9C9A232C}"/>
    <cellStyle name="Normal 9 3 3 2 4 5" xfId="11245" xr:uid="{47D423DA-8916-423A-B449-A08EE40A5E34}"/>
    <cellStyle name="Normal 9 3 3 2 4 6" xfId="28139" xr:uid="{74D61B34-CD45-4CC1-B80F-03B432EBECB1}"/>
    <cellStyle name="Normal 9 3 3 2 5" xfId="2243" xr:uid="{00000000-0005-0000-0000-000008200000}"/>
    <cellStyle name="Normal 9 3 3 2 5 2" xfId="4472" xr:uid="{00000000-0005-0000-0000-000009200000}"/>
    <cellStyle name="Normal 9 3 3 2 5 2 2" xfId="8694" xr:uid="{00000000-0005-0000-0000-00000A200000}"/>
    <cellStyle name="Normal 9 3 3 2 5 2 2 2" xfId="26467" xr:uid="{21172B17-65A3-4061-A5FD-55A23EAD5BC3}"/>
    <cellStyle name="Normal 9 3 3 2 5 2 2 2 2" xfId="43361" xr:uid="{54EEA07F-EAC2-4362-9B67-4AF5818B958B}"/>
    <cellStyle name="Normal 9 3 3 2 5 2 2 3" xfId="18020" xr:uid="{2B9A7F3B-03DA-42BF-A68C-8755E285113A}"/>
    <cellStyle name="Normal 9 3 3 2 5 2 2 4" xfId="34914" xr:uid="{9EA5A941-2005-4331-A1AB-BDEE48A9CBE2}"/>
    <cellStyle name="Normal 9 3 3 2 5 2 3" xfId="22250" xr:uid="{816769C1-2944-4477-976B-8FBF3B3CA9B7}"/>
    <cellStyle name="Normal 9 3 3 2 5 2 3 2" xfId="39144" xr:uid="{C3DDE9E5-E8F0-4EE6-8004-B02E2872389B}"/>
    <cellStyle name="Normal 9 3 3 2 5 2 4" xfId="13803" xr:uid="{7F7DD4F8-4102-4A4C-BF27-E9525013586A}"/>
    <cellStyle name="Normal 9 3 3 2 5 2 5" xfId="30697" xr:uid="{50E3C5C0-4197-4361-96B3-4FD7A40E1103}"/>
    <cellStyle name="Normal 9 3 3 2 5 3" xfId="6549" xr:uid="{00000000-0005-0000-0000-00000B200000}"/>
    <cellStyle name="Normal 9 3 3 2 5 3 2" xfId="24322" xr:uid="{5518381D-6831-4A77-84F8-933DC9598A62}"/>
    <cellStyle name="Normal 9 3 3 2 5 3 2 2" xfId="41216" xr:uid="{5ACC1120-ECBB-4650-94FE-08FA6376BFC4}"/>
    <cellStyle name="Normal 9 3 3 2 5 3 3" xfId="15875" xr:uid="{43AB9DBF-2043-45E5-9C05-859E088971BE}"/>
    <cellStyle name="Normal 9 3 3 2 5 3 4" xfId="32769" xr:uid="{BB0E129A-495B-42EC-8203-E7D7BB705C74}"/>
    <cellStyle name="Normal 9 3 3 2 5 4" xfId="20105" xr:uid="{6F520A58-29B7-487C-8227-00689B341F8C}"/>
    <cellStyle name="Normal 9 3 3 2 5 4 2" xfId="36999" xr:uid="{22A57EB5-FF63-49FE-891A-3712CF61134C}"/>
    <cellStyle name="Normal 9 3 3 2 5 5" xfId="11658" xr:uid="{DA8198CA-CFEF-444B-A79A-71898DA63904}"/>
    <cellStyle name="Normal 9 3 3 2 5 6" xfId="28552" xr:uid="{4F31BF48-132F-4A32-9C8C-E7A0C3B09145}"/>
    <cellStyle name="Normal 9 3 3 2 6" xfId="2679" xr:uid="{00000000-0005-0000-0000-00000C200000}"/>
    <cellStyle name="Normal 9 3 3 2 6 2" xfId="6962" xr:uid="{00000000-0005-0000-0000-00000D200000}"/>
    <cellStyle name="Normal 9 3 3 2 6 2 2" xfId="24735" xr:uid="{8629C6A9-A1AF-4AFA-83E7-7C5222AD7A8F}"/>
    <cellStyle name="Normal 9 3 3 2 6 2 2 2" xfId="41629" xr:uid="{9EBFDC7E-677F-44D4-B797-8E42EAE59012}"/>
    <cellStyle name="Normal 9 3 3 2 6 2 3" xfId="16288" xr:uid="{BA7CA33E-1384-43AC-A994-5365BC08AB01}"/>
    <cellStyle name="Normal 9 3 3 2 6 2 4" xfId="33182" xr:uid="{A52304AA-122F-411E-87F3-C59E4420F83C}"/>
    <cellStyle name="Normal 9 3 3 2 6 3" xfId="20518" xr:uid="{D8178B32-5473-448A-973D-380CD6062561}"/>
    <cellStyle name="Normal 9 3 3 2 6 3 2" xfId="37412" xr:uid="{12582609-0B43-4850-9E05-C8EB6DFE6E88}"/>
    <cellStyle name="Normal 9 3 3 2 6 4" xfId="12071" xr:uid="{32147CC9-EE38-4B76-9D3F-67F3415291E9}"/>
    <cellStyle name="Normal 9 3 3 2 6 5" xfId="28965" xr:uid="{BA597D4E-73BC-43D8-81B3-5255BA5F68C2}"/>
    <cellStyle name="Normal 9 3 3 2 7" xfId="4897" xr:uid="{00000000-0005-0000-0000-00000E200000}"/>
    <cellStyle name="Normal 9 3 3 2 7 2" xfId="22670" xr:uid="{8493BBD4-664D-439B-83EC-81060271FC81}"/>
    <cellStyle name="Normal 9 3 3 2 7 2 2" xfId="39564" xr:uid="{54C65C1C-21D2-4E58-93AE-C30821FB6E29}"/>
    <cellStyle name="Normal 9 3 3 2 7 3" xfId="14223" xr:uid="{8BACD8D0-FB24-4C90-AE8D-0D5A33D8F9DF}"/>
    <cellStyle name="Normal 9 3 3 2 7 4" xfId="31117" xr:uid="{560221C4-28E0-4DC0-80AC-BF9636B0C26F}"/>
    <cellStyle name="Normal 9 3 3 2 8" xfId="9087" xr:uid="{B1C8DB1F-59B6-4D6A-B3E7-0CFC4D29D9A9}"/>
    <cellStyle name="Normal 9 3 3 2 8 2" xfId="18453" xr:uid="{3AFC38C9-DD6D-4536-AD33-657FEF5CABF3}"/>
    <cellStyle name="Normal 9 3 3 2 8 3" xfId="35347" xr:uid="{012D9FD2-9ABB-4226-9809-EF124ADFA41D}"/>
    <cellStyle name="Normal 9 3 3 2 9" xfId="10006" xr:uid="{82589586-2F61-476D-9421-93826DFF8E86}"/>
    <cellStyle name="Normal 9 3 3 3" xfId="999" xr:uid="{00000000-0005-0000-0000-00000F200000}"/>
    <cellStyle name="Normal 9 3 3 3 2" xfId="3232" xr:uid="{00000000-0005-0000-0000-000010200000}"/>
    <cellStyle name="Normal 9 3 3 3 2 2" xfId="7454" xr:uid="{00000000-0005-0000-0000-000011200000}"/>
    <cellStyle name="Normal 9 3 3 3 2 2 2" xfId="25227" xr:uid="{A2031737-737D-429E-8F1F-E71C06523969}"/>
    <cellStyle name="Normal 9 3 3 3 2 2 2 2" xfId="42121" xr:uid="{DC93C1AB-5469-4A26-8C73-F2CB78D86C52}"/>
    <cellStyle name="Normal 9 3 3 3 2 2 3" xfId="16780" xr:uid="{098B0C3B-8651-44EC-AA40-4371925E3853}"/>
    <cellStyle name="Normal 9 3 3 3 2 2 4" xfId="33674" xr:uid="{A04B9676-38B5-41F1-9D46-42A19D3B9A7A}"/>
    <cellStyle name="Normal 9 3 3 3 2 3" xfId="21010" xr:uid="{AC459D54-D9F2-4625-B4B8-9EDF42E5C4E1}"/>
    <cellStyle name="Normal 9 3 3 3 2 3 2" xfId="37904" xr:uid="{B8D7B398-893E-4C19-A404-585C626A3F41}"/>
    <cellStyle name="Normal 9 3 3 3 2 4" xfId="12563" xr:uid="{BE85C381-D1F0-4A90-9FFD-27A866195D7A}"/>
    <cellStyle name="Normal 9 3 3 3 2 5" xfId="29457" xr:uid="{43E0C95D-0841-4B10-8604-134808E8450A}"/>
    <cellStyle name="Normal 9 3 3 3 3" xfId="5309" xr:uid="{00000000-0005-0000-0000-000012200000}"/>
    <cellStyle name="Normal 9 3 3 3 3 2" xfId="23082" xr:uid="{2B8EDEE6-8005-4A47-A27D-F3C608F1FA27}"/>
    <cellStyle name="Normal 9 3 3 3 3 2 2" xfId="39976" xr:uid="{848D135E-6062-4F01-9A1B-D7AE0ABB1DC1}"/>
    <cellStyle name="Normal 9 3 3 3 3 3" xfId="14635" xr:uid="{0940AC0B-E777-48FE-8E23-676392B0E98E}"/>
    <cellStyle name="Normal 9 3 3 3 3 4" xfId="31529" xr:uid="{0E1BD48D-FB98-4DE3-93FA-6DCCE510783D}"/>
    <cellStyle name="Normal 9 3 3 3 4" xfId="9305" xr:uid="{F54F3A88-B268-4905-B4D1-34B996B920C6}"/>
    <cellStyle name="Normal 9 3 3 3 4 2" xfId="18865" xr:uid="{65BFB929-676F-4B1A-A9AF-B8046072A4FB}"/>
    <cellStyle name="Normal 9 3 3 3 4 3" xfId="35759" xr:uid="{49B3A0A1-7965-4C79-961B-AD32262F8CC5}"/>
    <cellStyle name="Normal 9 3 3 3 5" xfId="10418" xr:uid="{4BAC2912-BDC3-4985-AA82-E2655DEFA2BA}"/>
    <cellStyle name="Normal 9 3 3 3 6" xfId="27312" xr:uid="{6643195E-7595-430D-A15E-E4B96A46426B}"/>
    <cellStyle name="Normal 9 3 3 4" xfId="1415" xr:uid="{00000000-0005-0000-0000-000013200000}"/>
    <cellStyle name="Normal 9 3 3 4 2" xfId="3645" xr:uid="{00000000-0005-0000-0000-000014200000}"/>
    <cellStyle name="Normal 9 3 3 4 2 2" xfId="7867" xr:uid="{00000000-0005-0000-0000-000015200000}"/>
    <cellStyle name="Normal 9 3 3 4 2 2 2" xfId="25640" xr:uid="{92DAC52E-6DCC-47EA-A753-518B17BA97A0}"/>
    <cellStyle name="Normal 9 3 3 4 2 2 2 2" xfId="42534" xr:uid="{D41BB1D4-F450-4C97-87EC-F6F0F48368FB}"/>
    <cellStyle name="Normal 9 3 3 4 2 2 3" xfId="17193" xr:uid="{51E18D50-30D2-498A-9BFE-17C452178231}"/>
    <cellStyle name="Normal 9 3 3 4 2 2 4" xfId="34087" xr:uid="{7AF0B2A2-33F7-454A-9781-5DCBDDA2D679}"/>
    <cellStyle name="Normal 9 3 3 4 2 3" xfId="21423" xr:uid="{EF16C88F-4303-43E6-8118-51ACB6FFD9E5}"/>
    <cellStyle name="Normal 9 3 3 4 2 3 2" xfId="38317" xr:uid="{02C5B66F-A885-4383-98D9-5B1EDDC7DF74}"/>
    <cellStyle name="Normal 9 3 3 4 2 4" xfId="12976" xr:uid="{EC411FB1-0CBC-443E-97C9-E722702120C4}"/>
    <cellStyle name="Normal 9 3 3 4 2 5" xfId="29870" xr:uid="{144DCC83-DA9E-444B-8ACF-94959BD7B96A}"/>
    <cellStyle name="Normal 9 3 3 4 3" xfId="5722" xr:uid="{00000000-0005-0000-0000-000016200000}"/>
    <cellStyle name="Normal 9 3 3 4 3 2" xfId="23495" xr:uid="{9F363319-6563-4E41-A4AD-6BD9C7519CEF}"/>
    <cellStyle name="Normal 9 3 3 4 3 2 2" xfId="40389" xr:uid="{5293BA8C-86EE-4BDA-94B0-F9499219751B}"/>
    <cellStyle name="Normal 9 3 3 4 3 3" xfId="15048" xr:uid="{E5390525-25A7-4AD8-82EC-94FF4B769291}"/>
    <cellStyle name="Normal 9 3 3 4 3 4" xfId="31942" xr:uid="{C9A174D5-128E-4592-BB6A-28644BD8FF56}"/>
    <cellStyle name="Normal 9 3 3 4 4" xfId="19278" xr:uid="{235D0E7E-E3EE-4841-ADE6-35AF0D456A6F}"/>
    <cellStyle name="Normal 9 3 3 4 4 2" xfId="36172" xr:uid="{8D5B4A06-5B10-495D-ACDB-BB73F069342C}"/>
    <cellStyle name="Normal 9 3 3 4 5" xfId="10831" xr:uid="{7FF70984-7D6B-4764-BF31-DE461834ECCD}"/>
    <cellStyle name="Normal 9 3 3 4 6" xfId="27725" xr:uid="{4BF75BC4-5D3F-47E7-93DD-6F8234989FA4}"/>
    <cellStyle name="Normal 9 3 3 5" xfId="1828" xr:uid="{00000000-0005-0000-0000-000017200000}"/>
    <cellStyle name="Normal 9 3 3 5 2" xfId="4058" xr:uid="{00000000-0005-0000-0000-000018200000}"/>
    <cellStyle name="Normal 9 3 3 5 2 2" xfId="8280" xr:uid="{00000000-0005-0000-0000-000019200000}"/>
    <cellStyle name="Normal 9 3 3 5 2 2 2" xfId="26053" xr:uid="{9B14A076-4233-4F69-AD5A-4C3EA394274D}"/>
    <cellStyle name="Normal 9 3 3 5 2 2 2 2" xfId="42947" xr:uid="{ED961064-7E4C-4DC9-B6AD-ACA99FE4B8EE}"/>
    <cellStyle name="Normal 9 3 3 5 2 2 3" xfId="17606" xr:uid="{0785AE71-8D41-4720-B714-625834608302}"/>
    <cellStyle name="Normal 9 3 3 5 2 2 4" xfId="34500" xr:uid="{163AEC26-4A98-4032-A862-7DFB6665477C}"/>
    <cellStyle name="Normal 9 3 3 5 2 3" xfId="21836" xr:uid="{42576D65-18F5-46CF-A6D3-722B17878FA4}"/>
    <cellStyle name="Normal 9 3 3 5 2 3 2" xfId="38730" xr:uid="{26C338A7-A7BF-437D-969F-D5F2B9C17D62}"/>
    <cellStyle name="Normal 9 3 3 5 2 4" xfId="13389" xr:uid="{BDBDB4CB-9C02-4E5A-BD93-98A96EA08027}"/>
    <cellStyle name="Normal 9 3 3 5 2 5" xfId="30283" xr:uid="{BC1625DF-710E-46B4-BAA9-3AC13494168D}"/>
    <cellStyle name="Normal 9 3 3 5 3" xfId="6135" xr:uid="{00000000-0005-0000-0000-00001A200000}"/>
    <cellStyle name="Normal 9 3 3 5 3 2" xfId="23908" xr:uid="{432A0EB8-0D12-4C74-8102-33D419BE7CAD}"/>
    <cellStyle name="Normal 9 3 3 5 3 2 2" xfId="40802" xr:uid="{D451FE10-3C61-4D74-B4AC-B449C6AF2FE8}"/>
    <cellStyle name="Normal 9 3 3 5 3 3" xfId="15461" xr:uid="{F5A319CC-7608-4A4C-A8CC-78E27CF5B28D}"/>
    <cellStyle name="Normal 9 3 3 5 3 4" xfId="32355" xr:uid="{B5C452AC-7571-46A2-8BE9-9FF2E547BD2A}"/>
    <cellStyle name="Normal 9 3 3 5 4" xfId="19691" xr:uid="{0025D4B6-A0B4-4807-BC34-4E785AB3F908}"/>
    <cellStyle name="Normal 9 3 3 5 4 2" xfId="36585" xr:uid="{B538DBC3-3669-43BD-8BEB-26D3746E9EDA}"/>
    <cellStyle name="Normal 9 3 3 5 5" xfId="11244" xr:uid="{5D65F8EA-D026-4EAB-A751-453FA6E7395C}"/>
    <cellStyle name="Normal 9 3 3 5 6" xfId="28138" xr:uid="{0D77D743-0F61-456F-A933-54A8E8738151}"/>
    <cellStyle name="Normal 9 3 3 6" xfId="2242" xr:uid="{00000000-0005-0000-0000-00001B200000}"/>
    <cellStyle name="Normal 9 3 3 6 2" xfId="4471" xr:uid="{00000000-0005-0000-0000-00001C200000}"/>
    <cellStyle name="Normal 9 3 3 6 2 2" xfId="8693" xr:uid="{00000000-0005-0000-0000-00001D200000}"/>
    <cellStyle name="Normal 9 3 3 6 2 2 2" xfId="26466" xr:uid="{F9F7658D-32F5-493E-8D6C-E402A5CF3588}"/>
    <cellStyle name="Normal 9 3 3 6 2 2 2 2" xfId="43360" xr:uid="{1F449F36-7A43-4F50-ADE5-D8A38FA790EF}"/>
    <cellStyle name="Normal 9 3 3 6 2 2 3" xfId="18019" xr:uid="{07CAF1C3-E3C5-4FCD-B3A8-36392E273765}"/>
    <cellStyle name="Normal 9 3 3 6 2 2 4" xfId="34913" xr:uid="{73D739BE-053B-4591-821A-A27EA710C400}"/>
    <cellStyle name="Normal 9 3 3 6 2 3" xfId="22249" xr:uid="{03F4F14A-56E1-4E9E-B6E5-FE8E345335B4}"/>
    <cellStyle name="Normal 9 3 3 6 2 3 2" xfId="39143" xr:uid="{164B5A6E-83AA-47BB-BB71-3E98622BAB0F}"/>
    <cellStyle name="Normal 9 3 3 6 2 4" xfId="13802" xr:uid="{E2B607BE-7677-4478-9510-CF53954C72F5}"/>
    <cellStyle name="Normal 9 3 3 6 2 5" xfId="30696" xr:uid="{2A007846-2A33-46C8-A5F5-8F1F0C320D70}"/>
    <cellStyle name="Normal 9 3 3 6 3" xfId="6548" xr:uid="{00000000-0005-0000-0000-00001E200000}"/>
    <cellStyle name="Normal 9 3 3 6 3 2" xfId="24321" xr:uid="{D2C8A3A5-E857-4D9E-B17B-B215DC18D34C}"/>
    <cellStyle name="Normal 9 3 3 6 3 2 2" xfId="41215" xr:uid="{7F09B417-EBB4-4D8A-B687-D7FFEFE2208B}"/>
    <cellStyle name="Normal 9 3 3 6 3 3" xfId="15874" xr:uid="{4854CAC4-EC3B-49FF-99E7-85E04169BEAD}"/>
    <cellStyle name="Normal 9 3 3 6 3 4" xfId="32768" xr:uid="{76981FB4-887E-4F9C-9D0C-1DA2CAA7657E}"/>
    <cellStyle name="Normal 9 3 3 6 4" xfId="20104" xr:uid="{EFA78B81-2BD9-4C89-8943-D70791F3D85A}"/>
    <cellStyle name="Normal 9 3 3 6 4 2" xfId="36998" xr:uid="{46A9156C-CF1B-4171-A53F-DDC580592F42}"/>
    <cellStyle name="Normal 9 3 3 6 5" xfId="11657" xr:uid="{36F04EAC-7E03-4C70-AD4B-88050C6A00E5}"/>
    <cellStyle name="Normal 9 3 3 6 6" xfId="28551" xr:uid="{0FD77189-31E4-4715-9D8B-6DCFA7EC9F31}"/>
    <cellStyle name="Normal 9 3 3 7" xfId="2678" xr:uid="{00000000-0005-0000-0000-00001F200000}"/>
    <cellStyle name="Normal 9 3 3 7 2" xfId="6961" xr:uid="{00000000-0005-0000-0000-000020200000}"/>
    <cellStyle name="Normal 9 3 3 7 2 2" xfId="24734" xr:uid="{ED1879FC-8633-41A4-AF81-28BBE70D267D}"/>
    <cellStyle name="Normal 9 3 3 7 2 2 2" xfId="41628" xr:uid="{F6CE71E3-3533-4443-9CC1-DF8517E381E4}"/>
    <cellStyle name="Normal 9 3 3 7 2 3" xfId="16287" xr:uid="{76272CF0-4D65-4644-A113-2542062619E5}"/>
    <cellStyle name="Normal 9 3 3 7 2 4" xfId="33181" xr:uid="{F85F79CF-567C-47A3-9D3B-8722BDE14317}"/>
    <cellStyle name="Normal 9 3 3 7 3" xfId="20517" xr:uid="{65BC9E7A-D685-454E-884C-8F1053780402}"/>
    <cellStyle name="Normal 9 3 3 7 3 2" xfId="37411" xr:uid="{6A0B2337-8B35-4914-AF7F-D694827D3A9F}"/>
    <cellStyle name="Normal 9 3 3 7 4" xfId="12070" xr:uid="{54218D1D-901D-4287-985D-00E8B60FEB5B}"/>
    <cellStyle name="Normal 9 3 3 7 5" xfId="28964" xr:uid="{BB7B0A55-CD8B-4A13-87A3-B9C168E1796D}"/>
    <cellStyle name="Normal 9 3 3 8" xfId="4896" xr:uid="{00000000-0005-0000-0000-000021200000}"/>
    <cellStyle name="Normal 9 3 3 8 2" xfId="22669" xr:uid="{C4209B75-35E1-4823-B389-1AD92465689F}"/>
    <cellStyle name="Normal 9 3 3 8 2 2" xfId="39563" xr:uid="{910C6A04-48C4-49C2-AFC1-A781657CEE46}"/>
    <cellStyle name="Normal 9 3 3 8 3" xfId="14222" xr:uid="{ECB655D2-5D12-4128-9F8C-CD89F615B93C}"/>
    <cellStyle name="Normal 9 3 3 8 4" xfId="31116" xr:uid="{885F7DC0-BAE2-4FD1-A65C-2F119A7D2674}"/>
    <cellStyle name="Normal 9 3 3 9" xfId="8880" xr:uid="{36521590-FD5B-45F7-80A9-41BA557EA820}"/>
    <cellStyle name="Normal 9 3 3 9 2" xfId="18452" xr:uid="{015D1647-1D79-4A47-8594-8CEDFBDDF31A}"/>
    <cellStyle name="Normal 9 3 3 9 3" xfId="35346" xr:uid="{DD7D4DC5-62FA-4C91-A88F-C788C776C9ED}"/>
    <cellStyle name="Normal 9 3 4" xfId="534" xr:uid="{00000000-0005-0000-0000-000022200000}"/>
    <cellStyle name="Normal 9 3 4 10" xfId="26901" xr:uid="{027FB444-1055-4B9B-969F-5C06658B4CE6}"/>
    <cellStyle name="Normal 9 3 4 2" xfId="1001" xr:uid="{00000000-0005-0000-0000-000023200000}"/>
    <cellStyle name="Normal 9 3 4 2 2" xfId="3234" xr:uid="{00000000-0005-0000-0000-000024200000}"/>
    <cellStyle name="Normal 9 3 4 2 2 2" xfId="7456" xr:uid="{00000000-0005-0000-0000-000025200000}"/>
    <cellStyle name="Normal 9 3 4 2 2 2 2" xfId="25229" xr:uid="{7A1C5354-3A7C-4D35-91BB-C76FA88187E4}"/>
    <cellStyle name="Normal 9 3 4 2 2 2 2 2" xfId="42123" xr:uid="{7C7761FC-5EE0-4937-872A-1B34D77765A8}"/>
    <cellStyle name="Normal 9 3 4 2 2 2 3" xfId="16782" xr:uid="{4E7DD96B-486B-43C9-999E-B25710BC8455}"/>
    <cellStyle name="Normal 9 3 4 2 2 2 4" xfId="33676" xr:uid="{FF156D03-5BD5-4DA7-8D09-7156CAA52F68}"/>
    <cellStyle name="Normal 9 3 4 2 2 3" xfId="21012" xr:uid="{854EB58D-E0DF-43E4-B62A-1B445FEFDE77}"/>
    <cellStyle name="Normal 9 3 4 2 2 3 2" xfId="37906" xr:uid="{308DBBFC-B7C0-454C-AFBC-6ACA6FD41875}"/>
    <cellStyle name="Normal 9 3 4 2 2 4" xfId="12565" xr:uid="{7CC17689-6DEC-4F27-9E32-D60A5C4A35FA}"/>
    <cellStyle name="Normal 9 3 4 2 2 5" xfId="29459" xr:uid="{752911AE-7DDC-4B0F-82D8-3DC67BAFBEA5}"/>
    <cellStyle name="Normal 9 3 4 2 3" xfId="5311" xr:uid="{00000000-0005-0000-0000-000026200000}"/>
    <cellStyle name="Normal 9 3 4 2 3 2" xfId="23084" xr:uid="{B2276A74-4E40-45A8-8158-543952059395}"/>
    <cellStyle name="Normal 9 3 4 2 3 2 2" xfId="39978" xr:uid="{058914FE-306F-4390-A564-E18EC717F462}"/>
    <cellStyle name="Normal 9 3 4 2 3 3" xfId="14637" xr:uid="{090E121A-16D1-4570-8325-AFB6A4DEAA92}"/>
    <cellStyle name="Normal 9 3 4 2 3 4" xfId="31531" xr:uid="{99F11C52-711F-4050-8D30-E5B5F26E71BD}"/>
    <cellStyle name="Normal 9 3 4 2 4" xfId="9409" xr:uid="{F8EFC02C-357C-44AD-9BF7-6459F3C595DA}"/>
    <cellStyle name="Normal 9 3 4 2 4 2" xfId="18867" xr:uid="{61E2DDF9-7C69-4C2E-B208-996543ADBAC2}"/>
    <cellStyle name="Normal 9 3 4 2 4 3" xfId="35761" xr:uid="{A412CE24-FFDC-4172-9E52-494AB75119C3}"/>
    <cellStyle name="Normal 9 3 4 2 5" xfId="10420" xr:uid="{CCAF9B8C-B92D-415B-A3B7-1DE4172B85ED}"/>
    <cellStyle name="Normal 9 3 4 2 6" xfId="27314" xr:uid="{8B7F2E8A-1B52-4609-8E44-DF53C484F300}"/>
    <cellStyle name="Normal 9 3 4 3" xfId="1417" xr:uid="{00000000-0005-0000-0000-000027200000}"/>
    <cellStyle name="Normal 9 3 4 3 2" xfId="3647" xr:uid="{00000000-0005-0000-0000-000028200000}"/>
    <cellStyle name="Normal 9 3 4 3 2 2" xfId="7869" xr:uid="{00000000-0005-0000-0000-000029200000}"/>
    <cellStyle name="Normal 9 3 4 3 2 2 2" xfId="25642" xr:uid="{53C74467-7A4D-4781-B35B-597EBDB844DC}"/>
    <cellStyle name="Normal 9 3 4 3 2 2 2 2" xfId="42536" xr:uid="{661603FF-7CCA-46AA-8AEC-C90B4DACE904}"/>
    <cellStyle name="Normal 9 3 4 3 2 2 3" xfId="17195" xr:uid="{00E1BBE8-DD29-46A0-991C-885170B60F5E}"/>
    <cellStyle name="Normal 9 3 4 3 2 2 4" xfId="34089" xr:uid="{5DEFD4D1-580A-46C6-B005-1ACB685FBCB7}"/>
    <cellStyle name="Normal 9 3 4 3 2 3" xfId="21425" xr:uid="{DD9E7465-8ED7-4140-B226-2BDFABBC0AF1}"/>
    <cellStyle name="Normal 9 3 4 3 2 3 2" xfId="38319" xr:uid="{05DBEFB1-84B7-49E8-B18B-CB6F9B67960E}"/>
    <cellStyle name="Normal 9 3 4 3 2 4" xfId="12978" xr:uid="{774CB3E8-F0F6-4B3E-8BD2-775458984567}"/>
    <cellStyle name="Normal 9 3 4 3 2 5" xfId="29872" xr:uid="{BD5E6671-C706-4BC8-9169-3B7003548D89}"/>
    <cellStyle name="Normal 9 3 4 3 3" xfId="5724" xr:uid="{00000000-0005-0000-0000-00002A200000}"/>
    <cellStyle name="Normal 9 3 4 3 3 2" xfId="23497" xr:uid="{6D49734D-7CC1-46E0-9BC4-B5B1D8C007F2}"/>
    <cellStyle name="Normal 9 3 4 3 3 2 2" xfId="40391" xr:uid="{7E6B04CD-6EAE-4FF1-8589-C2979932C5C3}"/>
    <cellStyle name="Normal 9 3 4 3 3 3" xfId="15050" xr:uid="{183E7236-9626-44FE-B536-2BF395320F72}"/>
    <cellStyle name="Normal 9 3 4 3 3 4" xfId="31944" xr:uid="{81BABE0D-A360-457A-9A85-36AD3E150312}"/>
    <cellStyle name="Normal 9 3 4 3 4" xfId="19280" xr:uid="{F03492BF-20B9-4665-90B3-0040E4784269}"/>
    <cellStyle name="Normal 9 3 4 3 4 2" xfId="36174" xr:uid="{F240D79B-16A6-4FE9-8BD5-B6057CB56251}"/>
    <cellStyle name="Normal 9 3 4 3 5" xfId="10833" xr:uid="{47AC8E33-6B67-4295-AA7C-795D2B967FD3}"/>
    <cellStyle name="Normal 9 3 4 3 6" xfId="27727" xr:uid="{D3889B19-7B72-4176-83DA-9D6FF40C67BC}"/>
    <cellStyle name="Normal 9 3 4 4" xfId="1830" xr:uid="{00000000-0005-0000-0000-00002B200000}"/>
    <cellStyle name="Normal 9 3 4 4 2" xfId="4060" xr:uid="{00000000-0005-0000-0000-00002C200000}"/>
    <cellStyle name="Normal 9 3 4 4 2 2" xfId="8282" xr:uid="{00000000-0005-0000-0000-00002D200000}"/>
    <cellStyle name="Normal 9 3 4 4 2 2 2" xfId="26055" xr:uid="{223AEDD2-E953-43B4-8F02-C6DF638C8887}"/>
    <cellStyle name="Normal 9 3 4 4 2 2 2 2" xfId="42949" xr:uid="{60865CB8-3E16-40C1-B9D1-6404C509881C}"/>
    <cellStyle name="Normal 9 3 4 4 2 2 3" xfId="17608" xr:uid="{B6DC3B26-C08D-4749-AE54-39D6E09F5CED}"/>
    <cellStyle name="Normal 9 3 4 4 2 2 4" xfId="34502" xr:uid="{10B2E86E-D530-4A41-A254-D0FBF1CC9073}"/>
    <cellStyle name="Normal 9 3 4 4 2 3" xfId="21838" xr:uid="{13989E17-9C2A-4114-8592-4FEB0E994F52}"/>
    <cellStyle name="Normal 9 3 4 4 2 3 2" xfId="38732" xr:uid="{12100C4B-675C-4908-B533-6EA838968A27}"/>
    <cellStyle name="Normal 9 3 4 4 2 4" xfId="13391" xr:uid="{831322BC-BE6B-41AE-840E-11E0608C934D}"/>
    <cellStyle name="Normal 9 3 4 4 2 5" xfId="30285" xr:uid="{F2430126-8324-4DBB-BFEB-FFA5FB01AF55}"/>
    <cellStyle name="Normal 9 3 4 4 3" xfId="6137" xr:uid="{00000000-0005-0000-0000-00002E200000}"/>
    <cellStyle name="Normal 9 3 4 4 3 2" xfId="23910" xr:uid="{BD17BFE9-4E24-4EF1-B220-A36F6F555BAA}"/>
    <cellStyle name="Normal 9 3 4 4 3 2 2" xfId="40804" xr:uid="{37C4E1F7-A31E-4615-B616-09E6C2711D9D}"/>
    <cellStyle name="Normal 9 3 4 4 3 3" xfId="15463" xr:uid="{AB957685-C95C-4BDE-B3EB-DDFA377517B5}"/>
    <cellStyle name="Normal 9 3 4 4 3 4" xfId="32357" xr:uid="{A9A290A8-9EC5-45B0-B791-42AAF9B80699}"/>
    <cellStyle name="Normal 9 3 4 4 4" xfId="19693" xr:uid="{3D70A0C5-DE00-43D7-9171-5C28B02CD9E4}"/>
    <cellStyle name="Normal 9 3 4 4 4 2" xfId="36587" xr:uid="{C87FB473-5F9D-43AD-9CA5-BD386A702C0E}"/>
    <cellStyle name="Normal 9 3 4 4 5" xfId="11246" xr:uid="{578A1BAC-AEF3-4E85-9A9D-404F8C15F037}"/>
    <cellStyle name="Normal 9 3 4 4 6" xfId="28140" xr:uid="{B0E8F180-3192-4ED8-BBF4-A6064F48AB71}"/>
    <cellStyle name="Normal 9 3 4 5" xfId="2244" xr:uid="{00000000-0005-0000-0000-00002F200000}"/>
    <cellStyle name="Normal 9 3 4 5 2" xfId="4473" xr:uid="{00000000-0005-0000-0000-000030200000}"/>
    <cellStyle name="Normal 9 3 4 5 2 2" xfId="8695" xr:uid="{00000000-0005-0000-0000-000031200000}"/>
    <cellStyle name="Normal 9 3 4 5 2 2 2" xfId="26468" xr:uid="{58816AD5-A52A-408D-B8D9-679333657E56}"/>
    <cellStyle name="Normal 9 3 4 5 2 2 2 2" xfId="43362" xr:uid="{C3EB3B9C-4B2B-4FAC-A547-08B3E5E7DB56}"/>
    <cellStyle name="Normal 9 3 4 5 2 2 3" xfId="18021" xr:uid="{8A55DA48-DD2C-4F6F-8E5E-96543F36A29F}"/>
    <cellStyle name="Normal 9 3 4 5 2 2 4" xfId="34915" xr:uid="{8FDC5B14-003C-4811-B8E5-ED0B85040438}"/>
    <cellStyle name="Normal 9 3 4 5 2 3" xfId="22251" xr:uid="{401D22AA-9EED-47FA-870A-C3F9A24BCA91}"/>
    <cellStyle name="Normal 9 3 4 5 2 3 2" xfId="39145" xr:uid="{DF25286B-4A50-4810-8215-C59793E23D98}"/>
    <cellStyle name="Normal 9 3 4 5 2 4" xfId="13804" xr:uid="{B6EB02AF-1ADC-4D99-89E2-FBD6FAFBA674}"/>
    <cellStyle name="Normal 9 3 4 5 2 5" xfId="30698" xr:uid="{2A79BEC7-165F-4EB0-90B5-B0B511F1FDB6}"/>
    <cellStyle name="Normal 9 3 4 5 3" xfId="6550" xr:uid="{00000000-0005-0000-0000-000032200000}"/>
    <cellStyle name="Normal 9 3 4 5 3 2" xfId="24323" xr:uid="{2264831A-861E-44D3-B1E4-6D155934872E}"/>
    <cellStyle name="Normal 9 3 4 5 3 2 2" xfId="41217" xr:uid="{AEA4F6CD-BAD7-43C6-B11D-526F57127BE6}"/>
    <cellStyle name="Normal 9 3 4 5 3 3" xfId="15876" xr:uid="{60E2F0D5-B0D7-4EF9-ADE6-67D8C865768B}"/>
    <cellStyle name="Normal 9 3 4 5 3 4" xfId="32770" xr:uid="{4AE49B8B-56A3-4A55-90B1-6DA2F86531E9}"/>
    <cellStyle name="Normal 9 3 4 5 4" xfId="20106" xr:uid="{DF6C8154-192E-4B0A-B8CD-7C80F92C690B}"/>
    <cellStyle name="Normal 9 3 4 5 4 2" xfId="37000" xr:uid="{22A0F408-9685-46BF-98FB-F7DBC942C525}"/>
    <cellStyle name="Normal 9 3 4 5 5" xfId="11659" xr:uid="{A32D9C91-10CD-4F91-9177-318271FC2AD4}"/>
    <cellStyle name="Normal 9 3 4 5 6" xfId="28553" xr:uid="{E37C9004-C0F2-4A22-9CE3-82B972A5CD91}"/>
    <cellStyle name="Normal 9 3 4 6" xfId="2680" xr:uid="{00000000-0005-0000-0000-000033200000}"/>
    <cellStyle name="Normal 9 3 4 6 2" xfId="6963" xr:uid="{00000000-0005-0000-0000-000034200000}"/>
    <cellStyle name="Normal 9 3 4 6 2 2" xfId="24736" xr:uid="{F23A815C-7183-422D-930A-90BC2E4B4598}"/>
    <cellStyle name="Normal 9 3 4 6 2 2 2" xfId="41630" xr:uid="{B791C7D9-9024-4098-9B10-6076CE2449DB}"/>
    <cellStyle name="Normal 9 3 4 6 2 3" xfId="16289" xr:uid="{D93C88D3-C652-4136-90F4-015E0FC6A2D7}"/>
    <cellStyle name="Normal 9 3 4 6 2 4" xfId="33183" xr:uid="{5D188985-C9D0-485D-BE62-09DCA6BFC8BA}"/>
    <cellStyle name="Normal 9 3 4 6 3" xfId="20519" xr:uid="{89703FBC-2B11-4FF0-9419-32026CCEC4C9}"/>
    <cellStyle name="Normal 9 3 4 6 3 2" xfId="37413" xr:uid="{7EA08493-ECC2-42A5-B83B-85C1ADE18024}"/>
    <cellStyle name="Normal 9 3 4 6 4" xfId="12072" xr:uid="{8AD86772-3E85-4FE6-94C2-29EDC995FFCB}"/>
    <cellStyle name="Normal 9 3 4 6 5" xfId="28966" xr:uid="{3EA8544A-E9F8-4E63-8D91-EDC23DF17D94}"/>
    <cellStyle name="Normal 9 3 4 7" xfId="4898" xr:uid="{00000000-0005-0000-0000-000035200000}"/>
    <cellStyle name="Normal 9 3 4 7 2" xfId="22671" xr:uid="{68964113-377F-4F36-A056-CD2BAEBF96F2}"/>
    <cellStyle name="Normal 9 3 4 7 2 2" xfId="39565" xr:uid="{F9545366-4B28-4782-8A97-21BCEA0F32F0}"/>
    <cellStyle name="Normal 9 3 4 7 3" xfId="14224" xr:uid="{018B3468-F221-44E7-B3D9-D9A326572E66}"/>
    <cellStyle name="Normal 9 3 4 7 4" xfId="31118" xr:uid="{9299838A-7677-4353-9E60-1A690E36D458}"/>
    <cellStyle name="Normal 9 3 4 8" xfId="8984" xr:uid="{A39B104A-EAEF-4D5B-B504-6104111E924B}"/>
    <cellStyle name="Normal 9 3 4 8 2" xfId="18454" xr:uid="{D4533B59-5EB7-4AE3-B1AB-783F65F4A563}"/>
    <cellStyle name="Normal 9 3 4 8 3" xfId="35348" xr:uid="{04A19786-1CDE-4E12-B589-8D4D574325FB}"/>
    <cellStyle name="Normal 9 3 4 9" xfId="10007" xr:uid="{0931DA84-70FB-470A-9996-4CB854E42770}"/>
    <cellStyle name="Normal 9 3 5" xfId="994" xr:uid="{00000000-0005-0000-0000-000036200000}"/>
    <cellStyle name="Normal 9 3 5 2" xfId="3227" xr:uid="{00000000-0005-0000-0000-000037200000}"/>
    <cellStyle name="Normal 9 3 5 2 2" xfId="7449" xr:uid="{00000000-0005-0000-0000-000038200000}"/>
    <cellStyle name="Normal 9 3 5 2 2 2" xfId="25222" xr:uid="{D6593539-741D-4D61-AA6F-9BBFA7E7C24B}"/>
    <cellStyle name="Normal 9 3 5 2 2 2 2" xfId="42116" xr:uid="{29C61303-C1F6-462A-97B9-4327C3CB6AA3}"/>
    <cellStyle name="Normal 9 3 5 2 2 3" xfId="16775" xr:uid="{4A27E415-57CF-4C96-8E7D-FB98110752D8}"/>
    <cellStyle name="Normal 9 3 5 2 2 4" xfId="33669" xr:uid="{8936C753-25DF-40CF-9926-0882F192B766}"/>
    <cellStyle name="Normal 9 3 5 2 3" xfId="21005" xr:uid="{A4240AB8-A959-47CD-8C4C-29F69C2F4404}"/>
    <cellStyle name="Normal 9 3 5 2 3 2" xfId="37899" xr:uid="{9CFDE102-92C5-4B50-8BD7-07B8D7C3070A}"/>
    <cellStyle name="Normal 9 3 5 2 4" xfId="12558" xr:uid="{E6DE253F-6B4F-4655-BC5D-17365186BC6F}"/>
    <cellStyle name="Normal 9 3 5 2 5" xfId="29452" xr:uid="{F719DF5D-46BD-4DDE-9A06-695AE631B3A5}"/>
    <cellStyle name="Normal 9 3 5 3" xfId="5304" xr:uid="{00000000-0005-0000-0000-000039200000}"/>
    <cellStyle name="Normal 9 3 5 3 2" xfId="23077" xr:uid="{F6A85E01-AAA9-4FFA-9430-7992B133A81F}"/>
    <cellStyle name="Normal 9 3 5 3 2 2" xfId="39971" xr:uid="{CC7A8FAD-9943-48E8-8343-9EAA2680267A}"/>
    <cellStyle name="Normal 9 3 5 3 3" xfId="14630" xr:uid="{961707E3-4414-49D8-B6AD-ECE9CC9504CB}"/>
    <cellStyle name="Normal 9 3 5 3 4" xfId="31524" xr:uid="{52D12582-A21A-4F32-B3CA-1D04F242B279}"/>
    <cellStyle name="Normal 9 3 5 4" xfId="9201" xr:uid="{46D523D7-8DEB-46FB-8F1C-8CE8C2FC3AD3}"/>
    <cellStyle name="Normal 9 3 5 4 2" xfId="18860" xr:uid="{BA087A27-3B18-4C2A-800B-62B28E2E060B}"/>
    <cellStyle name="Normal 9 3 5 4 3" xfId="35754" xr:uid="{185414A3-9B40-4D7C-9211-C83EA4293729}"/>
    <cellStyle name="Normal 9 3 5 5" xfId="10413" xr:uid="{7B6A2912-A902-405B-B13B-9DF8578FE34B}"/>
    <cellStyle name="Normal 9 3 5 6" xfId="27307" xr:uid="{50C49A21-27D4-49DE-A4D9-AE6E7B5561D9}"/>
    <cellStyle name="Normal 9 3 6" xfId="1410" xr:uid="{00000000-0005-0000-0000-00003A200000}"/>
    <cellStyle name="Normal 9 3 6 2" xfId="3640" xr:uid="{00000000-0005-0000-0000-00003B200000}"/>
    <cellStyle name="Normal 9 3 6 2 2" xfId="7862" xr:uid="{00000000-0005-0000-0000-00003C200000}"/>
    <cellStyle name="Normal 9 3 6 2 2 2" xfId="25635" xr:uid="{54E76398-DE95-4F83-8994-C6BA20EEFB77}"/>
    <cellStyle name="Normal 9 3 6 2 2 2 2" xfId="42529" xr:uid="{421CD220-3909-4620-BBEF-80DF63689410}"/>
    <cellStyle name="Normal 9 3 6 2 2 3" xfId="17188" xr:uid="{8387ABF3-BD8D-4FF2-B5B2-EF22F990F039}"/>
    <cellStyle name="Normal 9 3 6 2 2 4" xfId="34082" xr:uid="{DBE678BD-DC38-472D-BDA2-AC9C048859CA}"/>
    <cellStyle name="Normal 9 3 6 2 3" xfId="21418" xr:uid="{8D4FA67F-7A8A-4162-BD8A-5DBD17811709}"/>
    <cellStyle name="Normal 9 3 6 2 3 2" xfId="38312" xr:uid="{9230AD2F-412C-41C3-9D0A-84C8B570B0F5}"/>
    <cellStyle name="Normal 9 3 6 2 4" xfId="12971" xr:uid="{163380C6-3340-49F4-9FD4-8FA7ADDE2B0A}"/>
    <cellStyle name="Normal 9 3 6 2 5" xfId="29865" xr:uid="{D7A03B95-C0AC-466C-A76C-0345C3EC63F5}"/>
    <cellStyle name="Normal 9 3 6 3" xfId="5717" xr:uid="{00000000-0005-0000-0000-00003D200000}"/>
    <cellStyle name="Normal 9 3 6 3 2" xfId="23490" xr:uid="{50B1AF67-7073-467F-B467-E62699537193}"/>
    <cellStyle name="Normal 9 3 6 3 2 2" xfId="40384" xr:uid="{28C62623-9977-4639-A186-5C4DC02F776F}"/>
    <cellStyle name="Normal 9 3 6 3 3" xfId="15043" xr:uid="{BB736FB0-A2B1-4111-8F78-AD7C4A0EA4C4}"/>
    <cellStyle name="Normal 9 3 6 3 4" xfId="31937" xr:uid="{A8C9A940-B04F-4AA5-8481-4097DFB1875F}"/>
    <cellStyle name="Normal 9 3 6 4" xfId="19273" xr:uid="{5BCFDDAC-E2BC-4025-98CA-2BCF3C068E8F}"/>
    <cellStyle name="Normal 9 3 6 4 2" xfId="36167" xr:uid="{D685F2E1-4FD0-48E1-A1A5-C8987EF3FCCF}"/>
    <cellStyle name="Normal 9 3 6 5" xfId="10826" xr:uid="{8AC8339F-F2EA-495F-894E-FD95E1179ADF}"/>
    <cellStyle name="Normal 9 3 6 6" xfId="27720" xr:uid="{7D9AF4D5-B328-48C6-9681-33C931CA6386}"/>
    <cellStyle name="Normal 9 3 7" xfId="1823" xr:uid="{00000000-0005-0000-0000-00003E200000}"/>
    <cellStyle name="Normal 9 3 7 2" xfId="4053" xr:uid="{00000000-0005-0000-0000-00003F200000}"/>
    <cellStyle name="Normal 9 3 7 2 2" xfId="8275" xr:uid="{00000000-0005-0000-0000-000040200000}"/>
    <cellStyle name="Normal 9 3 7 2 2 2" xfId="26048" xr:uid="{4B3C7C3D-5119-4FE6-8B3E-9FE41FDE9034}"/>
    <cellStyle name="Normal 9 3 7 2 2 2 2" xfId="42942" xr:uid="{0E929D16-A77B-46DE-B03B-BD220DC726FB}"/>
    <cellStyle name="Normal 9 3 7 2 2 3" xfId="17601" xr:uid="{1396688E-B73C-4353-9CDA-A685C183D713}"/>
    <cellStyle name="Normal 9 3 7 2 2 4" xfId="34495" xr:uid="{3245701F-1403-42BD-A7B1-3BC3F5C8A672}"/>
    <cellStyle name="Normal 9 3 7 2 3" xfId="21831" xr:uid="{B73DD1BE-25D7-47BE-80CB-2F60C0BD6BDB}"/>
    <cellStyle name="Normal 9 3 7 2 3 2" xfId="38725" xr:uid="{FB57BF4C-35EF-46D5-ABD2-C3B5BE91BE37}"/>
    <cellStyle name="Normal 9 3 7 2 4" xfId="13384" xr:uid="{FCE7444F-7975-4E20-9ADD-4B7594A5014B}"/>
    <cellStyle name="Normal 9 3 7 2 5" xfId="30278" xr:uid="{B590B49F-6C81-46B2-A6F7-82284200857D}"/>
    <cellStyle name="Normal 9 3 7 3" xfId="6130" xr:uid="{00000000-0005-0000-0000-000041200000}"/>
    <cellStyle name="Normal 9 3 7 3 2" xfId="23903" xr:uid="{2D6DB1DE-A37D-4E8F-AF84-BD8EF822B32A}"/>
    <cellStyle name="Normal 9 3 7 3 2 2" xfId="40797" xr:uid="{D3B36278-E618-4C3E-B24C-93955801794D}"/>
    <cellStyle name="Normal 9 3 7 3 3" xfId="15456" xr:uid="{9AF5DB25-2161-4058-A4F8-6DE91BF082CC}"/>
    <cellStyle name="Normal 9 3 7 3 4" xfId="32350" xr:uid="{0DC00C40-F423-4DAB-A7DC-B820FA063CAF}"/>
    <cellStyle name="Normal 9 3 7 4" xfId="19686" xr:uid="{F4F05AA5-760B-420B-B388-BF3879379BB1}"/>
    <cellStyle name="Normal 9 3 7 4 2" xfId="36580" xr:uid="{E339C69D-034B-40FB-8C07-092923CEC4E6}"/>
    <cellStyle name="Normal 9 3 7 5" xfId="11239" xr:uid="{2D4F3924-DBC4-477C-BBB4-1C235B8D90B7}"/>
    <cellStyle name="Normal 9 3 7 6" xfId="28133" xr:uid="{E5E5591C-5CCC-45D3-BBFB-00EB59E8EA2C}"/>
    <cellStyle name="Normal 9 3 8" xfId="2237" xr:uid="{00000000-0005-0000-0000-000042200000}"/>
    <cellStyle name="Normal 9 3 8 2" xfId="4466" xr:uid="{00000000-0005-0000-0000-000043200000}"/>
    <cellStyle name="Normal 9 3 8 2 2" xfId="8688" xr:uid="{00000000-0005-0000-0000-000044200000}"/>
    <cellStyle name="Normal 9 3 8 2 2 2" xfId="26461" xr:uid="{AC472D91-648C-49C9-B375-7D7912DFE74C}"/>
    <cellStyle name="Normal 9 3 8 2 2 2 2" xfId="43355" xr:uid="{B7BB9267-355F-4745-9B99-041CC55B30AD}"/>
    <cellStyle name="Normal 9 3 8 2 2 3" xfId="18014" xr:uid="{09E1C065-0B0E-4F23-BFF7-97DF8C530939}"/>
    <cellStyle name="Normal 9 3 8 2 2 4" xfId="34908" xr:uid="{C2F106DB-31DE-4585-B37E-5049193C7AE4}"/>
    <cellStyle name="Normal 9 3 8 2 3" xfId="22244" xr:uid="{C004BCF6-3C88-4AC0-9CE3-124AD11F5E3D}"/>
    <cellStyle name="Normal 9 3 8 2 3 2" xfId="39138" xr:uid="{AE3F4329-E8CF-4F2A-92F7-EB8B8B2CED44}"/>
    <cellStyle name="Normal 9 3 8 2 4" xfId="13797" xr:uid="{81824CE2-E041-4997-9E6D-8A80C71FCCEC}"/>
    <cellStyle name="Normal 9 3 8 2 5" xfId="30691" xr:uid="{8E7D7F42-46A4-425D-B9A1-E89FB1D0E1D5}"/>
    <cellStyle name="Normal 9 3 8 3" xfId="6543" xr:uid="{00000000-0005-0000-0000-000045200000}"/>
    <cellStyle name="Normal 9 3 8 3 2" xfId="24316" xr:uid="{9E4A7159-0D29-4B7C-817E-F62CBCBAA736}"/>
    <cellStyle name="Normal 9 3 8 3 2 2" xfId="41210" xr:uid="{7BE5C6A5-8168-4D23-A1F6-69FB6C5D12CB}"/>
    <cellStyle name="Normal 9 3 8 3 3" xfId="15869" xr:uid="{89657D40-E0C7-4935-892C-74795F2877D1}"/>
    <cellStyle name="Normal 9 3 8 3 4" xfId="32763" xr:uid="{06C43777-91FA-4CF6-9619-5129741D43B8}"/>
    <cellStyle name="Normal 9 3 8 4" xfId="20099" xr:uid="{7A9ADC3A-FC29-44F6-AEAB-9D0107FEDFC1}"/>
    <cellStyle name="Normal 9 3 8 4 2" xfId="36993" xr:uid="{27575898-EAE3-4733-AD9F-2F3E7F88140D}"/>
    <cellStyle name="Normal 9 3 8 5" xfId="11652" xr:uid="{FCB9E1AA-A524-458D-93F7-2CA4EAD2F7B4}"/>
    <cellStyle name="Normal 9 3 8 6" xfId="28546" xr:uid="{952B0BAD-9B78-40F9-ACE5-252E761A2B2F}"/>
    <cellStyle name="Normal 9 3 9" xfId="2673" xr:uid="{00000000-0005-0000-0000-000046200000}"/>
    <cellStyle name="Normal 9 3 9 2" xfId="6956" xr:uid="{00000000-0005-0000-0000-000047200000}"/>
    <cellStyle name="Normal 9 3 9 2 2" xfId="24729" xr:uid="{706FD851-67A4-4A64-B4DA-A52E9742E5D2}"/>
    <cellStyle name="Normal 9 3 9 2 2 2" xfId="41623" xr:uid="{0967AFD9-A65B-4E77-BFB4-B6D8C931752E}"/>
    <cellStyle name="Normal 9 3 9 2 3" xfId="16282" xr:uid="{96502B6F-91CA-4F12-B442-B7B2F76C7731}"/>
    <cellStyle name="Normal 9 3 9 2 4" xfId="33176" xr:uid="{3F8874F2-A076-46D4-B96B-13DA42634AB5}"/>
    <cellStyle name="Normal 9 3 9 3" xfId="20512" xr:uid="{ABE72421-5FA0-47D1-A602-6F58B881BCB5}"/>
    <cellStyle name="Normal 9 3 9 3 2" xfId="37406" xr:uid="{54E4357E-1C21-4E0A-A2ED-E9F325935E85}"/>
    <cellStyle name="Normal 9 3 9 4" xfId="12065" xr:uid="{CF0BBA11-0EC4-4F20-B69E-D6121956CFD5}"/>
    <cellStyle name="Normal 9 3 9 5" xfId="28959" xr:uid="{E4B0DC26-B49A-47A6-A3DA-8B43E0FDA2AB}"/>
    <cellStyle name="Normal 9 4" xfId="535" xr:uid="{00000000-0005-0000-0000-000048200000}"/>
    <cellStyle name="Normal 9 4 2" xfId="1002" xr:uid="{00000000-0005-0000-0000-000049200000}"/>
    <cellStyle name="Normal 9 5" xfId="536" xr:uid="{00000000-0005-0000-0000-00004A200000}"/>
    <cellStyle name="Normal 9 5 10" xfId="10008" xr:uid="{23F5FF06-B6A8-4782-BCF8-BC16120890F5}"/>
    <cellStyle name="Normal 9 5 11" xfId="26902" xr:uid="{A373BA0C-DE0D-4BC5-AC1F-92783ED7333E}"/>
    <cellStyle name="Normal 9 5 2" xfId="537" xr:uid="{00000000-0005-0000-0000-00004B200000}"/>
    <cellStyle name="Normal 9 5 2 10" xfId="26903" xr:uid="{7B1F6C76-B46B-42B7-B566-66C1585D67AF}"/>
    <cellStyle name="Normal 9 5 2 2" xfId="1004" xr:uid="{00000000-0005-0000-0000-00004C200000}"/>
    <cellStyle name="Normal 9 5 2 2 2" xfId="3236" xr:uid="{00000000-0005-0000-0000-00004D200000}"/>
    <cellStyle name="Normal 9 5 2 2 2 2" xfId="7458" xr:uid="{00000000-0005-0000-0000-00004E200000}"/>
    <cellStyle name="Normal 9 5 2 2 2 2 2" xfId="25231" xr:uid="{7404AC64-4301-43CF-ABDB-214BCD7BEEC9}"/>
    <cellStyle name="Normal 9 5 2 2 2 2 2 2" xfId="42125" xr:uid="{201F7CCE-20DC-49B0-AF9F-114F20146C59}"/>
    <cellStyle name="Normal 9 5 2 2 2 2 3" xfId="16784" xr:uid="{1CB9C29F-49CF-4BA5-9AB4-4D0ABDBDED3B}"/>
    <cellStyle name="Normal 9 5 2 2 2 2 4" xfId="33678" xr:uid="{299F5538-ED3D-4346-9376-8490978ACF0A}"/>
    <cellStyle name="Normal 9 5 2 2 2 3" xfId="21014" xr:uid="{44B49220-DAD1-4389-87D6-DE03632D8C97}"/>
    <cellStyle name="Normal 9 5 2 2 2 3 2" xfId="37908" xr:uid="{D11BBAFC-D6DE-4094-8D83-948494FB15E5}"/>
    <cellStyle name="Normal 9 5 2 2 2 4" xfId="12567" xr:uid="{D692B2FE-4EBD-4CE7-B300-54DA42600D86}"/>
    <cellStyle name="Normal 9 5 2 2 2 5" xfId="29461" xr:uid="{8D6F6B8E-FBA9-466D-ADEC-8E883D2F9A92}"/>
    <cellStyle name="Normal 9 5 2 2 3" xfId="5313" xr:uid="{00000000-0005-0000-0000-00004F200000}"/>
    <cellStyle name="Normal 9 5 2 2 3 2" xfId="23086" xr:uid="{85E7BFE2-A6DC-43B4-BA22-72DAE6522F61}"/>
    <cellStyle name="Normal 9 5 2 2 3 2 2" xfId="39980" xr:uid="{13E22812-3D23-478B-953A-0CC5484F63F2}"/>
    <cellStyle name="Normal 9 5 2 2 3 3" xfId="14639" xr:uid="{79EC1C92-2FAB-480E-BB16-2A984CA3ECFD}"/>
    <cellStyle name="Normal 9 5 2 2 3 4" xfId="31533" xr:uid="{3D4AB67E-738F-4053-A490-9A09FC732D6E}"/>
    <cellStyle name="Normal 9 5 2 2 4" xfId="9480" xr:uid="{BC9702BE-C2B3-450A-99DF-6FFE7C7A82FD}"/>
    <cellStyle name="Normal 9 5 2 2 4 2" xfId="18869" xr:uid="{EDB02269-38EF-4752-94F4-76B14F62A064}"/>
    <cellStyle name="Normal 9 5 2 2 4 3" xfId="35763" xr:uid="{E36CF78E-56EF-48F3-8A51-6572C507CF9B}"/>
    <cellStyle name="Normal 9 5 2 2 5" xfId="10422" xr:uid="{740B28DA-846C-477E-9E3B-025CB034D117}"/>
    <cellStyle name="Normal 9 5 2 2 6" xfId="27316" xr:uid="{5D3E5EA4-1121-4C80-B919-96D23338BDA8}"/>
    <cellStyle name="Normal 9 5 2 3" xfId="1419" xr:uid="{00000000-0005-0000-0000-000050200000}"/>
    <cellStyle name="Normal 9 5 2 3 2" xfId="3649" xr:uid="{00000000-0005-0000-0000-000051200000}"/>
    <cellStyle name="Normal 9 5 2 3 2 2" xfId="7871" xr:uid="{00000000-0005-0000-0000-000052200000}"/>
    <cellStyle name="Normal 9 5 2 3 2 2 2" xfId="25644" xr:uid="{45D2F325-8509-494E-B00B-FA9BF93F2264}"/>
    <cellStyle name="Normal 9 5 2 3 2 2 2 2" xfId="42538" xr:uid="{241F2279-6356-4D55-822B-6132652F70BC}"/>
    <cellStyle name="Normal 9 5 2 3 2 2 3" xfId="17197" xr:uid="{7D725EDB-7A89-466F-884E-061933BCC3F6}"/>
    <cellStyle name="Normal 9 5 2 3 2 2 4" xfId="34091" xr:uid="{D5583103-4191-4AEA-8A5E-929C9337DE46}"/>
    <cellStyle name="Normal 9 5 2 3 2 3" xfId="21427" xr:uid="{754A06F2-B284-443D-8202-FE01E2F7E86B}"/>
    <cellStyle name="Normal 9 5 2 3 2 3 2" xfId="38321" xr:uid="{DA20CFD7-AB8A-41C0-A97B-A0917C597FF6}"/>
    <cellStyle name="Normal 9 5 2 3 2 4" xfId="12980" xr:uid="{36AB0E7C-8811-4882-8DBD-9987ABF0FECB}"/>
    <cellStyle name="Normal 9 5 2 3 2 5" xfId="29874" xr:uid="{AAA88EF1-74AC-448E-B5D2-F0BAC897D14B}"/>
    <cellStyle name="Normal 9 5 2 3 3" xfId="5726" xr:uid="{00000000-0005-0000-0000-000053200000}"/>
    <cellStyle name="Normal 9 5 2 3 3 2" xfId="23499" xr:uid="{20776BF9-B256-447B-A5CE-0A5DDBF4C298}"/>
    <cellStyle name="Normal 9 5 2 3 3 2 2" xfId="40393" xr:uid="{6A7F1CF0-1072-4EA5-BAB6-A0F634937526}"/>
    <cellStyle name="Normal 9 5 2 3 3 3" xfId="15052" xr:uid="{585847AC-DB16-4F89-8694-BC7B5C03703B}"/>
    <cellStyle name="Normal 9 5 2 3 3 4" xfId="31946" xr:uid="{4EAB5674-CB3E-42F6-8D18-F3B24BCFCC8C}"/>
    <cellStyle name="Normal 9 5 2 3 4" xfId="19282" xr:uid="{6799ECED-44A2-47AA-BDDF-5DC9A72A4143}"/>
    <cellStyle name="Normal 9 5 2 3 4 2" xfId="36176" xr:uid="{744BEEF6-C630-4072-9E07-ECD26588F1D2}"/>
    <cellStyle name="Normal 9 5 2 3 5" xfId="10835" xr:uid="{F5BF412F-92FC-4CC9-BE43-A70173DCC7E6}"/>
    <cellStyle name="Normal 9 5 2 3 6" xfId="27729" xr:uid="{F1D525A1-9C4C-4103-A289-0788AF2202DC}"/>
    <cellStyle name="Normal 9 5 2 4" xfId="1832" xr:uid="{00000000-0005-0000-0000-000054200000}"/>
    <cellStyle name="Normal 9 5 2 4 2" xfId="4062" xr:uid="{00000000-0005-0000-0000-000055200000}"/>
    <cellStyle name="Normal 9 5 2 4 2 2" xfId="8284" xr:uid="{00000000-0005-0000-0000-000056200000}"/>
    <cellStyle name="Normal 9 5 2 4 2 2 2" xfId="26057" xr:uid="{728CA57E-983E-4C8F-8298-E21033D72C82}"/>
    <cellStyle name="Normal 9 5 2 4 2 2 2 2" xfId="42951" xr:uid="{1BF5A4A3-3335-4747-8EA7-7E644E0AA859}"/>
    <cellStyle name="Normal 9 5 2 4 2 2 3" xfId="17610" xr:uid="{0B093727-F7A7-41F3-84AA-FB4928B8548F}"/>
    <cellStyle name="Normal 9 5 2 4 2 2 4" xfId="34504" xr:uid="{E4ACF91F-5A7A-4121-9773-CF3389C527E0}"/>
    <cellStyle name="Normal 9 5 2 4 2 3" xfId="21840" xr:uid="{9DF820AE-7695-4B9F-873D-049CCB76C751}"/>
    <cellStyle name="Normal 9 5 2 4 2 3 2" xfId="38734" xr:uid="{40661A7D-9428-4695-A858-173335441BF8}"/>
    <cellStyle name="Normal 9 5 2 4 2 4" xfId="13393" xr:uid="{F34C1AC8-EA20-4975-930E-75C716B54AE6}"/>
    <cellStyle name="Normal 9 5 2 4 2 5" xfId="30287" xr:uid="{CF928BB6-8AFB-4293-A2D4-313E6D7C66D2}"/>
    <cellStyle name="Normal 9 5 2 4 3" xfId="6139" xr:uid="{00000000-0005-0000-0000-000057200000}"/>
    <cellStyle name="Normal 9 5 2 4 3 2" xfId="23912" xr:uid="{C69EBA60-1288-4D69-9FAC-EF0C0C4498AD}"/>
    <cellStyle name="Normal 9 5 2 4 3 2 2" xfId="40806" xr:uid="{E4B15936-78E2-495C-BC88-27B3B78A01B9}"/>
    <cellStyle name="Normal 9 5 2 4 3 3" xfId="15465" xr:uid="{4B60885B-7935-47D0-8F1A-148E39109141}"/>
    <cellStyle name="Normal 9 5 2 4 3 4" xfId="32359" xr:uid="{B3F594DE-EE4E-4BB3-9454-89737503233B}"/>
    <cellStyle name="Normal 9 5 2 4 4" xfId="19695" xr:uid="{1845017F-B2FA-4380-8CDB-09020F7CC2F0}"/>
    <cellStyle name="Normal 9 5 2 4 4 2" xfId="36589" xr:uid="{CDB27353-B549-4F17-9251-A5A10F1BFF19}"/>
    <cellStyle name="Normal 9 5 2 4 5" xfId="11248" xr:uid="{D7BB7110-588F-4560-920E-AA3E71319527}"/>
    <cellStyle name="Normal 9 5 2 4 6" xfId="28142" xr:uid="{E57979EB-3645-4E9B-B2DF-F0B36FBD9B63}"/>
    <cellStyle name="Normal 9 5 2 5" xfId="2246" xr:uid="{00000000-0005-0000-0000-000058200000}"/>
    <cellStyle name="Normal 9 5 2 5 2" xfId="4475" xr:uid="{00000000-0005-0000-0000-000059200000}"/>
    <cellStyle name="Normal 9 5 2 5 2 2" xfId="8697" xr:uid="{00000000-0005-0000-0000-00005A200000}"/>
    <cellStyle name="Normal 9 5 2 5 2 2 2" xfId="26470" xr:uid="{49295C43-C80E-4FF6-90D6-C0A8AA4AD73B}"/>
    <cellStyle name="Normal 9 5 2 5 2 2 2 2" xfId="43364" xr:uid="{3921C61C-FBE2-4656-95C0-E85D96084FEA}"/>
    <cellStyle name="Normal 9 5 2 5 2 2 3" xfId="18023" xr:uid="{9045E3F3-6133-4E04-927E-D63437A06546}"/>
    <cellStyle name="Normal 9 5 2 5 2 2 4" xfId="34917" xr:uid="{D332BED3-F66A-4831-8A72-FC813E4DA434}"/>
    <cellStyle name="Normal 9 5 2 5 2 3" xfId="22253" xr:uid="{8716D3A8-F080-4EA8-B851-2DC4451E6CC5}"/>
    <cellStyle name="Normal 9 5 2 5 2 3 2" xfId="39147" xr:uid="{6FB7CB9E-570E-4AD0-9759-15E980F80F35}"/>
    <cellStyle name="Normal 9 5 2 5 2 4" xfId="13806" xr:uid="{46F754CE-F2AC-45B7-ABB9-6F1C223ACAB2}"/>
    <cellStyle name="Normal 9 5 2 5 2 5" xfId="30700" xr:uid="{E521929B-F752-4435-8C99-BAFDB6F41EDD}"/>
    <cellStyle name="Normal 9 5 2 5 3" xfId="6552" xr:uid="{00000000-0005-0000-0000-00005B200000}"/>
    <cellStyle name="Normal 9 5 2 5 3 2" xfId="24325" xr:uid="{794D85C0-4F7A-4BB7-A93B-2AA7F02AC144}"/>
    <cellStyle name="Normal 9 5 2 5 3 2 2" xfId="41219" xr:uid="{DBE21202-54E3-450C-9A66-123B17306377}"/>
    <cellStyle name="Normal 9 5 2 5 3 3" xfId="15878" xr:uid="{BBDE45D9-255B-4AB7-9493-0434C81FC5DE}"/>
    <cellStyle name="Normal 9 5 2 5 3 4" xfId="32772" xr:uid="{A99DC3A5-5C69-4869-9068-28D0A81742DF}"/>
    <cellStyle name="Normal 9 5 2 5 4" xfId="20108" xr:uid="{4427AD44-BFB9-426D-AF13-DC260BD56C94}"/>
    <cellStyle name="Normal 9 5 2 5 4 2" xfId="37002" xr:uid="{03B11BBC-C317-4E70-A3E6-0D2C4375FAFA}"/>
    <cellStyle name="Normal 9 5 2 5 5" xfId="11661" xr:uid="{018DA8CA-379B-4C36-8ABA-797749319CFA}"/>
    <cellStyle name="Normal 9 5 2 5 6" xfId="28555" xr:uid="{D86B05D1-31F0-4F6E-9EBA-9E093BACC7BF}"/>
    <cellStyle name="Normal 9 5 2 6" xfId="2682" xr:uid="{00000000-0005-0000-0000-00005C200000}"/>
    <cellStyle name="Normal 9 5 2 6 2" xfId="6965" xr:uid="{00000000-0005-0000-0000-00005D200000}"/>
    <cellStyle name="Normal 9 5 2 6 2 2" xfId="24738" xr:uid="{865D002E-698F-43DB-94D8-5E107E6C31C5}"/>
    <cellStyle name="Normal 9 5 2 6 2 2 2" xfId="41632" xr:uid="{A427C0C3-7098-4593-B80D-6B9561382C64}"/>
    <cellStyle name="Normal 9 5 2 6 2 3" xfId="16291" xr:uid="{4BF52321-AC20-4FAA-8F2B-BFE0CCF71363}"/>
    <cellStyle name="Normal 9 5 2 6 2 4" xfId="33185" xr:uid="{04621B09-37D2-4BA2-AACB-B7D494532596}"/>
    <cellStyle name="Normal 9 5 2 6 3" xfId="20521" xr:uid="{1F3D406B-59AB-469F-8DA3-5E90BE9A5634}"/>
    <cellStyle name="Normal 9 5 2 6 3 2" xfId="37415" xr:uid="{38973604-A43C-40C2-8A67-C1F58F76DD1C}"/>
    <cellStyle name="Normal 9 5 2 6 4" xfId="12074" xr:uid="{F468CFD6-4FE7-4318-853D-255CA5F589E9}"/>
    <cellStyle name="Normal 9 5 2 6 5" xfId="28968" xr:uid="{12A04450-F341-43DE-AF93-C5FF4E445B8B}"/>
    <cellStyle name="Normal 9 5 2 7" xfId="4900" xr:uid="{00000000-0005-0000-0000-00005E200000}"/>
    <cellStyle name="Normal 9 5 2 7 2" xfId="22673" xr:uid="{6CEF8A73-E50C-4622-A732-CBBDA1968AF5}"/>
    <cellStyle name="Normal 9 5 2 7 2 2" xfId="39567" xr:uid="{41FC2542-DB01-4C8B-8D35-52D7C338C87B}"/>
    <cellStyle name="Normal 9 5 2 7 3" xfId="14226" xr:uid="{BC889396-59CB-46CC-9D61-31C8934408C8}"/>
    <cellStyle name="Normal 9 5 2 7 4" xfId="31120" xr:uid="{6BB85B49-F98B-40B1-A0E2-4A604C17E627}"/>
    <cellStyle name="Normal 9 5 2 8" xfId="9055" xr:uid="{3DD071E2-A4B3-45E3-9F20-3C2D5AEE5CB2}"/>
    <cellStyle name="Normal 9 5 2 8 2" xfId="18456" xr:uid="{CE442A58-7464-40EF-B982-5C9A9C15434A}"/>
    <cellStyle name="Normal 9 5 2 8 3" xfId="35350" xr:uid="{A7540386-CFF0-4145-B363-C45225B9BBCC}"/>
    <cellStyle name="Normal 9 5 2 9" xfId="10009" xr:uid="{5D1EBE5F-B260-4C3B-8ACB-9D579295E3CF}"/>
    <cellStyle name="Normal 9 5 3" xfId="1003" xr:uid="{00000000-0005-0000-0000-00005F200000}"/>
    <cellStyle name="Normal 9 5 3 2" xfId="3235" xr:uid="{00000000-0005-0000-0000-000060200000}"/>
    <cellStyle name="Normal 9 5 3 2 2" xfId="7457" xr:uid="{00000000-0005-0000-0000-000061200000}"/>
    <cellStyle name="Normal 9 5 3 2 2 2" xfId="25230" xr:uid="{553D7369-55B9-4E07-90EF-6FA0B9E0AEDF}"/>
    <cellStyle name="Normal 9 5 3 2 2 2 2" xfId="42124" xr:uid="{CEF58FB9-70AE-4C9C-B8AE-AB46DACC23A8}"/>
    <cellStyle name="Normal 9 5 3 2 2 3" xfId="16783" xr:uid="{64DF2F90-ACAB-4B16-814A-D67219B17C73}"/>
    <cellStyle name="Normal 9 5 3 2 2 4" xfId="33677" xr:uid="{F07EF6F9-8CA4-4047-8460-E68F284041AC}"/>
    <cellStyle name="Normal 9 5 3 2 3" xfId="21013" xr:uid="{BC183514-E013-4AC6-81B3-15E405DD48EA}"/>
    <cellStyle name="Normal 9 5 3 2 3 2" xfId="37907" xr:uid="{5B6ABEAE-6F98-4A59-AE74-6C13BFCCDC70}"/>
    <cellStyle name="Normal 9 5 3 2 4" xfId="12566" xr:uid="{B170BAF8-80DE-41D3-AEE0-81168E74BC4A}"/>
    <cellStyle name="Normal 9 5 3 2 5" xfId="29460" xr:uid="{55627132-5704-4C32-98ED-D82C3F0BC484}"/>
    <cellStyle name="Normal 9 5 3 3" xfId="5312" xr:uid="{00000000-0005-0000-0000-000062200000}"/>
    <cellStyle name="Normal 9 5 3 3 2" xfId="23085" xr:uid="{E2232305-18CE-4512-9F31-85E9AC011AE7}"/>
    <cellStyle name="Normal 9 5 3 3 2 2" xfId="39979" xr:uid="{18433350-79B9-4DA0-B89E-EB0A52A53FFF}"/>
    <cellStyle name="Normal 9 5 3 3 3" xfId="14638" xr:uid="{FDAC240C-073C-46C0-B2CC-0E404BBAE7EC}"/>
    <cellStyle name="Normal 9 5 3 3 4" xfId="31532" xr:uid="{4D4E8387-25FF-48CA-B578-A0ACD17C8BA8}"/>
    <cellStyle name="Normal 9 5 3 4" xfId="9273" xr:uid="{AE6CB61B-02C5-436E-A328-3B2AC8AC9E53}"/>
    <cellStyle name="Normal 9 5 3 4 2" xfId="18868" xr:uid="{8E98A566-FADB-4F50-9DD4-19714100D5F3}"/>
    <cellStyle name="Normal 9 5 3 4 3" xfId="35762" xr:uid="{1054769C-E819-400E-9B06-661D62E5D541}"/>
    <cellStyle name="Normal 9 5 3 5" xfId="10421" xr:uid="{763611D7-2B2E-44AF-8437-53119153BDE1}"/>
    <cellStyle name="Normal 9 5 3 6" xfId="27315" xr:uid="{A7F4C65F-6A63-491F-9A95-73332EA7A3F4}"/>
    <cellStyle name="Normal 9 5 4" xfId="1418" xr:uid="{00000000-0005-0000-0000-000063200000}"/>
    <cellStyle name="Normal 9 5 4 2" xfId="3648" xr:uid="{00000000-0005-0000-0000-000064200000}"/>
    <cellStyle name="Normal 9 5 4 2 2" xfId="7870" xr:uid="{00000000-0005-0000-0000-000065200000}"/>
    <cellStyle name="Normal 9 5 4 2 2 2" xfId="25643" xr:uid="{3BEEAD1B-1A49-4535-9182-11C5775C43DB}"/>
    <cellStyle name="Normal 9 5 4 2 2 2 2" xfId="42537" xr:uid="{E80E0695-A518-4039-80FC-0EEB98255920}"/>
    <cellStyle name="Normal 9 5 4 2 2 3" xfId="17196" xr:uid="{090D782B-8D26-4EBA-BFA3-5C5CED3E8A62}"/>
    <cellStyle name="Normal 9 5 4 2 2 4" xfId="34090" xr:uid="{1EF3FEFB-514A-4DD7-B719-8293EA0B7CD6}"/>
    <cellStyle name="Normal 9 5 4 2 3" xfId="21426" xr:uid="{10ED3EEB-9550-49ED-84F0-5AC29B28B8F8}"/>
    <cellStyle name="Normal 9 5 4 2 3 2" xfId="38320" xr:uid="{650CA1CF-8451-48F6-8472-AB410A31EFFE}"/>
    <cellStyle name="Normal 9 5 4 2 4" xfId="12979" xr:uid="{C2A0CAED-286F-4CAF-A5D5-E679A5CFE29B}"/>
    <cellStyle name="Normal 9 5 4 2 5" xfId="29873" xr:uid="{5625FBA4-8CCE-4EA2-950C-6892A5D0C77D}"/>
    <cellStyle name="Normal 9 5 4 3" xfId="5725" xr:uid="{00000000-0005-0000-0000-000066200000}"/>
    <cellStyle name="Normal 9 5 4 3 2" xfId="23498" xr:uid="{4C5DC48F-4985-4AE0-A7C3-EE6C189EE66F}"/>
    <cellStyle name="Normal 9 5 4 3 2 2" xfId="40392" xr:uid="{589F15D1-B082-49A0-99E6-4FB672846D5C}"/>
    <cellStyle name="Normal 9 5 4 3 3" xfId="15051" xr:uid="{48A459F1-A230-4B2F-9E32-A48923F15B01}"/>
    <cellStyle name="Normal 9 5 4 3 4" xfId="31945" xr:uid="{65181E80-C245-44C2-A848-A090E21585D2}"/>
    <cellStyle name="Normal 9 5 4 4" xfId="19281" xr:uid="{4B4E9694-05B2-463A-8875-9BF1D105F5F7}"/>
    <cellStyle name="Normal 9 5 4 4 2" xfId="36175" xr:uid="{1002CEB7-A080-426B-B1C1-7138B1F3DDF5}"/>
    <cellStyle name="Normal 9 5 4 5" xfId="10834" xr:uid="{269C9C5D-724E-43FE-ACC0-9B25277FE12F}"/>
    <cellStyle name="Normal 9 5 4 6" xfId="27728" xr:uid="{4B86C3CC-3217-46EA-A71B-F5C66387727B}"/>
    <cellStyle name="Normal 9 5 5" xfId="1831" xr:uid="{00000000-0005-0000-0000-000067200000}"/>
    <cellStyle name="Normal 9 5 5 2" xfId="4061" xr:uid="{00000000-0005-0000-0000-000068200000}"/>
    <cellStyle name="Normal 9 5 5 2 2" xfId="8283" xr:uid="{00000000-0005-0000-0000-000069200000}"/>
    <cellStyle name="Normal 9 5 5 2 2 2" xfId="26056" xr:uid="{A0CA5A10-97CA-4450-814B-53AEA30C22F8}"/>
    <cellStyle name="Normal 9 5 5 2 2 2 2" xfId="42950" xr:uid="{D56C1E61-105B-428F-9A33-192685A280B3}"/>
    <cellStyle name="Normal 9 5 5 2 2 3" xfId="17609" xr:uid="{692D2195-7289-4077-BC1F-90CCFDB3EA04}"/>
    <cellStyle name="Normal 9 5 5 2 2 4" xfId="34503" xr:uid="{71A6F3C3-4231-49F1-848A-7C99FD7D841F}"/>
    <cellStyle name="Normal 9 5 5 2 3" xfId="21839" xr:uid="{B8953644-4C9D-4D9E-9C71-6F8774B802CD}"/>
    <cellStyle name="Normal 9 5 5 2 3 2" xfId="38733" xr:uid="{1DB621CD-9373-49E9-A008-7039A48D095F}"/>
    <cellStyle name="Normal 9 5 5 2 4" xfId="13392" xr:uid="{6B262D24-3225-4324-B5DC-AA201CFF1543}"/>
    <cellStyle name="Normal 9 5 5 2 5" xfId="30286" xr:uid="{58A49E5A-DD53-4E62-8FEC-535B27973E81}"/>
    <cellStyle name="Normal 9 5 5 3" xfId="6138" xr:uid="{00000000-0005-0000-0000-00006A200000}"/>
    <cellStyle name="Normal 9 5 5 3 2" xfId="23911" xr:uid="{D9E868B9-0A1B-4A11-A2CD-C573DF8D9BF2}"/>
    <cellStyle name="Normal 9 5 5 3 2 2" xfId="40805" xr:uid="{0AD6ED8E-C1D3-43C4-9FD6-AA1F1B630355}"/>
    <cellStyle name="Normal 9 5 5 3 3" xfId="15464" xr:uid="{584DC9CC-E1C0-4928-9279-BE470670BA5A}"/>
    <cellStyle name="Normal 9 5 5 3 4" xfId="32358" xr:uid="{16CCF36C-1AEB-457E-959A-632463FA37F6}"/>
    <cellStyle name="Normal 9 5 5 4" xfId="19694" xr:uid="{135325E5-EA29-4169-90AC-9F9B18EBA5E6}"/>
    <cellStyle name="Normal 9 5 5 4 2" xfId="36588" xr:uid="{D1A79942-002E-46B1-810A-FE7A47F541A3}"/>
    <cellStyle name="Normal 9 5 5 5" xfId="11247" xr:uid="{CB64768F-CA55-4583-8031-8C3277658E4A}"/>
    <cellStyle name="Normal 9 5 5 6" xfId="28141" xr:uid="{3598AC9A-917A-4316-9CDE-2C7716EDA650}"/>
    <cellStyle name="Normal 9 5 6" xfId="2245" xr:uid="{00000000-0005-0000-0000-00006B200000}"/>
    <cellStyle name="Normal 9 5 6 2" xfId="4474" xr:uid="{00000000-0005-0000-0000-00006C200000}"/>
    <cellStyle name="Normal 9 5 6 2 2" xfId="8696" xr:uid="{00000000-0005-0000-0000-00006D200000}"/>
    <cellStyle name="Normal 9 5 6 2 2 2" xfId="26469" xr:uid="{EA961C38-5F95-4C16-9087-D08246935068}"/>
    <cellStyle name="Normal 9 5 6 2 2 2 2" xfId="43363" xr:uid="{4EB8423F-8B86-4A65-B0C9-B7A8144653B9}"/>
    <cellStyle name="Normal 9 5 6 2 2 3" xfId="18022" xr:uid="{40A8DCFA-0906-4F11-9B96-5743E3C65A17}"/>
    <cellStyle name="Normal 9 5 6 2 2 4" xfId="34916" xr:uid="{8F77464E-2FD8-4A19-8164-BFC7A1B663E9}"/>
    <cellStyle name="Normal 9 5 6 2 3" xfId="22252" xr:uid="{5D167E57-C045-4D1F-AC0D-F29CE2D15941}"/>
    <cellStyle name="Normal 9 5 6 2 3 2" xfId="39146" xr:uid="{E55D59C1-4D24-4E75-B4DB-4D1129CFA001}"/>
    <cellStyle name="Normal 9 5 6 2 4" xfId="13805" xr:uid="{E3511E06-78B7-4587-93B8-8AA062E51E59}"/>
    <cellStyle name="Normal 9 5 6 2 5" xfId="30699" xr:uid="{4F7B2D98-3412-4AD7-81FC-72ECAD016D57}"/>
    <cellStyle name="Normal 9 5 6 3" xfId="6551" xr:uid="{00000000-0005-0000-0000-00006E200000}"/>
    <cellStyle name="Normal 9 5 6 3 2" xfId="24324" xr:uid="{E8B8C9CC-3251-4674-A938-5E44BA8C3D07}"/>
    <cellStyle name="Normal 9 5 6 3 2 2" xfId="41218" xr:uid="{07C4B9FB-5047-4691-A8F0-37B2FB33F547}"/>
    <cellStyle name="Normal 9 5 6 3 3" xfId="15877" xr:uid="{4DD1FD94-B36D-48AA-90F8-CBDF24A7B20D}"/>
    <cellStyle name="Normal 9 5 6 3 4" xfId="32771" xr:uid="{2581D191-4C9C-46BA-8918-1ACEE02BF69D}"/>
    <cellStyle name="Normal 9 5 6 4" xfId="20107" xr:uid="{C34F2CC5-3770-4C2C-96E5-A1222F1D192C}"/>
    <cellStyle name="Normal 9 5 6 4 2" xfId="37001" xr:uid="{193593BB-9D4E-4E8D-A116-7173622A842D}"/>
    <cellStyle name="Normal 9 5 6 5" xfId="11660" xr:uid="{7900E7AC-0D7F-4049-A63E-0C7DCC24C0FC}"/>
    <cellStyle name="Normal 9 5 6 6" xfId="28554" xr:uid="{0318DAD2-1BFC-460E-A901-57019E43E1B2}"/>
    <cellStyle name="Normal 9 5 7" xfId="2681" xr:uid="{00000000-0005-0000-0000-00006F200000}"/>
    <cellStyle name="Normal 9 5 7 2" xfId="6964" xr:uid="{00000000-0005-0000-0000-000070200000}"/>
    <cellStyle name="Normal 9 5 7 2 2" xfId="24737" xr:uid="{9C4FC151-6E58-4545-B849-C4B882B83261}"/>
    <cellStyle name="Normal 9 5 7 2 2 2" xfId="41631" xr:uid="{1742C4A5-D757-4DBB-BC62-074152A0DDD2}"/>
    <cellStyle name="Normal 9 5 7 2 3" xfId="16290" xr:uid="{4CC63A19-1EA1-4A20-A923-942A2D4BF329}"/>
    <cellStyle name="Normal 9 5 7 2 4" xfId="33184" xr:uid="{5CB78FD1-289B-44FF-A232-E5C58B1F765C}"/>
    <cellStyle name="Normal 9 5 7 3" xfId="20520" xr:uid="{D9C3870B-1599-4BAB-AC4C-F6582430DF2F}"/>
    <cellStyle name="Normal 9 5 7 3 2" xfId="37414" xr:uid="{98E45353-BCD6-4C41-8A42-90E8C8C03DB6}"/>
    <cellStyle name="Normal 9 5 7 4" xfId="12073" xr:uid="{6AB04300-66A9-48BF-AC4D-7DDE3F880239}"/>
    <cellStyle name="Normal 9 5 7 5" xfId="28967" xr:uid="{7FD1BFA2-1E16-4341-B6F5-1631BFD123EA}"/>
    <cellStyle name="Normal 9 5 8" xfId="4899" xr:uid="{00000000-0005-0000-0000-000071200000}"/>
    <cellStyle name="Normal 9 5 8 2" xfId="22672" xr:uid="{87EC5F0A-AB5C-4A91-828A-CA81E393B64C}"/>
    <cellStyle name="Normal 9 5 8 2 2" xfId="39566" xr:uid="{0D9466FD-63EB-4EF8-852E-3F987119560B}"/>
    <cellStyle name="Normal 9 5 8 3" xfId="14225" xr:uid="{E228D48B-D7C0-4758-880A-C9EF211C4429}"/>
    <cellStyle name="Normal 9 5 8 4" xfId="31119" xr:uid="{6076EFDA-FE45-4BCB-BBB6-3123041196DD}"/>
    <cellStyle name="Normal 9 5 9" xfId="8848" xr:uid="{B1BE5F70-14E5-42B6-9EBA-D267F3B60A08}"/>
    <cellStyle name="Normal 9 5 9 2" xfId="18455" xr:uid="{DD22B64A-4979-4EC6-9D08-C0F363FB55A4}"/>
    <cellStyle name="Normal 9 5 9 3" xfId="35349" xr:uid="{45985163-9E86-4A1F-ADAF-D3E2C431ED40}"/>
    <cellStyle name="Normal 9 6" xfId="538" xr:uid="{00000000-0005-0000-0000-000072200000}"/>
    <cellStyle name="Normal 9 6 10" xfId="26904" xr:uid="{1BD52108-8A4C-4EA8-95ED-DAD42AEDC32E}"/>
    <cellStyle name="Normal 9 6 2" xfId="1005" xr:uid="{00000000-0005-0000-0000-000073200000}"/>
    <cellStyle name="Normal 9 6 2 2" xfId="3237" xr:uid="{00000000-0005-0000-0000-000074200000}"/>
    <cellStyle name="Normal 9 6 2 2 2" xfId="7459" xr:uid="{00000000-0005-0000-0000-000075200000}"/>
    <cellStyle name="Normal 9 6 2 2 2 2" xfId="25232" xr:uid="{930C5316-8458-4D15-AD3C-B4610BB21C7F}"/>
    <cellStyle name="Normal 9 6 2 2 2 2 2" xfId="42126" xr:uid="{9127103E-EED8-47CA-ACEF-1E7572AFC276}"/>
    <cellStyle name="Normal 9 6 2 2 2 3" xfId="16785" xr:uid="{20A7984B-8245-4D93-8AF7-DEB52D0A2AB4}"/>
    <cellStyle name="Normal 9 6 2 2 2 4" xfId="33679" xr:uid="{C10F4271-F2D8-42BE-AC70-FD57ED8FAEEF}"/>
    <cellStyle name="Normal 9 6 2 2 3" xfId="21015" xr:uid="{28E739EA-FAC7-4ED8-A6F0-DF33F9A34B11}"/>
    <cellStyle name="Normal 9 6 2 2 3 2" xfId="37909" xr:uid="{D4E4B3F4-D729-4FEA-97BC-570FAE3A50F8}"/>
    <cellStyle name="Normal 9 6 2 2 4" xfId="12568" xr:uid="{D56595AA-679F-4493-9077-EB4A37192D18}"/>
    <cellStyle name="Normal 9 6 2 2 5" xfId="29462" xr:uid="{BEA7C960-0E61-40AD-9E47-7C552884DAE4}"/>
    <cellStyle name="Normal 9 6 2 3" xfId="5314" xr:uid="{00000000-0005-0000-0000-000076200000}"/>
    <cellStyle name="Normal 9 6 2 3 2" xfId="23087" xr:uid="{37FBEA1F-63B6-4F4E-A14C-E7D4D2679B3E}"/>
    <cellStyle name="Normal 9 6 2 3 2 2" xfId="39981" xr:uid="{D7EE6469-C425-4596-BCCB-7B41A82E76D7}"/>
    <cellStyle name="Normal 9 6 2 3 3" xfId="14640" xr:uid="{F1C79245-90F7-427F-965C-135AF648FB57}"/>
    <cellStyle name="Normal 9 6 2 3 4" xfId="31534" xr:uid="{5C8E77A6-AE25-477B-9905-810B9C766E16}"/>
    <cellStyle name="Normal 9 6 2 4" xfId="9389" xr:uid="{2A0458F6-466A-4C3B-BA39-FF09FD770FDD}"/>
    <cellStyle name="Normal 9 6 2 4 2" xfId="18870" xr:uid="{1FCD5DF6-E7C4-42D3-9E21-3605C2D565CA}"/>
    <cellStyle name="Normal 9 6 2 4 3" xfId="35764" xr:uid="{A73B27BF-2C25-4609-A005-7D173208A0A0}"/>
    <cellStyle name="Normal 9 6 2 5" xfId="10423" xr:uid="{29999570-A49F-486A-8E38-5AEB95DBEC0E}"/>
    <cellStyle name="Normal 9 6 2 6" xfId="27317" xr:uid="{884770EB-6834-4DCF-BBF7-2A554B20D584}"/>
    <cellStyle name="Normal 9 6 3" xfId="1420" xr:uid="{00000000-0005-0000-0000-000077200000}"/>
    <cellStyle name="Normal 9 6 3 2" xfId="3650" xr:uid="{00000000-0005-0000-0000-000078200000}"/>
    <cellStyle name="Normal 9 6 3 2 2" xfId="7872" xr:uid="{00000000-0005-0000-0000-000079200000}"/>
    <cellStyle name="Normal 9 6 3 2 2 2" xfId="25645" xr:uid="{F7423009-E6F1-4535-8074-4FA514D50B16}"/>
    <cellStyle name="Normal 9 6 3 2 2 2 2" xfId="42539" xr:uid="{4CBC9C14-C795-470E-84F2-E4FAF338DE7A}"/>
    <cellStyle name="Normal 9 6 3 2 2 3" xfId="17198" xr:uid="{08DEC651-02AF-4E42-9AE9-A2F9AA737ED3}"/>
    <cellStyle name="Normal 9 6 3 2 2 4" xfId="34092" xr:uid="{3B93A573-41C6-47BA-A968-060A68DB61B4}"/>
    <cellStyle name="Normal 9 6 3 2 3" xfId="21428" xr:uid="{BC719C98-C04E-4A2E-A831-656532C141A5}"/>
    <cellStyle name="Normal 9 6 3 2 3 2" xfId="38322" xr:uid="{E34CB343-AA4B-4A9F-A156-34B196E09B2A}"/>
    <cellStyle name="Normal 9 6 3 2 4" xfId="12981" xr:uid="{5AA6CFDC-CA4A-4D18-A125-E2EFA37D36D4}"/>
    <cellStyle name="Normal 9 6 3 2 5" xfId="29875" xr:uid="{BB50749B-8EF9-405F-BFA7-7D377DFF08DF}"/>
    <cellStyle name="Normal 9 6 3 3" xfId="5727" xr:uid="{00000000-0005-0000-0000-00007A200000}"/>
    <cellStyle name="Normal 9 6 3 3 2" xfId="23500" xr:uid="{FFB4AE08-8061-4BDE-87E9-F270F27A2539}"/>
    <cellStyle name="Normal 9 6 3 3 2 2" xfId="40394" xr:uid="{F4A68D8F-1F30-41B4-A16F-75A1672AFCF5}"/>
    <cellStyle name="Normal 9 6 3 3 3" xfId="15053" xr:uid="{2700B87B-0869-48BE-A1CE-17481DBF3F72}"/>
    <cellStyle name="Normal 9 6 3 3 4" xfId="31947" xr:uid="{74B3F3FD-6D56-4110-8A7C-016B2DD50FC5}"/>
    <cellStyle name="Normal 9 6 3 4" xfId="19283" xr:uid="{009BF5D1-6D2F-4E20-BE67-6B9877663F6C}"/>
    <cellStyle name="Normal 9 6 3 4 2" xfId="36177" xr:uid="{95DCDD19-4A07-423D-8D11-26724C3D0F85}"/>
    <cellStyle name="Normal 9 6 3 5" xfId="10836" xr:uid="{A3D79A56-29AD-4F7E-AD52-F8DBD02A607F}"/>
    <cellStyle name="Normal 9 6 3 6" xfId="27730" xr:uid="{45F87426-2E0D-49EE-AE30-8F9BCFEE1AC6}"/>
    <cellStyle name="Normal 9 6 4" xfId="1833" xr:uid="{00000000-0005-0000-0000-00007B200000}"/>
    <cellStyle name="Normal 9 6 4 2" xfId="4063" xr:uid="{00000000-0005-0000-0000-00007C200000}"/>
    <cellStyle name="Normal 9 6 4 2 2" xfId="8285" xr:uid="{00000000-0005-0000-0000-00007D200000}"/>
    <cellStyle name="Normal 9 6 4 2 2 2" xfId="26058" xr:uid="{8B53BA56-817F-4DCB-8D62-46C424F2AF5B}"/>
    <cellStyle name="Normal 9 6 4 2 2 2 2" xfId="42952" xr:uid="{41ADE7D9-C10D-47F1-A4A0-218DA20F82E0}"/>
    <cellStyle name="Normal 9 6 4 2 2 3" xfId="17611" xr:uid="{D24FEBC2-E44A-4A98-8AB9-2974B1B08AD8}"/>
    <cellStyle name="Normal 9 6 4 2 2 4" xfId="34505" xr:uid="{87986A11-BC51-48F7-9D81-AEFB6D8ACEA0}"/>
    <cellStyle name="Normal 9 6 4 2 3" xfId="21841" xr:uid="{04B6C8D1-42A5-4E72-9215-DB0A1AC553F6}"/>
    <cellStyle name="Normal 9 6 4 2 3 2" xfId="38735" xr:uid="{39DBE66B-1858-4576-900D-85F4FF2FF556}"/>
    <cellStyle name="Normal 9 6 4 2 4" xfId="13394" xr:uid="{46952EFF-F89E-456E-B822-84E71293E7B7}"/>
    <cellStyle name="Normal 9 6 4 2 5" xfId="30288" xr:uid="{0D9387CC-6BCC-4BE3-B9CF-1052EF75F1B1}"/>
    <cellStyle name="Normal 9 6 4 3" xfId="6140" xr:uid="{00000000-0005-0000-0000-00007E200000}"/>
    <cellStyle name="Normal 9 6 4 3 2" xfId="23913" xr:uid="{8B281B47-166E-4CD5-B4B1-C48C22B49CBB}"/>
    <cellStyle name="Normal 9 6 4 3 2 2" xfId="40807" xr:uid="{BA56EA3A-83C4-4FD0-9BE9-857BE01DC7CB}"/>
    <cellStyle name="Normal 9 6 4 3 3" xfId="15466" xr:uid="{EDADD954-25BF-4DBB-877F-365F178D7E0E}"/>
    <cellStyle name="Normal 9 6 4 3 4" xfId="32360" xr:uid="{82E6E10A-DDEE-4E5F-97E1-2370C0982334}"/>
    <cellStyle name="Normal 9 6 4 4" xfId="19696" xr:uid="{428B7798-3444-46AF-8303-6000B1FBC8BA}"/>
    <cellStyle name="Normal 9 6 4 4 2" xfId="36590" xr:uid="{FF3DD3B1-EB83-469C-8E93-CB56C9BC5CA8}"/>
    <cellStyle name="Normal 9 6 4 5" xfId="11249" xr:uid="{37A8361A-983B-4D8D-90CA-A6AF45FFFEA5}"/>
    <cellStyle name="Normal 9 6 4 6" xfId="28143" xr:uid="{2158CB50-2BEF-4385-A09A-6569F8C2F1DF}"/>
    <cellStyle name="Normal 9 6 5" xfId="2247" xr:uid="{00000000-0005-0000-0000-00007F200000}"/>
    <cellStyle name="Normal 9 6 5 2" xfId="4476" xr:uid="{00000000-0005-0000-0000-000080200000}"/>
    <cellStyle name="Normal 9 6 5 2 2" xfId="8698" xr:uid="{00000000-0005-0000-0000-000081200000}"/>
    <cellStyle name="Normal 9 6 5 2 2 2" xfId="26471" xr:uid="{78B98BB7-DE0A-4EA5-B140-CDBB16AF72C4}"/>
    <cellStyle name="Normal 9 6 5 2 2 2 2" xfId="43365" xr:uid="{549D27E4-EF74-411D-AB1F-415B1C02A171}"/>
    <cellStyle name="Normal 9 6 5 2 2 3" xfId="18024" xr:uid="{87970839-B280-4BAA-A168-D19702B2CDC2}"/>
    <cellStyle name="Normal 9 6 5 2 2 4" xfId="34918" xr:uid="{6F02F7C7-5937-4A45-BD20-A7DD906FE3AD}"/>
    <cellStyle name="Normal 9 6 5 2 3" xfId="22254" xr:uid="{CA737801-8B08-4C98-8DC3-6CFAE11F446C}"/>
    <cellStyle name="Normal 9 6 5 2 3 2" xfId="39148" xr:uid="{80DCC620-4651-43D5-8757-6F31C65ECCF0}"/>
    <cellStyle name="Normal 9 6 5 2 4" xfId="13807" xr:uid="{6B7AFB0E-166D-4367-9405-E237A0A3E3DA}"/>
    <cellStyle name="Normal 9 6 5 2 5" xfId="30701" xr:uid="{433EF535-5EB0-4E91-86FE-7485E7ACCB98}"/>
    <cellStyle name="Normal 9 6 5 3" xfId="6553" xr:uid="{00000000-0005-0000-0000-000082200000}"/>
    <cellStyle name="Normal 9 6 5 3 2" xfId="24326" xr:uid="{66E9881D-2D1A-4F73-B130-650F564144B0}"/>
    <cellStyle name="Normal 9 6 5 3 2 2" xfId="41220" xr:uid="{EF534376-07A3-4E15-93FB-F984841559C7}"/>
    <cellStyle name="Normal 9 6 5 3 3" xfId="15879" xr:uid="{E5D9B3F2-FD2A-4472-A4FF-5948A68B2D81}"/>
    <cellStyle name="Normal 9 6 5 3 4" xfId="32773" xr:uid="{1DCEC881-1E09-46B8-9A6D-F7477DA0A08B}"/>
    <cellStyle name="Normal 9 6 5 4" xfId="20109" xr:uid="{51424EC7-3552-42A0-BBA9-86BD0C25AEEA}"/>
    <cellStyle name="Normal 9 6 5 4 2" xfId="37003" xr:uid="{E8956D31-B916-4A12-814C-8758A11A1D2C}"/>
    <cellStyle name="Normal 9 6 5 5" xfId="11662" xr:uid="{F4513367-FFDF-447A-B2AF-5F0898C0AC44}"/>
    <cellStyle name="Normal 9 6 5 6" xfId="28556" xr:uid="{BD3E80BD-345E-4713-9BC7-2D5ABE7D71F1}"/>
    <cellStyle name="Normal 9 6 6" xfId="2683" xr:uid="{00000000-0005-0000-0000-000083200000}"/>
    <cellStyle name="Normal 9 6 6 2" xfId="6966" xr:uid="{00000000-0005-0000-0000-000084200000}"/>
    <cellStyle name="Normal 9 6 6 2 2" xfId="24739" xr:uid="{AD23697B-909D-4C88-B4FA-EE5A5DABEBCD}"/>
    <cellStyle name="Normal 9 6 6 2 2 2" xfId="41633" xr:uid="{BA0C18E1-097C-4674-A360-20D420A7BF91}"/>
    <cellStyle name="Normal 9 6 6 2 3" xfId="16292" xr:uid="{AEA88261-B0A2-498B-9C3A-F3D7B761B564}"/>
    <cellStyle name="Normal 9 6 6 2 4" xfId="33186" xr:uid="{06D067F2-0E9E-4B51-AAF3-EF3D857A3D84}"/>
    <cellStyle name="Normal 9 6 6 3" xfId="20522" xr:uid="{E99685B5-A8A7-463D-87C2-33748DC5972F}"/>
    <cellStyle name="Normal 9 6 6 3 2" xfId="37416" xr:uid="{93E96FD0-945B-46BA-AF2C-6A15060DBE15}"/>
    <cellStyle name="Normal 9 6 6 4" xfId="12075" xr:uid="{B6786676-7163-41BE-BA8D-58B5CAC3FA9E}"/>
    <cellStyle name="Normal 9 6 6 5" xfId="28969" xr:uid="{2DBC91FF-226A-42D1-8B41-D7A7F33B3E75}"/>
    <cellStyle name="Normal 9 6 7" xfId="4901" xr:uid="{00000000-0005-0000-0000-000085200000}"/>
    <cellStyle name="Normal 9 6 7 2" xfId="22674" xr:uid="{C5AA0F34-977D-4D4D-9CFB-969504226507}"/>
    <cellStyle name="Normal 9 6 7 2 2" xfId="39568" xr:uid="{6F9D7176-1EFE-441C-8960-026647CB182E}"/>
    <cellStyle name="Normal 9 6 7 3" xfId="14227" xr:uid="{45F7DF03-67A0-495C-BAE5-9C12BFFA2426}"/>
    <cellStyle name="Normal 9 6 7 4" xfId="31121" xr:uid="{5206F9A5-5879-4047-AA49-078FF00FB61E}"/>
    <cellStyle name="Normal 9 6 8" xfId="8964" xr:uid="{9BBC9C46-7A3A-4BC9-9542-DC33DFA165C2}"/>
    <cellStyle name="Normal 9 6 8 2" xfId="18457" xr:uid="{A80F5BA0-752C-435D-AC08-6ABCC286314B}"/>
    <cellStyle name="Normal 9 6 8 3" xfId="35351" xr:uid="{5A2470A3-71B1-495F-9C11-B0AD2F919251}"/>
    <cellStyle name="Normal 9 6 9" xfId="10010" xr:uid="{5CF4CE01-C268-44D5-AD62-BC56B2E39A2C}"/>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0 2 2" xfId="24820" xr:uid="{9FBFA238-D9B0-4D29-98A3-2412AD393499}"/>
    <cellStyle name="Note 2 2 10 2 2 2" xfId="41714" xr:uid="{608B05C1-4825-4ED8-ABE4-F88B2F3F77B9}"/>
    <cellStyle name="Note 2 2 10 2 3" xfId="16373" xr:uid="{95725ABC-C4D2-427D-82C5-4E1C0B7BD95D}"/>
    <cellStyle name="Note 2 2 10 2 4" xfId="33267" xr:uid="{12B770C7-1E0A-4B39-992B-2FC07DA6EDB9}"/>
    <cellStyle name="Note 2 2 10 3" xfId="20603" xr:uid="{CDC8E647-B45C-46FE-8A8F-662537E779BB}"/>
    <cellStyle name="Note 2 2 10 3 2" xfId="37497" xr:uid="{9E477E36-13B2-4F35-A1B3-2B98648EECD0}"/>
    <cellStyle name="Note 2 2 10 4" xfId="12156" xr:uid="{3D08DF79-2653-4E17-BC82-2548FAF35F9F}"/>
    <cellStyle name="Note 2 2 10 5" xfId="29050" xr:uid="{C1D542A4-1B88-4970-8296-6A87BE28175C}"/>
    <cellStyle name="Note 2 2 11" xfId="4902" xr:uid="{00000000-0005-0000-0000-000094200000}"/>
    <cellStyle name="Note 2 2 11 2" xfId="22675" xr:uid="{FF1DDF68-7EB1-459A-9C52-A179F3FF4A7F}"/>
    <cellStyle name="Note 2 2 11 2 2" xfId="39569" xr:uid="{693EC50C-848A-4D7B-B926-893F321FCFE8}"/>
    <cellStyle name="Note 2 2 11 3" xfId="14228" xr:uid="{CEE63FA2-1B7E-4F8C-B046-99D152DF015D}"/>
    <cellStyle name="Note 2 2 11 4" xfId="31122" xr:uid="{6A2E96C4-3527-49F6-838A-8BA1F1CB9F98}"/>
    <cellStyle name="Note 2 2 12" xfId="8841" xr:uid="{E94E1FD8-31C4-4718-9658-C7A587CBF323}"/>
    <cellStyle name="Note 2 2 12 2" xfId="18458" xr:uid="{5328918F-42E7-4E80-9777-D6D474ED1FCA}"/>
    <cellStyle name="Note 2 2 12 3" xfId="35352" xr:uid="{90D6427A-84ED-4539-83D3-A6F21266E53A}"/>
    <cellStyle name="Note 2 2 13" xfId="10011" xr:uid="{BF6DC467-DFAD-4052-983D-80FA26790F53}"/>
    <cellStyle name="Note 2 2 14" xfId="26905" xr:uid="{2B4F7913-BC91-46E6-99A7-3A34C69C882F}"/>
    <cellStyle name="Note 2 2 2" xfId="546" xr:uid="{00000000-0005-0000-0000-000095200000}"/>
    <cellStyle name="Note 2 2 2 10" xfId="4903" xr:uid="{00000000-0005-0000-0000-000096200000}"/>
    <cellStyle name="Note 2 2 2 10 2" xfId="22676" xr:uid="{46182AA3-1949-403B-BDF5-1AFD683D5BD1}"/>
    <cellStyle name="Note 2 2 2 10 2 2" xfId="39570" xr:uid="{41AD1DC2-86F1-4F47-B1D2-262C5B05FCC3}"/>
    <cellStyle name="Note 2 2 2 10 3" xfId="14229" xr:uid="{368EDF0E-39D3-4E7E-A873-E5F709932FBC}"/>
    <cellStyle name="Note 2 2 2 10 4" xfId="31123" xr:uid="{D80AE7B1-1FF6-493F-898C-2183434C4A99}"/>
    <cellStyle name="Note 2 2 2 11" xfId="8944" xr:uid="{B75A3404-A4A3-41D6-B6C3-54560C6DD592}"/>
    <cellStyle name="Note 2 2 2 11 2" xfId="18459" xr:uid="{28BB5CBA-2158-4152-AC49-84D66679C1E4}"/>
    <cellStyle name="Note 2 2 2 11 3" xfId="35353" xr:uid="{B58099AE-A491-4C2D-8530-35E6EFBFD57D}"/>
    <cellStyle name="Note 2 2 2 12" xfId="10012" xr:uid="{7285BEC2-1FB1-49F5-89A3-D777A305EB45}"/>
    <cellStyle name="Note 2 2 2 13" xfId="26906" xr:uid="{701F18FB-DE11-4792-B66E-95B041F113DD}"/>
    <cellStyle name="Note 2 2 2 2" xfId="547" xr:uid="{00000000-0005-0000-0000-000097200000}"/>
    <cellStyle name="Note 2 2 2 2 10" xfId="9151" xr:uid="{DE810DD8-00EC-4339-9CFC-C84D5E182971}"/>
    <cellStyle name="Note 2 2 2 2 10 2" xfId="18460" xr:uid="{23B4A2AB-CFB5-41C6-8751-0DFFC05B2A8C}"/>
    <cellStyle name="Note 2 2 2 2 10 3" xfId="35354" xr:uid="{953FAF79-5DA0-4545-9B2C-E11C027CB195}"/>
    <cellStyle name="Note 2 2 2 2 11" xfId="10013" xr:uid="{D5CD280C-E3A8-4BCF-A7EC-0E109CCB1DE2}"/>
    <cellStyle name="Note 2 2 2 2 12" xfId="26907" xr:uid="{1065208F-C49E-476F-8E8A-445B0EB4E820}"/>
    <cellStyle name="Note 2 2 2 2 2" xfId="1008" xr:uid="{00000000-0005-0000-0000-000098200000}"/>
    <cellStyle name="Note 2 2 2 2 2 2" xfId="3240" xr:uid="{00000000-0005-0000-0000-000099200000}"/>
    <cellStyle name="Note 2 2 2 2 2 2 2" xfId="7462" xr:uid="{00000000-0005-0000-0000-00009A200000}"/>
    <cellStyle name="Note 2 2 2 2 2 2 2 2" xfId="25235" xr:uid="{AE5A3180-0009-4580-B82C-BCEDEA9CC3A6}"/>
    <cellStyle name="Note 2 2 2 2 2 2 2 2 2" xfId="42129" xr:uid="{281FE6AF-F7A0-48D1-813E-2C3EDC9463B5}"/>
    <cellStyle name="Note 2 2 2 2 2 2 2 3" xfId="16788" xr:uid="{A371F919-F6D3-4842-8BB6-AF233D4635B5}"/>
    <cellStyle name="Note 2 2 2 2 2 2 2 4" xfId="33682" xr:uid="{19A89179-5506-4D5B-A199-F6BE7AEC0A06}"/>
    <cellStyle name="Note 2 2 2 2 2 2 3" xfId="21018" xr:uid="{3876FDB4-0727-42B6-A867-5C9019A43A26}"/>
    <cellStyle name="Note 2 2 2 2 2 2 3 2" xfId="37912" xr:uid="{868D7ADC-AD67-4674-AD79-C5656A9BEF3D}"/>
    <cellStyle name="Note 2 2 2 2 2 2 4" xfId="12571" xr:uid="{7C4F8508-B8FF-42E7-BCF1-B3491EC338C4}"/>
    <cellStyle name="Note 2 2 2 2 2 2 5" xfId="29465" xr:uid="{0A65A8ED-68F9-4F62-8711-5805E40C0CBB}"/>
    <cellStyle name="Note 2 2 2 2 2 3" xfId="5317" xr:uid="{00000000-0005-0000-0000-00009B200000}"/>
    <cellStyle name="Note 2 2 2 2 2 3 2" xfId="23090" xr:uid="{B78CB246-2449-49AF-8B6D-C7BE11EB351D}"/>
    <cellStyle name="Note 2 2 2 2 2 3 2 2" xfId="39984" xr:uid="{809C90E0-6548-472C-9CF2-A072AD89045D}"/>
    <cellStyle name="Note 2 2 2 2 2 3 3" xfId="14643" xr:uid="{49D3A7F9-F3AA-4B20-B275-5C0AA4FCACBF}"/>
    <cellStyle name="Note 2 2 2 2 2 3 4" xfId="31537" xr:uid="{70E2A0F7-29AD-4878-A9B6-8B57E1167E8C}"/>
    <cellStyle name="Note 2 2 2 2 2 4" xfId="9576" xr:uid="{375E296C-598F-454E-B7C4-9E851CE02ED2}"/>
    <cellStyle name="Note 2 2 2 2 2 4 2" xfId="18873" xr:uid="{A59855AB-784F-4353-B671-E7C9C408C71D}"/>
    <cellStyle name="Note 2 2 2 2 2 4 3" xfId="35767" xr:uid="{9123B6D3-BFEC-404F-AF66-9B67A765218A}"/>
    <cellStyle name="Note 2 2 2 2 2 5" xfId="10426" xr:uid="{C5A926D0-119D-4A75-A5F8-5883D6CC5003}"/>
    <cellStyle name="Note 2 2 2 2 2 6" xfId="27320" xr:uid="{81CC1501-1EA2-40DD-A72C-BBBE6A581B46}"/>
    <cellStyle name="Note 2 2 2 2 3" xfId="1423" xr:uid="{00000000-0005-0000-0000-00009C200000}"/>
    <cellStyle name="Note 2 2 2 2 3 2" xfId="3653" xr:uid="{00000000-0005-0000-0000-00009D200000}"/>
    <cellStyle name="Note 2 2 2 2 3 2 2" xfId="7875" xr:uid="{00000000-0005-0000-0000-00009E200000}"/>
    <cellStyle name="Note 2 2 2 2 3 2 2 2" xfId="25648" xr:uid="{170082D0-379F-4E81-99F4-5F2107717FD2}"/>
    <cellStyle name="Note 2 2 2 2 3 2 2 2 2" xfId="42542" xr:uid="{985FF5A9-8011-41A7-A9DC-B4629D5F9D0F}"/>
    <cellStyle name="Note 2 2 2 2 3 2 2 3" xfId="17201" xr:uid="{52A6CEEE-0DD0-4E59-80B6-F61D4A58AD8E}"/>
    <cellStyle name="Note 2 2 2 2 3 2 2 4" xfId="34095" xr:uid="{F1661740-B5FD-48E8-8956-6AF78254A3AE}"/>
    <cellStyle name="Note 2 2 2 2 3 2 3" xfId="21431" xr:uid="{0E759C5C-1C59-4E6E-9BB7-F4AA72656B62}"/>
    <cellStyle name="Note 2 2 2 2 3 2 3 2" xfId="38325" xr:uid="{9F24764B-E824-4B30-B6BD-F01B7B92C38D}"/>
    <cellStyle name="Note 2 2 2 2 3 2 4" xfId="12984" xr:uid="{80CA406E-D136-47D7-819E-FF50E6D6D52B}"/>
    <cellStyle name="Note 2 2 2 2 3 2 5" xfId="29878" xr:uid="{5227E84D-A86A-43AE-81C9-561564CAF1E8}"/>
    <cellStyle name="Note 2 2 2 2 3 3" xfId="5730" xr:uid="{00000000-0005-0000-0000-00009F200000}"/>
    <cellStyle name="Note 2 2 2 2 3 3 2" xfId="23503" xr:uid="{D0F0FB9E-8113-4E2D-940A-B802DC1335F7}"/>
    <cellStyle name="Note 2 2 2 2 3 3 2 2" xfId="40397" xr:uid="{295B1BFC-5EED-492B-8764-CB6F024748EB}"/>
    <cellStyle name="Note 2 2 2 2 3 3 3" xfId="15056" xr:uid="{AF63DE3E-17E1-47F9-B4A7-68E8E8DC01C3}"/>
    <cellStyle name="Note 2 2 2 2 3 3 4" xfId="31950" xr:uid="{5B6B7EAE-7075-43AF-B86E-0F3FC98DFAE6}"/>
    <cellStyle name="Note 2 2 2 2 3 4" xfId="19286" xr:uid="{E84EEABE-6391-4C17-9F9E-5042E64BD791}"/>
    <cellStyle name="Note 2 2 2 2 3 4 2" xfId="36180" xr:uid="{4D9C1BD3-DDDB-42CB-B147-473AA5900BCD}"/>
    <cellStyle name="Note 2 2 2 2 3 5" xfId="10839" xr:uid="{5AB88724-6433-4F59-BC13-4B50B4B44399}"/>
    <cellStyle name="Note 2 2 2 2 3 6" xfId="27733" xr:uid="{C26F942F-F349-4633-BB9F-2DF2B1844A46}"/>
    <cellStyle name="Note 2 2 2 2 4" xfId="1837" xr:uid="{00000000-0005-0000-0000-0000A0200000}"/>
    <cellStyle name="Note 2 2 2 2 4 2" xfId="4066" xr:uid="{00000000-0005-0000-0000-0000A1200000}"/>
    <cellStyle name="Note 2 2 2 2 4 2 2" xfId="8288" xr:uid="{00000000-0005-0000-0000-0000A2200000}"/>
    <cellStyle name="Note 2 2 2 2 4 2 2 2" xfId="26061" xr:uid="{6C41B3B1-87A8-4137-B66F-36A88960B9AA}"/>
    <cellStyle name="Note 2 2 2 2 4 2 2 2 2" xfId="42955" xr:uid="{D40E252B-0337-4422-A109-EAACCA46FF3D}"/>
    <cellStyle name="Note 2 2 2 2 4 2 2 3" xfId="17614" xr:uid="{884AA5DA-2742-4897-A0D3-1CC00766BF66}"/>
    <cellStyle name="Note 2 2 2 2 4 2 2 4" xfId="34508" xr:uid="{A7703A5D-7314-456C-9919-9A326D7F1B18}"/>
    <cellStyle name="Note 2 2 2 2 4 2 3" xfId="21844" xr:uid="{85C36BA4-08A7-4473-B70B-73EA362177E9}"/>
    <cellStyle name="Note 2 2 2 2 4 2 3 2" xfId="38738" xr:uid="{79540530-6092-4F1E-ADF4-6757E044EBD4}"/>
    <cellStyle name="Note 2 2 2 2 4 2 4" xfId="13397" xr:uid="{914618F9-DD3C-4C41-8559-3B9AAF911990}"/>
    <cellStyle name="Note 2 2 2 2 4 2 5" xfId="30291" xr:uid="{D1D42862-6833-4475-B669-2C097DEA3D95}"/>
    <cellStyle name="Note 2 2 2 2 4 3" xfId="6143" xr:uid="{00000000-0005-0000-0000-0000A3200000}"/>
    <cellStyle name="Note 2 2 2 2 4 3 2" xfId="23916" xr:uid="{5D42CC40-EE90-4F44-AFDD-848FDD45919E}"/>
    <cellStyle name="Note 2 2 2 2 4 3 2 2" xfId="40810" xr:uid="{C2924D5A-4966-4BE0-9E9B-0E36753E0916}"/>
    <cellStyle name="Note 2 2 2 2 4 3 3" xfId="15469" xr:uid="{9978524F-7F09-498F-B3ED-4747CD422713}"/>
    <cellStyle name="Note 2 2 2 2 4 3 4" xfId="32363" xr:uid="{9A55FB70-C3CF-4A70-B140-ABAAE27DDFEA}"/>
    <cellStyle name="Note 2 2 2 2 4 4" xfId="19699" xr:uid="{29B344DD-B392-433B-8A22-6816EC584277}"/>
    <cellStyle name="Note 2 2 2 2 4 4 2" xfId="36593" xr:uid="{BC1FE2CA-F0E1-417D-AF55-F175587FA6DB}"/>
    <cellStyle name="Note 2 2 2 2 4 5" xfId="11252" xr:uid="{9B6EB2EE-A61A-4BA4-B771-3EEC49BF3FB0}"/>
    <cellStyle name="Note 2 2 2 2 4 6" xfId="28146" xr:uid="{3ADDB1A4-7F79-4D96-9D56-7F830F74D84D}"/>
    <cellStyle name="Note 2 2 2 2 5" xfId="2250" xr:uid="{00000000-0005-0000-0000-0000A4200000}"/>
    <cellStyle name="Note 2 2 2 2 5 2" xfId="4479" xr:uid="{00000000-0005-0000-0000-0000A5200000}"/>
    <cellStyle name="Note 2 2 2 2 5 2 2" xfId="8701" xr:uid="{00000000-0005-0000-0000-0000A6200000}"/>
    <cellStyle name="Note 2 2 2 2 5 2 2 2" xfId="26474" xr:uid="{4FE2873C-DB04-409D-AFCF-83FB87CD6104}"/>
    <cellStyle name="Note 2 2 2 2 5 2 2 2 2" xfId="43368" xr:uid="{390B3295-7B93-4205-93BE-55A10C6892FA}"/>
    <cellStyle name="Note 2 2 2 2 5 2 2 3" xfId="18027" xr:uid="{DD440D82-7E57-41B4-B020-2137E51BC138}"/>
    <cellStyle name="Note 2 2 2 2 5 2 2 4" xfId="34921" xr:uid="{CB316AE8-47F2-4541-9A62-51D2581E6923}"/>
    <cellStyle name="Note 2 2 2 2 5 2 3" xfId="22257" xr:uid="{2501867B-77D6-4D2D-89F6-BE31DFDFB03F}"/>
    <cellStyle name="Note 2 2 2 2 5 2 3 2" xfId="39151" xr:uid="{570D5681-F622-4BFC-B68A-3D787567AAFF}"/>
    <cellStyle name="Note 2 2 2 2 5 2 4" xfId="13810" xr:uid="{151D8192-A769-43C8-B621-0841BC1FAA9A}"/>
    <cellStyle name="Note 2 2 2 2 5 2 5" xfId="30704" xr:uid="{EB1BAD05-46B2-47D0-BCBB-5080391B4D39}"/>
    <cellStyle name="Note 2 2 2 2 5 3" xfId="6556" xr:uid="{00000000-0005-0000-0000-0000A7200000}"/>
    <cellStyle name="Note 2 2 2 2 5 3 2" xfId="24329" xr:uid="{CBC463EC-0EA2-41DE-A062-25846A855AEC}"/>
    <cellStyle name="Note 2 2 2 2 5 3 2 2" xfId="41223" xr:uid="{0BC3BC24-4B3C-4F5D-BBBD-C4FC9477595C}"/>
    <cellStyle name="Note 2 2 2 2 5 3 3" xfId="15882" xr:uid="{119F0153-8668-4846-9B86-490D36DE8595}"/>
    <cellStyle name="Note 2 2 2 2 5 3 4" xfId="32776" xr:uid="{06DCC18C-5956-4B3E-9A1B-F433E74CFEEB}"/>
    <cellStyle name="Note 2 2 2 2 5 4" xfId="20112" xr:uid="{00C7ACC1-5A2E-4605-B0A2-B2AA933C6236}"/>
    <cellStyle name="Note 2 2 2 2 5 4 2" xfId="37006" xr:uid="{E8D7CFC1-F960-4DA2-B12F-34445C1B6A07}"/>
    <cellStyle name="Note 2 2 2 2 5 5" xfId="11665" xr:uid="{2FE4905B-7098-4B06-993D-C02101E96B63}"/>
    <cellStyle name="Note 2 2 2 2 5 6" xfId="28559" xr:uid="{BEC8C3E0-3D7C-4309-884A-9646C0024A78}"/>
    <cellStyle name="Note 2 2 2 2 6" xfId="2686" xr:uid="{00000000-0005-0000-0000-0000A8200000}"/>
    <cellStyle name="Note 2 2 2 2 6 2" xfId="6969" xr:uid="{00000000-0005-0000-0000-0000A9200000}"/>
    <cellStyle name="Note 2 2 2 2 6 2 2" xfId="24742" xr:uid="{F8C757F1-0256-4621-A3BF-DE7325B163C6}"/>
    <cellStyle name="Note 2 2 2 2 6 2 2 2" xfId="41636" xr:uid="{9BF30A44-E227-48E6-BAEC-A1EA1AA1B33E}"/>
    <cellStyle name="Note 2 2 2 2 6 2 3" xfId="16295" xr:uid="{5301F11C-1F5A-4463-A700-2DA34E5A8A88}"/>
    <cellStyle name="Note 2 2 2 2 6 2 4" xfId="33189" xr:uid="{600252D0-CD40-4BAB-AAA3-BC6137637B4F}"/>
    <cellStyle name="Note 2 2 2 2 6 3" xfId="20525" xr:uid="{469839A4-7F87-4A6B-8F16-1CF158404BD2}"/>
    <cellStyle name="Note 2 2 2 2 6 3 2" xfId="37419" xr:uid="{4106F42B-2C05-4629-8B1F-4A68ACFE5C6C}"/>
    <cellStyle name="Note 2 2 2 2 6 4" xfId="12078" xr:uid="{BDD8F2B3-91C8-4F2A-A390-037962A84C7B}"/>
    <cellStyle name="Note 2 2 2 2 6 5" xfId="28972" xr:uid="{A1AF1758-453C-4E2A-8AAD-3FE01B3B06D8}"/>
    <cellStyle name="Note 2 2 2 2 7" xfId="2745" xr:uid="{00000000-0005-0000-0000-0000AA200000}"/>
    <cellStyle name="Note 2 2 2 2 8" xfId="2826" xr:uid="{00000000-0005-0000-0000-0000AB200000}"/>
    <cellStyle name="Note 2 2 2 2 8 2" xfId="7049" xr:uid="{00000000-0005-0000-0000-0000AC200000}"/>
    <cellStyle name="Note 2 2 2 2 8 2 2" xfId="24822" xr:uid="{9E02EC0B-5EBB-461C-BFFA-76A0CCEF2536}"/>
    <cellStyle name="Note 2 2 2 2 8 2 2 2" xfId="41716" xr:uid="{A250A78C-6E8E-4A5D-9360-A79AB65DCB8E}"/>
    <cellStyle name="Note 2 2 2 2 8 2 3" xfId="16375" xr:uid="{D9AAB7F0-4D57-4700-B2CE-7340EC3952DC}"/>
    <cellStyle name="Note 2 2 2 2 8 2 4" xfId="33269" xr:uid="{BC1607FF-3314-4208-AB72-0C6BEBFA7217}"/>
    <cellStyle name="Note 2 2 2 2 8 3" xfId="20605" xr:uid="{E831119C-E2F1-419E-9CD9-1E2B9C42FD6B}"/>
    <cellStyle name="Note 2 2 2 2 8 3 2" xfId="37499" xr:uid="{FD2C65AC-55D1-4E54-8F3F-B0702FFD7324}"/>
    <cellStyle name="Note 2 2 2 2 8 4" xfId="12158" xr:uid="{50888B2E-0D9C-4557-9723-F9EE4CDC1CC8}"/>
    <cellStyle name="Note 2 2 2 2 8 5" xfId="29052" xr:uid="{B4256E4D-E635-49C6-A0CE-A94849F81F25}"/>
    <cellStyle name="Note 2 2 2 2 9" xfId="4904" xr:uid="{00000000-0005-0000-0000-0000AD200000}"/>
    <cellStyle name="Note 2 2 2 2 9 2" xfId="22677" xr:uid="{37E8FA71-B822-4004-9BC4-F12181F9FE5C}"/>
    <cellStyle name="Note 2 2 2 2 9 2 2" xfId="39571" xr:uid="{4EA83441-07DF-4FFC-846C-649158DC6F41}"/>
    <cellStyle name="Note 2 2 2 2 9 3" xfId="14230" xr:uid="{F9D6B77A-D7E6-4972-9EEA-3DB67543AC23}"/>
    <cellStyle name="Note 2 2 2 2 9 4" xfId="31124" xr:uid="{CA7E73AF-965A-4F68-9272-FA8B5FFF8D7A}"/>
    <cellStyle name="Note 2 2 2 3" xfId="1007" xr:uid="{00000000-0005-0000-0000-0000AE200000}"/>
    <cellStyle name="Note 2 2 2 3 2" xfId="3239" xr:uid="{00000000-0005-0000-0000-0000AF200000}"/>
    <cellStyle name="Note 2 2 2 3 2 2" xfId="7461" xr:uid="{00000000-0005-0000-0000-0000B0200000}"/>
    <cellStyle name="Note 2 2 2 3 2 2 2" xfId="25234" xr:uid="{0CE18C32-A67F-4C15-8481-565CDEDA7C62}"/>
    <cellStyle name="Note 2 2 2 3 2 2 2 2" xfId="42128" xr:uid="{0B552165-B950-493D-99DB-5FBD2F7BD922}"/>
    <cellStyle name="Note 2 2 2 3 2 2 3" xfId="16787" xr:uid="{65AC8B9C-24BB-46A7-A3AF-57B3D2E7EA6C}"/>
    <cellStyle name="Note 2 2 2 3 2 2 4" xfId="33681" xr:uid="{24CF5679-F584-4B9A-93DF-37B34E054E78}"/>
    <cellStyle name="Note 2 2 2 3 2 3" xfId="21017" xr:uid="{6714C62F-46FC-4BB6-8C97-FBE3E62D3FB6}"/>
    <cellStyle name="Note 2 2 2 3 2 3 2" xfId="37911" xr:uid="{417B88A9-4705-4668-9AF5-9091A285F13C}"/>
    <cellStyle name="Note 2 2 2 3 2 4" xfId="12570" xr:uid="{905A3C45-6393-4106-88EF-C1DAF134D141}"/>
    <cellStyle name="Note 2 2 2 3 2 5" xfId="29464" xr:uid="{1AB11AE9-D81E-4BF7-A54A-B64B8B5792BA}"/>
    <cellStyle name="Note 2 2 2 3 3" xfId="5316" xr:uid="{00000000-0005-0000-0000-0000B1200000}"/>
    <cellStyle name="Note 2 2 2 3 3 2" xfId="23089" xr:uid="{9048B5DC-1369-4AE0-AD53-D75729484B92}"/>
    <cellStyle name="Note 2 2 2 3 3 2 2" xfId="39983" xr:uid="{08E76C15-6C52-471E-BC68-6557C0D2D164}"/>
    <cellStyle name="Note 2 2 2 3 3 3" xfId="14642" xr:uid="{97AEDC4C-B5DB-40C8-A026-8452075DD96B}"/>
    <cellStyle name="Note 2 2 2 3 3 4" xfId="31536" xr:uid="{963F5BC8-971D-41D6-A0C1-C9EDC6B4B783}"/>
    <cellStyle name="Note 2 2 2 3 4" xfId="9369" xr:uid="{37FCA23B-964B-404F-A343-B489211FDCDC}"/>
    <cellStyle name="Note 2 2 2 3 4 2" xfId="18872" xr:uid="{0FC77386-2C66-465D-8837-78DD03F06C17}"/>
    <cellStyle name="Note 2 2 2 3 4 3" xfId="35766" xr:uid="{0D5094DA-1E46-42C8-A3AE-532E74C85BF0}"/>
    <cellStyle name="Note 2 2 2 3 5" xfId="10425" xr:uid="{607795B3-40F0-4AE6-BE86-E21DA36EC8D4}"/>
    <cellStyle name="Note 2 2 2 3 6" xfId="27319" xr:uid="{0A24DCB6-6D2C-4FC3-93C6-212469193CDC}"/>
    <cellStyle name="Note 2 2 2 4" xfId="1422" xr:uid="{00000000-0005-0000-0000-0000B2200000}"/>
    <cellStyle name="Note 2 2 2 4 2" xfId="3652" xr:uid="{00000000-0005-0000-0000-0000B3200000}"/>
    <cellStyle name="Note 2 2 2 4 2 2" xfId="7874" xr:uid="{00000000-0005-0000-0000-0000B4200000}"/>
    <cellStyle name="Note 2 2 2 4 2 2 2" xfId="25647" xr:uid="{FB8FCA98-1E35-405F-B942-F63B39CE6993}"/>
    <cellStyle name="Note 2 2 2 4 2 2 2 2" xfId="42541" xr:uid="{4DD77E57-3811-4984-A7C4-89FF929E32E1}"/>
    <cellStyle name="Note 2 2 2 4 2 2 3" xfId="17200" xr:uid="{300AC4BE-86ED-4F88-BC83-BDB6873BDA04}"/>
    <cellStyle name="Note 2 2 2 4 2 2 4" xfId="34094" xr:uid="{AD3CD1FF-06C7-4C88-8886-88EEF68A20D7}"/>
    <cellStyle name="Note 2 2 2 4 2 3" xfId="21430" xr:uid="{C01CE223-DBAF-4550-BFBD-FD35FDF0FAEF}"/>
    <cellStyle name="Note 2 2 2 4 2 3 2" xfId="38324" xr:uid="{48D3734E-7092-4628-B510-884C4BCBF021}"/>
    <cellStyle name="Note 2 2 2 4 2 4" xfId="12983" xr:uid="{56375282-3A15-4A43-B7CB-1DBBEC3E56EC}"/>
    <cellStyle name="Note 2 2 2 4 2 5" xfId="29877" xr:uid="{AAF65A33-D89D-4821-8FB1-0E317CBBEE4F}"/>
    <cellStyle name="Note 2 2 2 4 3" xfId="5729" xr:uid="{00000000-0005-0000-0000-0000B5200000}"/>
    <cellStyle name="Note 2 2 2 4 3 2" xfId="23502" xr:uid="{2BE5E733-7789-4CB6-8511-D496A9C14679}"/>
    <cellStyle name="Note 2 2 2 4 3 2 2" xfId="40396" xr:uid="{5546EEEA-0A2F-46C4-AF8D-F946AC63785F}"/>
    <cellStyle name="Note 2 2 2 4 3 3" xfId="15055" xr:uid="{6AA29E9B-F74A-4922-8AE0-FBA6EDAC8E2E}"/>
    <cellStyle name="Note 2 2 2 4 3 4" xfId="31949" xr:uid="{471EE781-ADCF-4BED-AB44-87C802CC14E9}"/>
    <cellStyle name="Note 2 2 2 4 4" xfId="19285" xr:uid="{8AD661AA-997D-4EE3-B8FF-AC25C0101D41}"/>
    <cellStyle name="Note 2 2 2 4 4 2" xfId="36179" xr:uid="{707B5F90-1D2B-4B40-85CD-A44F80169F99}"/>
    <cellStyle name="Note 2 2 2 4 5" xfId="10838" xr:uid="{9FEF7825-F094-4F5F-B902-FA1BBE5D0DC0}"/>
    <cellStyle name="Note 2 2 2 4 6" xfId="27732" xr:uid="{B34DF5BB-3C8F-4F0B-AD84-B34E837598F4}"/>
    <cellStyle name="Note 2 2 2 5" xfId="1836" xr:uid="{00000000-0005-0000-0000-0000B6200000}"/>
    <cellStyle name="Note 2 2 2 5 2" xfId="4065" xr:uid="{00000000-0005-0000-0000-0000B7200000}"/>
    <cellStyle name="Note 2 2 2 5 2 2" xfId="8287" xr:uid="{00000000-0005-0000-0000-0000B8200000}"/>
    <cellStyle name="Note 2 2 2 5 2 2 2" xfId="26060" xr:uid="{FF11DF2A-0DDE-401E-AC03-AAD1F1AA8471}"/>
    <cellStyle name="Note 2 2 2 5 2 2 2 2" xfId="42954" xr:uid="{439FF149-80C3-420E-851E-AF294C6DBE6C}"/>
    <cellStyle name="Note 2 2 2 5 2 2 3" xfId="17613" xr:uid="{C7690E63-4032-401C-A01A-2D4DBA01FE02}"/>
    <cellStyle name="Note 2 2 2 5 2 2 4" xfId="34507" xr:uid="{1368DF2D-A43F-4F96-983A-93347749AC3C}"/>
    <cellStyle name="Note 2 2 2 5 2 3" xfId="21843" xr:uid="{61798132-39A6-4BD6-8D97-90394FE4B635}"/>
    <cellStyle name="Note 2 2 2 5 2 3 2" xfId="38737" xr:uid="{E6AB7C04-E1C4-41AE-A2E5-58CDFB777CBA}"/>
    <cellStyle name="Note 2 2 2 5 2 4" xfId="13396" xr:uid="{E2120503-3254-46C8-B525-3EBF23123383}"/>
    <cellStyle name="Note 2 2 2 5 2 5" xfId="30290" xr:uid="{9594EAB9-63B1-4DCF-85C1-180996076B3E}"/>
    <cellStyle name="Note 2 2 2 5 3" xfId="6142" xr:uid="{00000000-0005-0000-0000-0000B9200000}"/>
    <cellStyle name="Note 2 2 2 5 3 2" xfId="23915" xr:uid="{6B8D3903-81EB-43C3-B611-E3431B7071B6}"/>
    <cellStyle name="Note 2 2 2 5 3 2 2" xfId="40809" xr:uid="{35E73355-2D17-43F9-9E05-6FACDADC61EF}"/>
    <cellStyle name="Note 2 2 2 5 3 3" xfId="15468" xr:uid="{D9BB2025-4222-4487-A79E-9396ACF7E687}"/>
    <cellStyle name="Note 2 2 2 5 3 4" xfId="32362" xr:uid="{02C47937-9863-46C2-BB20-A4349F710E20}"/>
    <cellStyle name="Note 2 2 2 5 4" xfId="19698" xr:uid="{EBE42B71-17E8-481C-B92B-C886E83B7847}"/>
    <cellStyle name="Note 2 2 2 5 4 2" xfId="36592" xr:uid="{8CE5E464-819A-4AB7-BA48-D34A2DA7BAE5}"/>
    <cellStyle name="Note 2 2 2 5 5" xfId="11251" xr:uid="{3BC55859-C463-4353-B3AD-619955BC3D15}"/>
    <cellStyle name="Note 2 2 2 5 6" xfId="28145" xr:uid="{0CE64E93-B962-413D-A769-A310EB9989D4}"/>
    <cellStyle name="Note 2 2 2 6" xfId="2249" xr:uid="{00000000-0005-0000-0000-0000BA200000}"/>
    <cellStyle name="Note 2 2 2 6 2" xfId="4478" xr:uid="{00000000-0005-0000-0000-0000BB200000}"/>
    <cellStyle name="Note 2 2 2 6 2 2" xfId="8700" xr:uid="{00000000-0005-0000-0000-0000BC200000}"/>
    <cellStyle name="Note 2 2 2 6 2 2 2" xfId="26473" xr:uid="{445FE898-ECD6-4B76-98DB-BD84A7BEB1E0}"/>
    <cellStyle name="Note 2 2 2 6 2 2 2 2" xfId="43367" xr:uid="{4824C05D-A79D-49F2-B4B7-18AE2F15BF5C}"/>
    <cellStyle name="Note 2 2 2 6 2 2 3" xfId="18026" xr:uid="{529FA6C9-226C-400C-9538-8F58BE0E52E3}"/>
    <cellStyle name="Note 2 2 2 6 2 2 4" xfId="34920" xr:uid="{28814921-50BC-4A1F-BF59-D44F60C6343A}"/>
    <cellStyle name="Note 2 2 2 6 2 3" xfId="22256" xr:uid="{F94FEA49-5F85-4367-8AF5-EA29452CB317}"/>
    <cellStyle name="Note 2 2 2 6 2 3 2" xfId="39150" xr:uid="{1EF96618-1155-4FBD-8AE7-372D588408D5}"/>
    <cellStyle name="Note 2 2 2 6 2 4" xfId="13809" xr:uid="{A71B1A4E-9729-427A-A621-712D993D3C94}"/>
    <cellStyle name="Note 2 2 2 6 2 5" xfId="30703" xr:uid="{AADF7AA9-ABD4-41B9-9026-325DBA8BDE8C}"/>
    <cellStyle name="Note 2 2 2 6 3" xfId="6555" xr:uid="{00000000-0005-0000-0000-0000BD200000}"/>
    <cellStyle name="Note 2 2 2 6 3 2" xfId="24328" xr:uid="{53C997DA-7421-4985-A43D-0E30151AEC34}"/>
    <cellStyle name="Note 2 2 2 6 3 2 2" xfId="41222" xr:uid="{2CA8F86D-3549-42F6-8056-444FE2076F5B}"/>
    <cellStyle name="Note 2 2 2 6 3 3" xfId="15881" xr:uid="{75465AE6-13A5-40F8-98DD-C4077021578A}"/>
    <cellStyle name="Note 2 2 2 6 3 4" xfId="32775" xr:uid="{B489D9D0-E256-40C1-87EF-2A3710500120}"/>
    <cellStyle name="Note 2 2 2 6 4" xfId="20111" xr:uid="{D150628E-1A77-4648-AF24-A1C9F3147BF7}"/>
    <cellStyle name="Note 2 2 2 6 4 2" xfId="37005" xr:uid="{E7103688-EB0D-44DD-A813-02516C58AD46}"/>
    <cellStyle name="Note 2 2 2 6 5" xfId="11664" xr:uid="{68F1AA05-767C-45D3-B1E3-63AE76AF2F24}"/>
    <cellStyle name="Note 2 2 2 6 6" xfId="28558" xr:uid="{52709E7E-18A1-4D87-8A69-AF69667C0CEC}"/>
    <cellStyle name="Note 2 2 2 7" xfId="2685" xr:uid="{00000000-0005-0000-0000-0000BE200000}"/>
    <cellStyle name="Note 2 2 2 7 2" xfId="6968" xr:uid="{00000000-0005-0000-0000-0000BF200000}"/>
    <cellStyle name="Note 2 2 2 7 2 2" xfId="24741" xr:uid="{6BB23422-3C07-4597-ACFB-FCC8FA27AEF0}"/>
    <cellStyle name="Note 2 2 2 7 2 2 2" xfId="41635" xr:uid="{67AC9C83-0955-4BA1-A165-76C7A09CBCB5}"/>
    <cellStyle name="Note 2 2 2 7 2 3" xfId="16294" xr:uid="{8C8AA211-E265-4492-AD8B-B6E31E8AF889}"/>
    <cellStyle name="Note 2 2 2 7 2 4" xfId="33188" xr:uid="{1866CD7B-0FFC-46EC-85D9-552CE970F4A9}"/>
    <cellStyle name="Note 2 2 2 7 3" xfId="20524" xr:uid="{7904F1F1-2644-4601-8E10-0300222FF9A4}"/>
    <cellStyle name="Note 2 2 2 7 3 2" xfId="37418" xr:uid="{6CB74698-DCB0-4235-96D0-0F02E2211BF8}"/>
    <cellStyle name="Note 2 2 2 7 4" xfId="12077" xr:uid="{EB3A602F-412F-4BFD-B7EC-446376E79AC2}"/>
    <cellStyle name="Note 2 2 2 7 5" xfId="28971" xr:uid="{25647E00-1B52-4955-B09A-208344A038B5}"/>
    <cellStyle name="Note 2 2 2 8" xfId="2744" xr:uid="{00000000-0005-0000-0000-0000C0200000}"/>
    <cellStyle name="Note 2 2 2 9" xfId="2825" xr:uid="{00000000-0005-0000-0000-0000C1200000}"/>
    <cellStyle name="Note 2 2 2 9 2" xfId="7048" xr:uid="{00000000-0005-0000-0000-0000C2200000}"/>
    <cellStyle name="Note 2 2 2 9 2 2" xfId="24821" xr:uid="{2945BCAF-7FF5-47EB-9F44-F8DD5A43728C}"/>
    <cellStyle name="Note 2 2 2 9 2 2 2" xfId="41715" xr:uid="{88B7B4C7-9A24-40BD-8807-31334C2A9F6F}"/>
    <cellStyle name="Note 2 2 2 9 2 3" xfId="16374" xr:uid="{37D09534-8ABF-47F8-8823-9BB9C427861D}"/>
    <cellStyle name="Note 2 2 2 9 2 4" xfId="33268" xr:uid="{A35935C8-3B5E-412D-BB51-8AC5766B602E}"/>
    <cellStyle name="Note 2 2 2 9 3" xfId="20604" xr:uid="{F2FF05A7-5085-43ED-8474-81C0E3BCC75F}"/>
    <cellStyle name="Note 2 2 2 9 3 2" xfId="37498" xr:uid="{2E281D3A-2D98-462F-ABF6-8FBBB4AA5139}"/>
    <cellStyle name="Note 2 2 2 9 4" xfId="12157" xr:uid="{50FF49A6-13EE-453E-B5E7-BBC23C8C67CD}"/>
    <cellStyle name="Note 2 2 2 9 5" xfId="29051" xr:uid="{143C0457-7A31-4527-B0A3-CAE8774F1DD5}"/>
    <cellStyle name="Note 2 2 3" xfId="548" xr:uid="{00000000-0005-0000-0000-0000C3200000}"/>
    <cellStyle name="Note 2 2 3 10" xfId="9048" xr:uid="{894401FF-B7D8-49E8-91E6-A1C42DD04D54}"/>
    <cellStyle name="Note 2 2 3 10 2" xfId="18461" xr:uid="{5AB64F88-B45F-4362-AED3-5E6481C7D29D}"/>
    <cellStyle name="Note 2 2 3 10 3" xfId="35355" xr:uid="{E8868B5E-81B0-472D-A19A-DED7357FDA53}"/>
    <cellStyle name="Note 2 2 3 11" xfId="10014" xr:uid="{641CFDBE-98EA-4DAF-A4CF-6446E9DF919F}"/>
    <cellStyle name="Note 2 2 3 12" xfId="26908" xr:uid="{48001E9C-4310-4462-8E33-1A07FA2DC227}"/>
    <cellStyle name="Note 2 2 3 2" xfId="1009" xr:uid="{00000000-0005-0000-0000-0000C4200000}"/>
    <cellStyle name="Note 2 2 3 2 2" xfId="3241" xr:uid="{00000000-0005-0000-0000-0000C5200000}"/>
    <cellStyle name="Note 2 2 3 2 2 2" xfId="7463" xr:uid="{00000000-0005-0000-0000-0000C6200000}"/>
    <cellStyle name="Note 2 2 3 2 2 2 2" xfId="25236" xr:uid="{79B18F4E-956E-407A-8719-C410F6895C51}"/>
    <cellStyle name="Note 2 2 3 2 2 2 2 2" xfId="42130" xr:uid="{2B229481-B632-4F5E-8ABC-DD14ACF4D446}"/>
    <cellStyle name="Note 2 2 3 2 2 2 3" xfId="16789" xr:uid="{45AFB89E-E3B0-4076-9AFB-219636A47030}"/>
    <cellStyle name="Note 2 2 3 2 2 2 4" xfId="33683" xr:uid="{B3E831E2-4454-4715-8DBF-F6DEBF9A995B}"/>
    <cellStyle name="Note 2 2 3 2 2 3" xfId="21019" xr:uid="{1475BCAA-14D4-4EB0-95C7-C7A68D765C1D}"/>
    <cellStyle name="Note 2 2 3 2 2 3 2" xfId="37913" xr:uid="{183BD44B-E45F-4B7F-882B-04F386600BEC}"/>
    <cellStyle name="Note 2 2 3 2 2 4" xfId="12572" xr:uid="{7C91F892-FE73-4A33-BCBE-3094B52C42D5}"/>
    <cellStyle name="Note 2 2 3 2 2 5" xfId="29466" xr:uid="{45448226-46E5-4A21-A2F6-2BC3399E11F2}"/>
    <cellStyle name="Note 2 2 3 2 3" xfId="5318" xr:uid="{00000000-0005-0000-0000-0000C7200000}"/>
    <cellStyle name="Note 2 2 3 2 3 2" xfId="23091" xr:uid="{67AF952E-11D9-4E9E-A659-FE2DC714824D}"/>
    <cellStyle name="Note 2 2 3 2 3 2 2" xfId="39985" xr:uid="{CFC98AA8-AC06-4DE9-8B5D-8CE2BDBA0F26}"/>
    <cellStyle name="Note 2 2 3 2 3 3" xfId="14644" xr:uid="{A527E3BE-BD89-49EA-8E00-90719ED56D91}"/>
    <cellStyle name="Note 2 2 3 2 3 4" xfId="31538" xr:uid="{603FBD71-C9D6-41CE-B5EB-72EB9CEE918C}"/>
    <cellStyle name="Note 2 2 3 2 4" xfId="9473" xr:uid="{7711F4E0-385B-44CD-ACEA-5E9D7E4CD8DC}"/>
    <cellStyle name="Note 2 2 3 2 4 2" xfId="18874" xr:uid="{61546E6A-CC64-430A-86BF-921019A4A9AF}"/>
    <cellStyle name="Note 2 2 3 2 4 3" xfId="35768" xr:uid="{2377201C-12BC-405E-B269-8A2E4A7A28F2}"/>
    <cellStyle name="Note 2 2 3 2 5" xfId="10427" xr:uid="{746439FF-6B58-4016-BF69-F32676014325}"/>
    <cellStyle name="Note 2 2 3 2 6" xfId="27321" xr:uid="{925B50AD-E3F0-4845-9425-F2CEA58CE061}"/>
    <cellStyle name="Note 2 2 3 3" xfId="1424" xr:uid="{00000000-0005-0000-0000-0000C8200000}"/>
    <cellStyle name="Note 2 2 3 3 2" xfId="3654" xr:uid="{00000000-0005-0000-0000-0000C9200000}"/>
    <cellStyle name="Note 2 2 3 3 2 2" xfId="7876" xr:uid="{00000000-0005-0000-0000-0000CA200000}"/>
    <cellStyle name="Note 2 2 3 3 2 2 2" xfId="25649" xr:uid="{163CF842-16DB-4707-BB11-237B316DE1A1}"/>
    <cellStyle name="Note 2 2 3 3 2 2 2 2" xfId="42543" xr:uid="{A822C368-36E5-4303-9F84-3A3FFE8BB226}"/>
    <cellStyle name="Note 2 2 3 3 2 2 3" xfId="17202" xr:uid="{00A39808-8994-43B0-9B41-D1232546ECD3}"/>
    <cellStyle name="Note 2 2 3 3 2 2 4" xfId="34096" xr:uid="{AB7D6091-76E1-4CE4-A464-6E87B513617E}"/>
    <cellStyle name="Note 2 2 3 3 2 3" xfId="21432" xr:uid="{EB0CB11C-26A4-40E2-9348-3147ACA0F346}"/>
    <cellStyle name="Note 2 2 3 3 2 3 2" xfId="38326" xr:uid="{08822DA1-55F0-4167-A843-39448EFB7A5F}"/>
    <cellStyle name="Note 2 2 3 3 2 4" xfId="12985" xr:uid="{BCAB5935-1881-40B7-9D47-388B1CF3DCAD}"/>
    <cellStyle name="Note 2 2 3 3 2 5" xfId="29879" xr:uid="{1D4E2A14-7D73-479B-91C6-52A0917F8485}"/>
    <cellStyle name="Note 2 2 3 3 3" xfId="5731" xr:uid="{00000000-0005-0000-0000-0000CB200000}"/>
    <cellStyle name="Note 2 2 3 3 3 2" xfId="23504" xr:uid="{C5E81159-09AD-49EF-81D3-D01F4434CBB7}"/>
    <cellStyle name="Note 2 2 3 3 3 2 2" xfId="40398" xr:uid="{72505198-0F95-4BD4-B4E5-26C6BA3B1D6C}"/>
    <cellStyle name="Note 2 2 3 3 3 3" xfId="15057" xr:uid="{29628607-7C2C-4819-9D74-A2C946292EB9}"/>
    <cellStyle name="Note 2 2 3 3 3 4" xfId="31951" xr:uid="{FD47AAF6-9B93-4C8D-B94E-7E05479192C5}"/>
    <cellStyle name="Note 2 2 3 3 4" xfId="19287" xr:uid="{E7FA21D4-20C4-4CA3-B528-C100BFDADEF7}"/>
    <cellStyle name="Note 2 2 3 3 4 2" xfId="36181" xr:uid="{DD9D1B27-644F-4290-BEAC-16D2734EF656}"/>
    <cellStyle name="Note 2 2 3 3 5" xfId="10840" xr:uid="{BF6C273C-482F-46CE-A7B5-C6F9D687D5D0}"/>
    <cellStyle name="Note 2 2 3 3 6" xfId="27734" xr:uid="{FD77247F-034F-4F7C-9092-B80721D1D4C7}"/>
    <cellStyle name="Note 2 2 3 4" xfId="1838" xr:uid="{00000000-0005-0000-0000-0000CC200000}"/>
    <cellStyle name="Note 2 2 3 4 2" xfId="4067" xr:uid="{00000000-0005-0000-0000-0000CD200000}"/>
    <cellStyle name="Note 2 2 3 4 2 2" xfId="8289" xr:uid="{00000000-0005-0000-0000-0000CE200000}"/>
    <cellStyle name="Note 2 2 3 4 2 2 2" xfId="26062" xr:uid="{F6F3B9EB-2E83-4131-BAB3-092C24A3D04D}"/>
    <cellStyle name="Note 2 2 3 4 2 2 2 2" xfId="42956" xr:uid="{BDF097F3-5BBF-4F99-8F41-D76F0706F982}"/>
    <cellStyle name="Note 2 2 3 4 2 2 3" xfId="17615" xr:uid="{E657E325-0883-4DE4-9483-69BD4F4BB6FA}"/>
    <cellStyle name="Note 2 2 3 4 2 2 4" xfId="34509" xr:uid="{210645FD-55E0-49CB-9382-A80AF59AEBD9}"/>
    <cellStyle name="Note 2 2 3 4 2 3" xfId="21845" xr:uid="{1C726295-D8E2-44A0-9644-90A2A04A6C30}"/>
    <cellStyle name="Note 2 2 3 4 2 3 2" xfId="38739" xr:uid="{6A73DF11-85A5-408A-AEBA-421A2545C9CB}"/>
    <cellStyle name="Note 2 2 3 4 2 4" xfId="13398" xr:uid="{02C62609-C332-4DED-964A-8CE79D8D2989}"/>
    <cellStyle name="Note 2 2 3 4 2 5" xfId="30292" xr:uid="{3E33AC9B-BB10-4DD7-829F-55ECF860329C}"/>
    <cellStyle name="Note 2 2 3 4 3" xfId="6144" xr:uid="{00000000-0005-0000-0000-0000CF200000}"/>
    <cellStyle name="Note 2 2 3 4 3 2" xfId="23917" xr:uid="{3AD85618-47F4-4466-B93D-AA159EFD6D0F}"/>
    <cellStyle name="Note 2 2 3 4 3 2 2" xfId="40811" xr:uid="{95410266-69D9-4330-A1CD-82FE82E9FC1F}"/>
    <cellStyle name="Note 2 2 3 4 3 3" xfId="15470" xr:uid="{C0EA1B94-8C5A-4913-8E3F-2008BCD4774E}"/>
    <cellStyle name="Note 2 2 3 4 3 4" xfId="32364" xr:uid="{D444804A-C35B-49B4-A244-F1476F350700}"/>
    <cellStyle name="Note 2 2 3 4 4" xfId="19700" xr:uid="{03A33A53-473A-4B25-9B88-CE68282DC686}"/>
    <cellStyle name="Note 2 2 3 4 4 2" xfId="36594" xr:uid="{FCE891B9-5954-4C06-B5F9-6DB8B5D8C484}"/>
    <cellStyle name="Note 2 2 3 4 5" xfId="11253" xr:uid="{EFB92611-FA60-4435-AB17-97BF858DCC4D}"/>
    <cellStyle name="Note 2 2 3 4 6" xfId="28147" xr:uid="{170B9ED2-D04F-4692-88F2-ED6B9FC379DA}"/>
    <cellStyle name="Note 2 2 3 5" xfId="2251" xr:uid="{00000000-0005-0000-0000-0000D0200000}"/>
    <cellStyle name="Note 2 2 3 5 2" xfId="4480" xr:uid="{00000000-0005-0000-0000-0000D1200000}"/>
    <cellStyle name="Note 2 2 3 5 2 2" xfId="8702" xr:uid="{00000000-0005-0000-0000-0000D2200000}"/>
    <cellStyle name="Note 2 2 3 5 2 2 2" xfId="26475" xr:uid="{0A6C4EDE-0884-4779-AC87-515CCCC21D84}"/>
    <cellStyle name="Note 2 2 3 5 2 2 2 2" xfId="43369" xr:uid="{4585C771-4399-48FE-98C5-123E362427F7}"/>
    <cellStyle name="Note 2 2 3 5 2 2 3" xfId="18028" xr:uid="{A5EAEA96-A8FB-4EC3-8BD0-EB07FA170E57}"/>
    <cellStyle name="Note 2 2 3 5 2 2 4" xfId="34922" xr:uid="{A1339A38-D08C-408C-90D8-000834A1A511}"/>
    <cellStyle name="Note 2 2 3 5 2 3" xfId="22258" xr:uid="{6BC8B799-CC9F-4715-ADAF-05D48B1B62BF}"/>
    <cellStyle name="Note 2 2 3 5 2 3 2" xfId="39152" xr:uid="{FE5B16EA-ACD5-49E1-BED8-D2D692F4AC73}"/>
    <cellStyle name="Note 2 2 3 5 2 4" xfId="13811" xr:uid="{7764EAFD-42E7-415B-9C1C-59529B5926A8}"/>
    <cellStyle name="Note 2 2 3 5 2 5" xfId="30705" xr:uid="{410C0990-1045-48B3-9E16-DF28723D678F}"/>
    <cellStyle name="Note 2 2 3 5 3" xfId="6557" xr:uid="{00000000-0005-0000-0000-0000D3200000}"/>
    <cellStyle name="Note 2 2 3 5 3 2" xfId="24330" xr:uid="{475E6532-B815-402A-BE59-ED4AB5FCFA8A}"/>
    <cellStyle name="Note 2 2 3 5 3 2 2" xfId="41224" xr:uid="{C14D7966-42CB-4F94-93C0-F7F19A0CEFB8}"/>
    <cellStyle name="Note 2 2 3 5 3 3" xfId="15883" xr:uid="{33693660-8C37-4CAE-BCBA-145E6BF127DC}"/>
    <cellStyle name="Note 2 2 3 5 3 4" xfId="32777" xr:uid="{E6657C54-2BDA-4758-A1CC-2EEB68F54582}"/>
    <cellStyle name="Note 2 2 3 5 4" xfId="20113" xr:uid="{B898BF22-4BB3-4E30-A650-1869EDF348D9}"/>
    <cellStyle name="Note 2 2 3 5 4 2" xfId="37007" xr:uid="{FD9F60B2-C2DD-4E04-9C77-225E5BB0A3D1}"/>
    <cellStyle name="Note 2 2 3 5 5" xfId="11666" xr:uid="{3978DC05-F750-421A-9A1B-991A63A02242}"/>
    <cellStyle name="Note 2 2 3 5 6" xfId="28560" xr:uid="{EB0FBD5E-6FD3-4BD0-9D8C-A979C4F3241F}"/>
    <cellStyle name="Note 2 2 3 6" xfId="2687" xr:uid="{00000000-0005-0000-0000-0000D4200000}"/>
    <cellStyle name="Note 2 2 3 6 2" xfId="6970" xr:uid="{00000000-0005-0000-0000-0000D5200000}"/>
    <cellStyle name="Note 2 2 3 6 2 2" xfId="24743" xr:uid="{3CF32CF1-CB60-4388-B66F-FFA704BA9CD5}"/>
    <cellStyle name="Note 2 2 3 6 2 2 2" xfId="41637" xr:uid="{16D71E2B-F94D-4B6C-8894-BFA70164C6DC}"/>
    <cellStyle name="Note 2 2 3 6 2 3" xfId="16296" xr:uid="{A6CFDACF-AC79-4389-A778-09937A415E3B}"/>
    <cellStyle name="Note 2 2 3 6 2 4" xfId="33190" xr:uid="{A7C7C0C4-659E-4792-8249-9799D686D2A8}"/>
    <cellStyle name="Note 2 2 3 6 3" xfId="20526" xr:uid="{1A25A250-469D-415B-B60D-5952CD83EE1F}"/>
    <cellStyle name="Note 2 2 3 6 3 2" xfId="37420" xr:uid="{C7A74145-2A5B-41AE-88BE-04A04D430AD1}"/>
    <cellStyle name="Note 2 2 3 6 4" xfId="12079" xr:uid="{FA0CDE92-23F2-45C3-A32B-B51613493374}"/>
    <cellStyle name="Note 2 2 3 6 5" xfId="28973" xr:uid="{9DBF6075-B254-4C06-A080-2BAF8AEC38A9}"/>
    <cellStyle name="Note 2 2 3 7" xfId="2746" xr:uid="{00000000-0005-0000-0000-0000D6200000}"/>
    <cellStyle name="Note 2 2 3 8" xfId="2827" xr:uid="{00000000-0005-0000-0000-0000D7200000}"/>
    <cellStyle name="Note 2 2 3 8 2" xfId="7050" xr:uid="{00000000-0005-0000-0000-0000D8200000}"/>
    <cellStyle name="Note 2 2 3 8 2 2" xfId="24823" xr:uid="{523EDA0B-8DBD-45BF-85D3-A78BA2F7AEAD}"/>
    <cellStyle name="Note 2 2 3 8 2 2 2" xfId="41717" xr:uid="{4BB693D9-4958-456E-AC62-C28FCF7CA179}"/>
    <cellStyle name="Note 2 2 3 8 2 3" xfId="16376" xr:uid="{3D101EF2-3026-498A-B6E4-5CBA722D66B2}"/>
    <cellStyle name="Note 2 2 3 8 2 4" xfId="33270" xr:uid="{97C68A6B-7F6D-49EF-9C67-0D6D54358C56}"/>
    <cellStyle name="Note 2 2 3 8 3" xfId="20606" xr:uid="{9DB4C454-E534-4576-B792-98D424188A60}"/>
    <cellStyle name="Note 2 2 3 8 3 2" xfId="37500" xr:uid="{7A5665D9-A4C7-4E3C-B69A-ED658070F59A}"/>
    <cellStyle name="Note 2 2 3 8 4" xfId="12159" xr:uid="{F2F2B53E-8E28-4B5C-87D4-6D7E7CBD68EE}"/>
    <cellStyle name="Note 2 2 3 8 5" xfId="29053" xr:uid="{DCD2761C-1161-4F8B-8E4E-93F32D69AE04}"/>
    <cellStyle name="Note 2 2 3 9" xfId="4905" xr:uid="{00000000-0005-0000-0000-0000D9200000}"/>
    <cellStyle name="Note 2 2 3 9 2" xfId="22678" xr:uid="{7806DE73-5CE5-4960-BA2D-430768AF1263}"/>
    <cellStyle name="Note 2 2 3 9 2 2" xfId="39572" xr:uid="{D2A9AD22-0FD0-4BBD-8CD5-B4CA3B9E4828}"/>
    <cellStyle name="Note 2 2 3 9 3" xfId="14231" xr:uid="{F2B1900D-89DE-4717-80D7-E4DEA683B058}"/>
    <cellStyle name="Note 2 2 3 9 4" xfId="31125" xr:uid="{EB8B11DB-4BCD-4682-B37F-6165AA692941}"/>
    <cellStyle name="Note 2 2 4" xfId="1006" xr:uid="{00000000-0005-0000-0000-0000DA200000}"/>
    <cellStyle name="Note 2 2 4 2" xfId="3238" xr:uid="{00000000-0005-0000-0000-0000DB200000}"/>
    <cellStyle name="Note 2 2 4 2 2" xfId="7460" xr:uid="{00000000-0005-0000-0000-0000DC200000}"/>
    <cellStyle name="Note 2 2 4 2 2 2" xfId="25233" xr:uid="{CC4E4E30-C3D3-44F6-B634-D42164430281}"/>
    <cellStyle name="Note 2 2 4 2 2 2 2" xfId="42127" xr:uid="{E3DC3C13-D4BF-4588-8A8C-017F7AD8ABFB}"/>
    <cellStyle name="Note 2 2 4 2 2 3" xfId="16786" xr:uid="{6C382823-B9B3-4538-9848-0804BD984E5B}"/>
    <cellStyle name="Note 2 2 4 2 2 4" xfId="33680" xr:uid="{AFDFCE52-F8FD-479E-A8E7-D200C87B4405}"/>
    <cellStyle name="Note 2 2 4 2 3" xfId="21016" xr:uid="{0B3CFEB3-D587-41AB-B76A-315C0A1908D4}"/>
    <cellStyle name="Note 2 2 4 2 3 2" xfId="37910" xr:uid="{8D03AB84-04D2-48B7-94E3-86B3F327C45C}"/>
    <cellStyle name="Note 2 2 4 2 4" xfId="12569" xr:uid="{3830FE7C-43BA-43F7-A1C4-C70253CFCC11}"/>
    <cellStyle name="Note 2 2 4 2 5" xfId="29463" xr:uid="{C37294EE-6E3A-4BA1-80F9-85CE8766A37E}"/>
    <cellStyle name="Note 2 2 4 3" xfId="5315" xr:uid="{00000000-0005-0000-0000-0000DD200000}"/>
    <cellStyle name="Note 2 2 4 3 2" xfId="23088" xr:uid="{DD1F28E2-7B4F-43AD-A363-322DF3B2AB52}"/>
    <cellStyle name="Note 2 2 4 3 2 2" xfId="39982" xr:uid="{690793E8-5EF9-4E56-841B-82C64B2D9C78}"/>
    <cellStyle name="Note 2 2 4 3 3" xfId="14641" xr:uid="{E06626B3-0A5A-413C-93F6-8438DD8C6468}"/>
    <cellStyle name="Note 2 2 4 3 4" xfId="31535" xr:uid="{708448F5-B325-44FF-8F3E-565C26D66C80}"/>
    <cellStyle name="Note 2 2 4 4" xfId="9266" xr:uid="{8B6F7B8D-50FA-47DA-836F-17B0F9492E54}"/>
    <cellStyle name="Note 2 2 4 4 2" xfId="18871" xr:uid="{4F3EB8A6-2297-4715-B322-98672EC963CE}"/>
    <cellStyle name="Note 2 2 4 4 3" xfId="35765" xr:uid="{0D018255-B168-4990-A6CD-82EC625D4B67}"/>
    <cellStyle name="Note 2 2 4 5" xfId="10424" xr:uid="{3CFE226F-8A2B-4705-8DF8-7683337BB15F}"/>
    <cellStyle name="Note 2 2 4 6" xfId="27318" xr:uid="{1A1C0A9F-1E5F-4535-8B55-D71B5732B325}"/>
    <cellStyle name="Note 2 2 5" xfId="1421" xr:uid="{00000000-0005-0000-0000-0000DE200000}"/>
    <cellStyle name="Note 2 2 5 2" xfId="3651" xr:uid="{00000000-0005-0000-0000-0000DF200000}"/>
    <cellStyle name="Note 2 2 5 2 2" xfId="7873" xr:uid="{00000000-0005-0000-0000-0000E0200000}"/>
    <cellStyle name="Note 2 2 5 2 2 2" xfId="25646" xr:uid="{00755EE4-314B-4B41-B36F-0DEA725832F9}"/>
    <cellStyle name="Note 2 2 5 2 2 2 2" xfId="42540" xr:uid="{8B7D9B37-EA91-4B76-A55A-057B9A2F65ED}"/>
    <cellStyle name="Note 2 2 5 2 2 3" xfId="17199" xr:uid="{48F193D7-39C7-47C2-9D29-B898FAA1EE28}"/>
    <cellStyle name="Note 2 2 5 2 2 4" xfId="34093" xr:uid="{B1E51E79-B79C-4B63-95C1-6C30E185EF4E}"/>
    <cellStyle name="Note 2 2 5 2 3" xfId="21429" xr:uid="{62E67467-C893-48BE-AF7D-C388DE181E5E}"/>
    <cellStyle name="Note 2 2 5 2 3 2" xfId="38323" xr:uid="{F3BDDC9D-20DD-44FF-B4AF-80CDA6A6C468}"/>
    <cellStyle name="Note 2 2 5 2 4" xfId="12982" xr:uid="{05C317FC-499E-44F6-B504-A81988BD748B}"/>
    <cellStyle name="Note 2 2 5 2 5" xfId="29876" xr:uid="{8872F8E1-B219-4E87-9FEB-2203DCFD614D}"/>
    <cellStyle name="Note 2 2 5 3" xfId="5728" xr:uid="{00000000-0005-0000-0000-0000E1200000}"/>
    <cellStyle name="Note 2 2 5 3 2" xfId="23501" xr:uid="{7E3FD42A-BCA7-41B5-A6FD-E9B8221F3534}"/>
    <cellStyle name="Note 2 2 5 3 2 2" xfId="40395" xr:uid="{EF4FEBA7-0E25-4B1D-A494-A4AA650739DB}"/>
    <cellStyle name="Note 2 2 5 3 3" xfId="15054" xr:uid="{A9BCBF53-69F8-4668-8EE5-050B4AC492D9}"/>
    <cellStyle name="Note 2 2 5 3 4" xfId="31948" xr:uid="{96739A68-6611-4730-8559-F8C07FBA7CC9}"/>
    <cellStyle name="Note 2 2 5 4" xfId="19284" xr:uid="{39036A06-DE2C-4EE3-A9AA-71072F9A0A38}"/>
    <cellStyle name="Note 2 2 5 4 2" xfId="36178" xr:uid="{955B605C-A8A4-4B80-BD84-2A51EB93795C}"/>
    <cellStyle name="Note 2 2 5 5" xfId="10837" xr:uid="{FE74E057-771F-4B79-B385-E79AC4F663D7}"/>
    <cellStyle name="Note 2 2 5 6" xfId="27731" xr:uid="{57C0903A-2912-43AD-9AD2-D2A10A88A48C}"/>
    <cellStyle name="Note 2 2 6" xfId="1835" xr:uid="{00000000-0005-0000-0000-0000E2200000}"/>
    <cellStyle name="Note 2 2 6 2" xfId="4064" xr:uid="{00000000-0005-0000-0000-0000E3200000}"/>
    <cellStyle name="Note 2 2 6 2 2" xfId="8286" xr:uid="{00000000-0005-0000-0000-0000E4200000}"/>
    <cellStyle name="Note 2 2 6 2 2 2" xfId="26059" xr:uid="{7495EB9F-BD86-4925-B376-2704ADA3F5EB}"/>
    <cellStyle name="Note 2 2 6 2 2 2 2" xfId="42953" xr:uid="{C82D2283-5908-4DCD-987E-E00EC5725D88}"/>
    <cellStyle name="Note 2 2 6 2 2 3" xfId="17612" xr:uid="{52A0BDAE-B824-4118-986A-46F573F3DEBC}"/>
    <cellStyle name="Note 2 2 6 2 2 4" xfId="34506" xr:uid="{3572D37A-1E35-4518-99B3-39DCF1373D05}"/>
    <cellStyle name="Note 2 2 6 2 3" xfId="21842" xr:uid="{787BF811-A69A-4DC4-8B2A-BBE433D55CE0}"/>
    <cellStyle name="Note 2 2 6 2 3 2" xfId="38736" xr:uid="{B9C2C90B-AF43-420B-8F46-425CA83F98E9}"/>
    <cellStyle name="Note 2 2 6 2 4" xfId="13395" xr:uid="{A169AF0F-E23D-4A60-A338-6C6754EBE025}"/>
    <cellStyle name="Note 2 2 6 2 5" xfId="30289" xr:uid="{3C039BA8-FA68-4F3F-9873-3246F229D63D}"/>
    <cellStyle name="Note 2 2 6 3" xfId="6141" xr:uid="{00000000-0005-0000-0000-0000E5200000}"/>
    <cellStyle name="Note 2 2 6 3 2" xfId="23914" xr:uid="{15F8F4D3-9947-4CFE-BA31-2ADEACDCC717}"/>
    <cellStyle name="Note 2 2 6 3 2 2" xfId="40808" xr:uid="{BB9646F5-74BA-4AEC-83C4-D185F2A95984}"/>
    <cellStyle name="Note 2 2 6 3 3" xfId="15467" xr:uid="{F9AECAE4-B930-47FF-9B5C-7A22F50C30A7}"/>
    <cellStyle name="Note 2 2 6 3 4" xfId="32361" xr:uid="{CD39F0E7-312E-4B92-8344-A7F22EF26522}"/>
    <cellStyle name="Note 2 2 6 4" xfId="19697" xr:uid="{95F4D100-BB12-4F45-9DFC-6F4FF6C8ECC6}"/>
    <cellStyle name="Note 2 2 6 4 2" xfId="36591" xr:uid="{214A4CA5-90D4-4DD9-8ACC-BC787751CD72}"/>
    <cellStyle name="Note 2 2 6 5" xfId="11250" xr:uid="{129FCFFE-35AB-4145-AEED-512D0D1D5F0E}"/>
    <cellStyle name="Note 2 2 6 6" xfId="28144" xr:uid="{C28492D9-1E35-4594-A8B2-46F0AF58B13E}"/>
    <cellStyle name="Note 2 2 7" xfId="2248" xr:uid="{00000000-0005-0000-0000-0000E6200000}"/>
    <cellStyle name="Note 2 2 7 2" xfId="4477" xr:uid="{00000000-0005-0000-0000-0000E7200000}"/>
    <cellStyle name="Note 2 2 7 2 2" xfId="8699" xr:uid="{00000000-0005-0000-0000-0000E8200000}"/>
    <cellStyle name="Note 2 2 7 2 2 2" xfId="26472" xr:uid="{A0731959-B984-49B4-8F4C-20752228E873}"/>
    <cellStyle name="Note 2 2 7 2 2 2 2" xfId="43366" xr:uid="{310247FE-40C1-463A-A9CB-A610CE747F9A}"/>
    <cellStyle name="Note 2 2 7 2 2 3" xfId="18025" xr:uid="{85F2A7F7-FFB9-4612-B705-0661CFA94C9F}"/>
    <cellStyle name="Note 2 2 7 2 2 4" xfId="34919" xr:uid="{9E58D146-734F-4530-B338-4C54001133D6}"/>
    <cellStyle name="Note 2 2 7 2 3" xfId="22255" xr:uid="{6C79DE6B-86C1-4F17-8060-758E94A8FC50}"/>
    <cellStyle name="Note 2 2 7 2 3 2" xfId="39149" xr:uid="{9BD2EF59-01B3-4500-A6E7-7A6BF1B56D9C}"/>
    <cellStyle name="Note 2 2 7 2 4" xfId="13808" xr:uid="{692F7DBB-1A24-47D0-8ECB-5ECA24D72329}"/>
    <cellStyle name="Note 2 2 7 2 5" xfId="30702" xr:uid="{069D87D0-00B7-4079-B476-99FEF819D522}"/>
    <cellStyle name="Note 2 2 7 3" xfId="6554" xr:uid="{00000000-0005-0000-0000-0000E9200000}"/>
    <cellStyle name="Note 2 2 7 3 2" xfId="24327" xr:uid="{586A13C0-2EF7-4833-9646-EF3CB7FE53E2}"/>
    <cellStyle name="Note 2 2 7 3 2 2" xfId="41221" xr:uid="{5F0ABE3F-1CD9-4C42-A3FB-060C23EEB6C1}"/>
    <cellStyle name="Note 2 2 7 3 3" xfId="15880" xr:uid="{ECCE5143-3036-437F-9F77-850B0C9AA058}"/>
    <cellStyle name="Note 2 2 7 3 4" xfId="32774" xr:uid="{518F8D53-7616-4992-943E-262E3D3A2607}"/>
    <cellStyle name="Note 2 2 7 4" xfId="20110" xr:uid="{BA1C502D-5F28-4F56-B624-89BBB4CA207F}"/>
    <cellStyle name="Note 2 2 7 4 2" xfId="37004" xr:uid="{CA751778-4A66-4AE9-85E1-371CE6CAB172}"/>
    <cellStyle name="Note 2 2 7 5" xfId="11663" xr:uid="{7816358C-4695-42A3-B587-30AE6ED51F97}"/>
    <cellStyle name="Note 2 2 7 6" xfId="28557" xr:uid="{66EB38F3-230E-4044-B952-1E9D5AAFF23A}"/>
    <cellStyle name="Note 2 2 8" xfId="2684" xr:uid="{00000000-0005-0000-0000-0000EA200000}"/>
    <cellStyle name="Note 2 2 8 2" xfId="6967" xr:uid="{00000000-0005-0000-0000-0000EB200000}"/>
    <cellStyle name="Note 2 2 8 2 2" xfId="24740" xr:uid="{421F3899-FF21-443B-8BEB-AC96A0B2EF57}"/>
    <cellStyle name="Note 2 2 8 2 2 2" xfId="41634" xr:uid="{8F5EABE1-A6B0-4679-A44E-2D79F7DF26B5}"/>
    <cellStyle name="Note 2 2 8 2 3" xfId="16293" xr:uid="{8E8C7B20-C65E-4EA2-A8CE-7539D7BAC289}"/>
    <cellStyle name="Note 2 2 8 2 4" xfId="33187" xr:uid="{37A31BFB-00F0-41B9-8DE8-C231F35E4A98}"/>
    <cellStyle name="Note 2 2 8 3" xfId="20523" xr:uid="{C597DFB5-CD98-41EA-A9EC-6EFDC52DC385}"/>
    <cellStyle name="Note 2 2 8 3 2" xfId="37417" xr:uid="{520FE92F-EA31-4D4E-93F2-0E4813877282}"/>
    <cellStyle name="Note 2 2 8 4" xfId="12076" xr:uid="{98745137-2C72-49A1-831F-BC14278FA69B}"/>
    <cellStyle name="Note 2 2 8 5" xfId="28970" xr:uid="{C2F7DF70-0E6B-41C3-B54D-E997B91CCD51}"/>
    <cellStyle name="Note 2 2 9" xfId="2743" xr:uid="{00000000-0005-0000-0000-0000EC200000}"/>
    <cellStyle name="Note 2 3" xfId="549" xr:uid="{00000000-0005-0000-0000-0000ED200000}"/>
    <cellStyle name="Note 2 3 10" xfId="4906" xr:uid="{00000000-0005-0000-0000-0000EE200000}"/>
    <cellStyle name="Note 2 3 10 2" xfId="22679" xr:uid="{501A17C2-3E8A-467C-9253-7E31F744EABA}"/>
    <cellStyle name="Note 2 3 10 2 2" xfId="39573" xr:uid="{3F1F605B-9840-4383-BBF5-2B1EA24EDEB4}"/>
    <cellStyle name="Note 2 3 10 3" xfId="14232" xr:uid="{F976965D-BC45-4FBF-8B1E-43FFB8FCA9B3}"/>
    <cellStyle name="Note 2 3 10 4" xfId="31126" xr:uid="{09530AA0-C0D1-4401-8D0E-888D3DFE51C8}"/>
    <cellStyle name="Note 2 3 11" xfId="8894" xr:uid="{2BFFE8D0-DA42-4876-8895-58F80713E965}"/>
    <cellStyle name="Note 2 3 11 2" xfId="18462" xr:uid="{BB279642-7B0E-46DB-A6B8-09FCE970B7A7}"/>
    <cellStyle name="Note 2 3 11 3" xfId="35356" xr:uid="{E9EDEC82-2114-4B52-845D-D4005637F476}"/>
    <cellStyle name="Note 2 3 12" xfId="10015" xr:uid="{0594815E-390C-41E9-9124-FC89579AF4C3}"/>
    <cellStyle name="Note 2 3 13" xfId="26909" xr:uid="{E9998548-A64B-47D9-8D74-8A330FE1D157}"/>
    <cellStyle name="Note 2 3 2" xfId="550" xr:uid="{00000000-0005-0000-0000-0000EF200000}"/>
    <cellStyle name="Note 2 3 2 10" xfId="9101" xr:uid="{1822EEA2-225E-465E-B4CD-D4615440EC62}"/>
    <cellStyle name="Note 2 3 2 10 2" xfId="18463" xr:uid="{AC2A32A2-BBD3-4E83-A73A-ABC3E86947AE}"/>
    <cellStyle name="Note 2 3 2 10 3" xfId="35357" xr:uid="{BD9B4194-8B7C-4407-8225-890C0A730F72}"/>
    <cellStyle name="Note 2 3 2 11" xfId="10016" xr:uid="{6FB807A4-2A0C-4884-8408-34D9301DB225}"/>
    <cellStyle name="Note 2 3 2 12" xfId="26910" xr:uid="{9F38435E-9B8C-4BE0-AF8D-F04A53CCDE4E}"/>
    <cellStyle name="Note 2 3 2 2" xfId="1011" xr:uid="{00000000-0005-0000-0000-0000F0200000}"/>
    <cellStyle name="Note 2 3 2 2 2" xfId="3243" xr:uid="{00000000-0005-0000-0000-0000F1200000}"/>
    <cellStyle name="Note 2 3 2 2 2 2" xfId="7465" xr:uid="{00000000-0005-0000-0000-0000F2200000}"/>
    <cellStyle name="Note 2 3 2 2 2 2 2" xfId="25238" xr:uid="{5897CA2E-E0B9-481A-872C-9C3638C1215D}"/>
    <cellStyle name="Note 2 3 2 2 2 2 2 2" xfId="42132" xr:uid="{27F23D5A-6441-4BA3-9A39-DFD5B6A4B2A3}"/>
    <cellStyle name="Note 2 3 2 2 2 2 3" xfId="16791" xr:uid="{E85A9F8A-328E-4EC4-8A5E-213B0F36C206}"/>
    <cellStyle name="Note 2 3 2 2 2 2 4" xfId="33685" xr:uid="{F51B1224-E9F5-475E-B312-1D3C09841B1F}"/>
    <cellStyle name="Note 2 3 2 2 2 3" xfId="21021" xr:uid="{DE47656A-9A9D-4961-81EB-6A5A0586964F}"/>
    <cellStyle name="Note 2 3 2 2 2 3 2" xfId="37915" xr:uid="{E51D2ADD-6009-4DFE-AAE2-8AA3727BB158}"/>
    <cellStyle name="Note 2 3 2 2 2 4" xfId="12574" xr:uid="{3A1C8F1D-EB13-40DC-B9A3-6B86CD7FD6E5}"/>
    <cellStyle name="Note 2 3 2 2 2 5" xfId="29468" xr:uid="{9A848DA5-EAF1-42C5-8818-FE7D3F8CE852}"/>
    <cellStyle name="Note 2 3 2 2 3" xfId="5320" xr:uid="{00000000-0005-0000-0000-0000F3200000}"/>
    <cellStyle name="Note 2 3 2 2 3 2" xfId="23093" xr:uid="{E7C6B007-DEB3-4202-8588-B6B2B7A3764A}"/>
    <cellStyle name="Note 2 3 2 2 3 2 2" xfId="39987" xr:uid="{9AD88BD8-9FEC-43FB-BEC9-A43431D85AA0}"/>
    <cellStyle name="Note 2 3 2 2 3 3" xfId="14646" xr:uid="{EF89F1E5-AB5E-40F8-B857-3D402EFBD919}"/>
    <cellStyle name="Note 2 3 2 2 3 4" xfId="31540" xr:uid="{650EFFA6-1836-46C4-B529-2F60BBD7E418}"/>
    <cellStyle name="Note 2 3 2 2 4" xfId="9526" xr:uid="{1C428179-0C82-4F5D-9FE4-E11D597F9E89}"/>
    <cellStyle name="Note 2 3 2 2 4 2" xfId="18876" xr:uid="{C8B8B2D7-3BC9-4747-BC82-1FD3A2DBFC4D}"/>
    <cellStyle name="Note 2 3 2 2 4 3" xfId="35770" xr:uid="{5B80DC90-834E-40F0-ACF6-81CE1A58069D}"/>
    <cellStyle name="Note 2 3 2 2 5" xfId="10429" xr:uid="{571F7C4E-CF1A-43C1-A7D1-927DAFEA9F38}"/>
    <cellStyle name="Note 2 3 2 2 6" xfId="27323" xr:uid="{08B96F53-8631-4C54-8113-AAB6C9BFF3FD}"/>
    <cellStyle name="Note 2 3 2 3" xfId="1426" xr:uid="{00000000-0005-0000-0000-0000F4200000}"/>
    <cellStyle name="Note 2 3 2 3 2" xfId="3656" xr:uid="{00000000-0005-0000-0000-0000F5200000}"/>
    <cellStyle name="Note 2 3 2 3 2 2" xfId="7878" xr:uid="{00000000-0005-0000-0000-0000F6200000}"/>
    <cellStyle name="Note 2 3 2 3 2 2 2" xfId="25651" xr:uid="{BAFAC583-D382-499C-B991-AB9F978D3C5C}"/>
    <cellStyle name="Note 2 3 2 3 2 2 2 2" xfId="42545" xr:uid="{43DE1B17-EF4C-424B-B9CE-FAE59692DB43}"/>
    <cellStyle name="Note 2 3 2 3 2 2 3" xfId="17204" xr:uid="{D0BE9B0A-9859-495F-B1A5-EEFA6246852F}"/>
    <cellStyle name="Note 2 3 2 3 2 2 4" xfId="34098" xr:uid="{22842C8F-6481-4AF1-B90A-CF492A52A3BF}"/>
    <cellStyle name="Note 2 3 2 3 2 3" xfId="21434" xr:uid="{A0BD3CD7-6B64-432F-9486-9509C26FE504}"/>
    <cellStyle name="Note 2 3 2 3 2 3 2" xfId="38328" xr:uid="{C2572682-7BDE-48F7-85F5-819F184019B9}"/>
    <cellStyle name="Note 2 3 2 3 2 4" xfId="12987" xr:uid="{25CCD951-93DF-48B3-AE5C-48609AEC54C6}"/>
    <cellStyle name="Note 2 3 2 3 2 5" xfId="29881" xr:uid="{633B7B87-0B1F-4428-B5D4-316525B7385F}"/>
    <cellStyle name="Note 2 3 2 3 3" xfId="5733" xr:uid="{00000000-0005-0000-0000-0000F7200000}"/>
    <cellStyle name="Note 2 3 2 3 3 2" xfId="23506" xr:uid="{FEA0F2F8-F233-42FD-B3FF-9454564ED61A}"/>
    <cellStyle name="Note 2 3 2 3 3 2 2" xfId="40400" xr:uid="{3709E402-96E5-43FF-8068-FC7247E4108A}"/>
    <cellStyle name="Note 2 3 2 3 3 3" xfId="15059" xr:uid="{6271D95E-B513-41D4-BAF0-214602733C1F}"/>
    <cellStyle name="Note 2 3 2 3 3 4" xfId="31953" xr:uid="{10163289-4BAC-4ADE-9671-BE1FDC466B32}"/>
    <cellStyle name="Note 2 3 2 3 4" xfId="19289" xr:uid="{5202E73F-0B19-4A79-B059-669A24B04510}"/>
    <cellStyle name="Note 2 3 2 3 4 2" xfId="36183" xr:uid="{BB03F7F2-6206-45D1-8EF8-71732CDD3B51}"/>
    <cellStyle name="Note 2 3 2 3 5" xfId="10842" xr:uid="{895A3A60-F7D6-4031-B943-C607A439FCFE}"/>
    <cellStyle name="Note 2 3 2 3 6" xfId="27736" xr:uid="{D3319779-AF9A-4DE9-91A8-6D317D06DD3F}"/>
    <cellStyle name="Note 2 3 2 4" xfId="1840" xr:uid="{00000000-0005-0000-0000-0000F8200000}"/>
    <cellStyle name="Note 2 3 2 4 2" xfId="4069" xr:uid="{00000000-0005-0000-0000-0000F9200000}"/>
    <cellStyle name="Note 2 3 2 4 2 2" xfId="8291" xr:uid="{00000000-0005-0000-0000-0000FA200000}"/>
    <cellStyle name="Note 2 3 2 4 2 2 2" xfId="26064" xr:uid="{2FDD75F9-29EC-48DE-88BC-40B4CF912A56}"/>
    <cellStyle name="Note 2 3 2 4 2 2 2 2" xfId="42958" xr:uid="{1435B04D-FF15-4B3E-8598-064971013931}"/>
    <cellStyle name="Note 2 3 2 4 2 2 3" xfId="17617" xr:uid="{DB5F0B90-4EC8-4435-A026-FDB2715FD8E8}"/>
    <cellStyle name="Note 2 3 2 4 2 2 4" xfId="34511" xr:uid="{4FAB9F3C-967C-4854-A700-61F132006A6E}"/>
    <cellStyle name="Note 2 3 2 4 2 3" xfId="21847" xr:uid="{FC18D0EA-C94D-492F-AEDE-F0669983DCA2}"/>
    <cellStyle name="Note 2 3 2 4 2 3 2" xfId="38741" xr:uid="{6473A494-DDC4-4613-8520-F54B2BD318A8}"/>
    <cellStyle name="Note 2 3 2 4 2 4" xfId="13400" xr:uid="{48A72007-F551-44E2-8A64-18DEFE64AB22}"/>
    <cellStyle name="Note 2 3 2 4 2 5" xfId="30294" xr:uid="{095544AB-BC64-4A7F-B4FB-EA2C1A17FF5A}"/>
    <cellStyle name="Note 2 3 2 4 3" xfId="6146" xr:uid="{00000000-0005-0000-0000-0000FB200000}"/>
    <cellStyle name="Note 2 3 2 4 3 2" xfId="23919" xr:uid="{9E08BDA0-B830-45F0-9847-4094AB45AD47}"/>
    <cellStyle name="Note 2 3 2 4 3 2 2" xfId="40813" xr:uid="{F742A484-7B05-44FF-8B29-DFB8C826050E}"/>
    <cellStyle name="Note 2 3 2 4 3 3" xfId="15472" xr:uid="{8A45951D-27B4-4E8A-B69D-DA3C4336B248}"/>
    <cellStyle name="Note 2 3 2 4 3 4" xfId="32366" xr:uid="{99249498-AE89-4C76-9379-07EE12BBA3FC}"/>
    <cellStyle name="Note 2 3 2 4 4" xfId="19702" xr:uid="{4F08B4FB-D9E4-438C-AFCF-271B7FBD6530}"/>
    <cellStyle name="Note 2 3 2 4 4 2" xfId="36596" xr:uid="{70F6BDF2-3BBE-4060-A029-8F44CE9C5429}"/>
    <cellStyle name="Note 2 3 2 4 5" xfId="11255" xr:uid="{D690FC07-6095-4785-B0AC-F244B9552AA2}"/>
    <cellStyle name="Note 2 3 2 4 6" xfId="28149" xr:uid="{839C97BE-A5A7-482F-A1B5-B954DC8CBC13}"/>
    <cellStyle name="Note 2 3 2 5" xfId="2253" xr:uid="{00000000-0005-0000-0000-0000FC200000}"/>
    <cellStyle name="Note 2 3 2 5 2" xfId="4482" xr:uid="{00000000-0005-0000-0000-0000FD200000}"/>
    <cellStyle name="Note 2 3 2 5 2 2" xfId="8704" xr:uid="{00000000-0005-0000-0000-0000FE200000}"/>
    <cellStyle name="Note 2 3 2 5 2 2 2" xfId="26477" xr:uid="{3B3254BD-F633-44CE-969E-EAE37AC88F49}"/>
    <cellStyle name="Note 2 3 2 5 2 2 2 2" xfId="43371" xr:uid="{881C8EB3-AFD3-4E49-B8FD-778CDE5B0FE1}"/>
    <cellStyle name="Note 2 3 2 5 2 2 3" xfId="18030" xr:uid="{AA68E51D-3FD4-4C8D-A523-54F3236F233D}"/>
    <cellStyle name="Note 2 3 2 5 2 2 4" xfId="34924" xr:uid="{B9347572-22AF-4720-BC79-725B5D2DFAAC}"/>
    <cellStyle name="Note 2 3 2 5 2 3" xfId="22260" xr:uid="{71D52929-D9F1-4E00-A387-D704C3146C14}"/>
    <cellStyle name="Note 2 3 2 5 2 3 2" xfId="39154" xr:uid="{30F71EE2-A030-43AD-A4B1-57ED138ED331}"/>
    <cellStyle name="Note 2 3 2 5 2 4" xfId="13813" xr:uid="{D076C9E8-2DDD-40E4-A71C-3E62D1E18283}"/>
    <cellStyle name="Note 2 3 2 5 2 5" xfId="30707" xr:uid="{EA6A3FF5-4554-4F55-BE71-490F47A1F04F}"/>
    <cellStyle name="Note 2 3 2 5 3" xfId="6559" xr:uid="{00000000-0005-0000-0000-0000FF200000}"/>
    <cellStyle name="Note 2 3 2 5 3 2" xfId="24332" xr:uid="{ECB6CAB6-BD72-4EF7-B3B8-B7C788688D07}"/>
    <cellStyle name="Note 2 3 2 5 3 2 2" xfId="41226" xr:uid="{66C4CA97-0667-41A3-BB11-2E01B9BCF16B}"/>
    <cellStyle name="Note 2 3 2 5 3 3" xfId="15885" xr:uid="{B715C11E-67FA-4693-882E-D235B1055F3F}"/>
    <cellStyle name="Note 2 3 2 5 3 4" xfId="32779" xr:uid="{D3DCDF0A-372A-4719-A8F8-A5BF0B2F94FB}"/>
    <cellStyle name="Note 2 3 2 5 4" xfId="20115" xr:uid="{187776D8-624B-4F1E-80BA-FE37E2BC9CCD}"/>
    <cellStyle name="Note 2 3 2 5 4 2" xfId="37009" xr:uid="{38B0FE0F-E7AB-4612-A701-7C35DBE5EA23}"/>
    <cellStyle name="Note 2 3 2 5 5" xfId="11668" xr:uid="{05F2CA83-FA35-4C8F-806A-D1FC9E22E8DC}"/>
    <cellStyle name="Note 2 3 2 5 6" xfId="28562" xr:uid="{37A8A366-847E-4DEC-8E50-F51CFE27C069}"/>
    <cellStyle name="Note 2 3 2 6" xfId="2689" xr:uid="{00000000-0005-0000-0000-000000210000}"/>
    <cellStyle name="Note 2 3 2 6 2" xfId="6972" xr:uid="{00000000-0005-0000-0000-000001210000}"/>
    <cellStyle name="Note 2 3 2 6 2 2" xfId="24745" xr:uid="{5B8CA13C-896B-4C1B-8315-F624FB8124A7}"/>
    <cellStyle name="Note 2 3 2 6 2 2 2" xfId="41639" xr:uid="{A26EADDA-6AD3-4EF3-ACC2-69FE0814A372}"/>
    <cellStyle name="Note 2 3 2 6 2 3" xfId="16298" xr:uid="{F66B99A6-029C-471A-898B-502D9D3687FB}"/>
    <cellStyle name="Note 2 3 2 6 2 4" xfId="33192" xr:uid="{B310A76E-C568-4D58-8C7F-74070C060AC6}"/>
    <cellStyle name="Note 2 3 2 6 3" xfId="20528" xr:uid="{AF845E73-2AE7-4575-9A22-4B7D0DBF29EF}"/>
    <cellStyle name="Note 2 3 2 6 3 2" xfId="37422" xr:uid="{3D1F793F-3CA1-4BB4-B75D-954839B4F8FB}"/>
    <cellStyle name="Note 2 3 2 6 4" xfId="12081" xr:uid="{5076920D-966F-44DA-9080-7A245145721D}"/>
    <cellStyle name="Note 2 3 2 6 5" xfId="28975" xr:uid="{F8B405A5-2141-457E-937B-FA37C1D68B0E}"/>
    <cellStyle name="Note 2 3 2 7" xfId="2748" xr:uid="{00000000-0005-0000-0000-000002210000}"/>
    <cellStyle name="Note 2 3 2 8" xfId="2829" xr:uid="{00000000-0005-0000-0000-000003210000}"/>
    <cellStyle name="Note 2 3 2 8 2" xfId="7052" xr:uid="{00000000-0005-0000-0000-000004210000}"/>
    <cellStyle name="Note 2 3 2 8 2 2" xfId="24825" xr:uid="{28CC8D75-B6C1-4974-9305-224517DAD438}"/>
    <cellStyle name="Note 2 3 2 8 2 2 2" xfId="41719" xr:uid="{34E7B678-1095-4DBC-821A-222124A7DC38}"/>
    <cellStyle name="Note 2 3 2 8 2 3" xfId="16378" xr:uid="{EA8D817F-580F-4549-9E0D-40EFC0FE509F}"/>
    <cellStyle name="Note 2 3 2 8 2 4" xfId="33272" xr:uid="{5EFA9936-D1FE-4A7F-B085-2C1D4350E4AD}"/>
    <cellStyle name="Note 2 3 2 8 3" xfId="20608" xr:uid="{04AA0FF5-2C2B-40ED-BE24-A0E2C2A465DB}"/>
    <cellStyle name="Note 2 3 2 8 3 2" xfId="37502" xr:uid="{4CF513F2-2E6F-4350-AB87-50662BC96731}"/>
    <cellStyle name="Note 2 3 2 8 4" xfId="12161" xr:uid="{D0A09EC6-FF1F-4DAE-941E-50FD7138299A}"/>
    <cellStyle name="Note 2 3 2 8 5" xfId="29055" xr:uid="{8575ADA5-06D2-4876-BE95-4657E077D3E7}"/>
    <cellStyle name="Note 2 3 2 9" xfId="4907" xr:uid="{00000000-0005-0000-0000-000005210000}"/>
    <cellStyle name="Note 2 3 2 9 2" xfId="22680" xr:uid="{0B9CCF54-A067-4F9C-84CD-74441E6065EF}"/>
    <cellStyle name="Note 2 3 2 9 2 2" xfId="39574" xr:uid="{BCD1635E-3D10-455F-B687-331F910D5AD5}"/>
    <cellStyle name="Note 2 3 2 9 3" xfId="14233" xr:uid="{8B75E6BB-C228-4061-BF7D-BBEC379609F6}"/>
    <cellStyle name="Note 2 3 2 9 4" xfId="31127" xr:uid="{877B1C7F-BFDC-4ECA-8053-227D139C56DD}"/>
    <cellStyle name="Note 2 3 3" xfId="1010" xr:uid="{00000000-0005-0000-0000-000006210000}"/>
    <cellStyle name="Note 2 3 3 2" xfId="3242" xr:uid="{00000000-0005-0000-0000-000007210000}"/>
    <cellStyle name="Note 2 3 3 2 2" xfId="7464" xr:uid="{00000000-0005-0000-0000-000008210000}"/>
    <cellStyle name="Note 2 3 3 2 2 2" xfId="25237" xr:uid="{CBEC9EAB-8F48-4B45-A659-51140EFB048B}"/>
    <cellStyle name="Note 2 3 3 2 2 2 2" xfId="42131" xr:uid="{B2F6ADE7-5050-4587-809A-243A183BE98E}"/>
    <cellStyle name="Note 2 3 3 2 2 3" xfId="16790" xr:uid="{6C9D68F3-B18D-4A3B-8964-4FA372B9CF3A}"/>
    <cellStyle name="Note 2 3 3 2 2 4" xfId="33684" xr:uid="{19C53AEC-2A1D-4277-A7C9-CCC40B0C0492}"/>
    <cellStyle name="Note 2 3 3 2 3" xfId="21020" xr:uid="{92811D38-1CF5-4102-B52B-7194C30F1A65}"/>
    <cellStyle name="Note 2 3 3 2 3 2" xfId="37914" xr:uid="{05FFC77F-9C77-4A87-A679-EBD0F338AD58}"/>
    <cellStyle name="Note 2 3 3 2 4" xfId="12573" xr:uid="{F06C51A5-66D2-40CC-A400-94C9CE08E2A2}"/>
    <cellStyle name="Note 2 3 3 2 5" xfId="29467" xr:uid="{3EE87BD6-A8F2-4EA4-BF4F-237464B20E66}"/>
    <cellStyle name="Note 2 3 3 3" xfId="5319" xr:uid="{00000000-0005-0000-0000-000009210000}"/>
    <cellStyle name="Note 2 3 3 3 2" xfId="23092" xr:uid="{66D641A8-2259-41B2-95A9-CC15604CA83D}"/>
    <cellStyle name="Note 2 3 3 3 2 2" xfId="39986" xr:uid="{3893981D-9431-40E3-AFC8-EC32649A93D6}"/>
    <cellStyle name="Note 2 3 3 3 3" xfId="14645" xr:uid="{243F587A-5F5F-4835-94ED-2D1CB1C13F3C}"/>
    <cellStyle name="Note 2 3 3 3 4" xfId="31539" xr:uid="{1814D5D4-1E8E-4AD3-AC38-34F009F8F55E}"/>
    <cellStyle name="Note 2 3 3 4" xfId="9319" xr:uid="{06E4A3C6-5CAA-4424-B4C3-41162F21AE7D}"/>
    <cellStyle name="Note 2 3 3 4 2" xfId="18875" xr:uid="{5E35AF46-1EB1-4A1A-B45B-8615F736A4BB}"/>
    <cellStyle name="Note 2 3 3 4 3" xfId="35769" xr:uid="{A3CC5C41-E9B7-41DC-BBC4-471E37189F96}"/>
    <cellStyle name="Note 2 3 3 5" xfId="10428" xr:uid="{8DF09F08-E646-4265-85EF-6C75DBD2CEB7}"/>
    <cellStyle name="Note 2 3 3 6" xfId="27322" xr:uid="{4B076E54-D317-4D59-9165-916E160514AE}"/>
    <cellStyle name="Note 2 3 4" xfId="1425" xr:uid="{00000000-0005-0000-0000-00000A210000}"/>
    <cellStyle name="Note 2 3 4 2" xfId="3655" xr:uid="{00000000-0005-0000-0000-00000B210000}"/>
    <cellStyle name="Note 2 3 4 2 2" xfId="7877" xr:uid="{00000000-0005-0000-0000-00000C210000}"/>
    <cellStyle name="Note 2 3 4 2 2 2" xfId="25650" xr:uid="{7EF439CA-775B-42BD-A132-04B2EBA52685}"/>
    <cellStyle name="Note 2 3 4 2 2 2 2" xfId="42544" xr:uid="{C0FC9FD8-6058-4BCA-A541-F6B87B51C450}"/>
    <cellStyle name="Note 2 3 4 2 2 3" xfId="17203" xr:uid="{E7739CDD-F399-4160-8441-B2D7AF5BEAFD}"/>
    <cellStyle name="Note 2 3 4 2 2 4" xfId="34097" xr:uid="{8A80C928-321C-4385-926A-5D03F86B1790}"/>
    <cellStyle name="Note 2 3 4 2 3" xfId="21433" xr:uid="{3382CA04-E4F8-4B14-AD9A-2A9B27B87A26}"/>
    <cellStyle name="Note 2 3 4 2 3 2" xfId="38327" xr:uid="{747C20D4-010B-469D-B8C4-7C0528949AA9}"/>
    <cellStyle name="Note 2 3 4 2 4" xfId="12986" xr:uid="{243E0D4C-9F5B-433F-982C-1B45B5AA5B00}"/>
    <cellStyle name="Note 2 3 4 2 5" xfId="29880" xr:uid="{C409EEC1-BC77-41F1-A329-73D4C8810296}"/>
    <cellStyle name="Note 2 3 4 3" xfId="5732" xr:uid="{00000000-0005-0000-0000-00000D210000}"/>
    <cellStyle name="Note 2 3 4 3 2" xfId="23505" xr:uid="{9BA54171-2BF0-41D5-BDF7-14A2DD5307B6}"/>
    <cellStyle name="Note 2 3 4 3 2 2" xfId="40399" xr:uid="{DE5560BF-FD2E-47F5-A643-437DCCD70042}"/>
    <cellStyle name="Note 2 3 4 3 3" xfId="15058" xr:uid="{2CCFF8DF-55B5-4BD6-90AC-61B1068B0470}"/>
    <cellStyle name="Note 2 3 4 3 4" xfId="31952" xr:uid="{DD93CA45-7AF1-48D1-9A95-35312ED5872B}"/>
    <cellStyle name="Note 2 3 4 4" xfId="19288" xr:uid="{F9D91342-9FCF-4970-842E-B18E76219B0B}"/>
    <cellStyle name="Note 2 3 4 4 2" xfId="36182" xr:uid="{689071ED-4799-4525-9C0D-12BC9C1A357D}"/>
    <cellStyle name="Note 2 3 4 5" xfId="10841" xr:uid="{6400D36F-3483-4D13-868B-ADECF8F26232}"/>
    <cellStyle name="Note 2 3 4 6" xfId="27735" xr:uid="{B6CEAC0A-E0C8-4B7D-B90C-4BA7D68A388A}"/>
    <cellStyle name="Note 2 3 5" xfId="1839" xr:uid="{00000000-0005-0000-0000-00000E210000}"/>
    <cellStyle name="Note 2 3 5 2" xfId="4068" xr:uid="{00000000-0005-0000-0000-00000F210000}"/>
    <cellStyle name="Note 2 3 5 2 2" xfId="8290" xr:uid="{00000000-0005-0000-0000-000010210000}"/>
    <cellStyle name="Note 2 3 5 2 2 2" xfId="26063" xr:uid="{F2EABA41-FBEF-4060-A9FF-9A911B4E1179}"/>
    <cellStyle name="Note 2 3 5 2 2 2 2" xfId="42957" xr:uid="{97B776A6-115B-4AD6-AC9F-476FC97AF3C4}"/>
    <cellStyle name="Note 2 3 5 2 2 3" xfId="17616" xr:uid="{FC7E43CE-A101-4D5F-922E-8B920B11950F}"/>
    <cellStyle name="Note 2 3 5 2 2 4" xfId="34510" xr:uid="{F2086689-B8A0-45A6-A6E9-98F8CCCC4D7C}"/>
    <cellStyle name="Note 2 3 5 2 3" xfId="21846" xr:uid="{979BF5B1-52B7-4417-8EF0-C2A5F99CCBC0}"/>
    <cellStyle name="Note 2 3 5 2 3 2" xfId="38740" xr:uid="{B8468BDB-1D7C-4F05-B78F-D48FD54A3446}"/>
    <cellStyle name="Note 2 3 5 2 4" xfId="13399" xr:uid="{EE29049B-F5EF-45D8-9698-BE3374CD867F}"/>
    <cellStyle name="Note 2 3 5 2 5" xfId="30293" xr:uid="{4CA6F828-A8D9-44DF-B78B-679DFCEEF73B}"/>
    <cellStyle name="Note 2 3 5 3" xfId="6145" xr:uid="{00000000-0005-0000-0000-000011210000}"/>
    <cellStyle name="Note 2 3 5 3 2" xfId="23918" xr:uid="{B4739EBE-2B2B-49D6-9F95-C51B685FDED4}"/>
    <cellStyle name="Note 2 3 5 3 2 2" xfId="40812" xr:uid="{7DA6EE18-4482-4628-B732-105799C76428}"/>
    <cellStyle name="Note 2 3 5 3 3" xfId="15471" xr:uid="{DBCE3040-A1DA-4EA4-AC66-0B1BE70D0CB4}"/>
    <cellStyle name="Note 2 3 5 3 4" xfId="32365" xr:uid="{44FF05F4-507E-4B76-AD03-EA3E0BDBDFE4}"/>
    <cellStyle name="Note 2 3 5 4" xfId="19701" xr:uid="{CA74249A-D744-4040-88F2-57A65DBC1C63}"/>
    <cellStyle name="Note 2 3 5 4 2" xfId="36595" xr:uid="{D7B79769-2814-4B42-AB34-CEF9CCA49B4D}"/>
    <cellStyle name="Note 2 3 5 5" xfId="11254" xr:uid="{F3383C2F-FC56-4F5B-9EAD-AD5B51CE8B0A}"/>
    <cellStyle name="Note 2 3 5 6" xfId="28148" xr:uid="{02569A28-2C4A-47E3-8772-949029183336}"/>
    <cellStyle name="Note 2 3 6" xfId="2252" xr:uid="{00000000-0005-0000-0000-000012210000}"/>
    <cellStyle name="Note 2 3 6 2" xfId="4481" xr:uid="{00000000-0005-0000-0000-000013210000}"/>
    <cellStyle name="Note 2 3 6 2 2" xfId="8703" xr:uid="{00000000-0005-0000-0000-000014210000}"/>
    <cellStyle name="Note 2 3 6 2 2 2" xfId="26476" xr:uid="{C76A9E47-A874-403C-964D-D133AE896A76}"/>
    <cellStyle name="Note 2 3 6 2 2 2 2" xfId="43370" xr:uid="{6E91288C-729F-4987-88A9-36A802C41432}"/>
    <cellStyle name="Note 2 3 6 2 2 3" xfId="18029" xr:uid="{E789348D-ACB7-4577-8BEF-1367DBB24461}"/>
    <cellStyle name="Note 2 3 6 2 2 4" xfId="34923" xr:uid="{2D98D6BB-0203-48A3-9A2E-9BDDD98FD357}"/>
    <cellStyle name="Note 2 3 6 2 3" xfId="22259" xr:uid="{435ECB3D-AF5B-419E-829F-DE030FC8BACB}"/>
    <cellStyle name="Note 2 3 6 2 3 2" xfId="39153" xr:uid="{BEBDC647-6402-466F-A86C-B4DFE3C216AF}"/>
    <cellStyle name="Note 2 3 6 2 4" xfId="13812" xr:uid="{604746AE-AA21-4583-9248-1CFB4763CFB6}"/>
    <cellStyle name="Note 2 3 6 2 5" xfId="30706" xr:uid="{5A340F78-08FF-4F56-9770-3BCE2F7ABDEF}"/>
    <cellStyle name="Note 2 3 6 3" xfId="6558" xr:uid="{00000000-0005-0000-0000-000015210000}"/>
    <cellStyle name="Note 2 3 6 3 2" xfId="24331" xr:uid="{6E684765-B13A-43DC-AEB9-E185ADC6FB7E}"/>
    <cellStyle name="Note 2 3 6 3 2 2" xfId="41225" xr:uid="{3CFC8265-8623-4E7A-A515-F20C1E9B7827}"/>
    <cellStyle name="Note 2 3 6 3 3" xfId="15884" xr:uid="{3AE4D36E-68C9-420B-832C-4CF52B360AEC}"/>
    <cellStyle name="Note 2 3 6 3 4" xfId="32778" xr:uid="{0C1D8D51-85A6-4E1D-879E-9F4EBAF5585E}"/>
    <cellStyle name="Note 2 3 6 4" xfId="20114" xr:uid="{8B43E347-28A9-4E86-BEEB-5A3ABBD04292}"/>
    <cellStyle name="Note 2 3 6 4 2" xfId="37008" xr:uid="{95131219-D450-4665-9330-1A9C8581E368}"/>
    <cellStyle name="Note 2 3 6 5" xfId="11667" xr:uid="{491B0849-E390-425B-A488-26380FA55587}"/>
    <cellStyle name="Note 2 3 6 6" xfId="28561" xr:uid="{932CCF61-4159-4B20-8119-0419B9797737}"/>
    <cellStyle name="Note 2 3 7" xfId="2688" xr:uid="{00000000-0005-0000-0000-000016210000}"/>
    <cellStyle name="Note 2 3 7 2" xfId="6971" xr:uid="{00000000-0005-0000-0000-000017210000}"/>
    <cellStyle name="Note 2 3 7 2 2" xfId="24744" xr:uid="{E38DB071-3DB9-493F-B151-A0B9421EDACB}"/>
    <cellStyle name="Note 2 3 7 2 2 2" xfId="41638" xr:uid="{4E62958A-5118-4984-B747-C3AD36693B02}"/>
    <cellStyle name="Note 2 3 7 2 3" xfId="16297" xr:uid="{A7C49BF1-35A9-47E2-ABB3-3D010ECA5DA3}"/>
    <cellStyle name="Note 2 3 7 2 4" xfId="33191" xr:uid="{25CE70C9-BF96-4570-AD79-6168952EAE52}"/>
    <cellStyle name="Note 2 3 7 3" xfId="20527" xr:uid="{E1608BD3-9CB1-4297-99C6-A2E2DD4B3071}"/>
    <cellStyle name="Note 2 3 7 3 2" xfId="37421" xr:uid="{8530D622-9BDD-4A68-AE10-F0E2DB80ECAA}"/>
    <cellStyle name="Note 2 3 7 4" xfId="12080" xr:uid="{914DE828-7877-4D0A-9E11-A5E97174385B}"/>
    <cellStyle name="Note 2 3 7 5" xfId="28974" xr:uid="{9C6D57D2-3F42-465E-A577-1593EF266355}"/>
    <cellStyle name="Note 2 3 8" xfId="2747" xr:uid="{00000000-0005-0000-0000-000018210000}"/>
    <cellStyle name="Note 2 3 9" xfId="2828" xr:uid="{00000000-0005-0000-0000-000019210000}"/>
    <cellStyle name="Note 2 3 9 2" xfId="7051" xr:uid="{00000000-0005-0000-0000-00001A210000}"/>
    <cellStyle name="Note 2 3 9 2 2" xfId="24824" xr:uid="{CC316A33-BA39-4668-A1FE-A02F68BCEFDA}"/>
    <cellStyle name="Note 2 3 9 2 2 2" xfId="41718" xr:uid="{69783F79-3BB4-4158-A94A-4FF654427490}"/>
    <cellStyle name="Note 2 3 9 2 3" xfId="16377" xr:uid="{550FB62A-813A-4100-99EF-DF9DB343F938}"/>
    <cellStyle name="Note 2 3 9 2 4" xfId="33271" xr:uid="{66F73A06-244E-4B47-86B6-AF215DC7CF52}"/>
    <cellStyle name="Note 2 3 9 3" xfId="20607" xr:uid="{6DFCB52A-51D0-4EBA-967E-80A46D85471F}"/>
    <cellStyle name="Note 2 3 9 3 2" xfId="37501" xr:uid="{1B252E65-0FE9-43B7-B3CE-F9EF1007465A}"/>
    <cellStyle name="Note 2 3 9 4" xfId="12160" xr:uid="{7CDDEFE2-A989-452E-8891-C087192F7D33}"/>
    <cellStyle name="Note 2 3 9 5" xfId="29054" xr:uid="{9760C55F-FA2F-4EE9-9E1A-F04714BFB8A3}"/>
    <cellStyle name="Note 2 4" xfId="551" xr:uid="{00000000-0005-0000-0000-00001B210000}"/>
    <cellStyle name="Note 2 4 10" xfId="8998" xr:uid="{AC87C288-14A9-4FB3-A26C-1706964E6651}"/>
    <cellStyle name="Note 2 4 10 2" xfId="18464" xr:uid="{AEA6B71A-2242-4314-A343-A72EF8353371}"/>
    <cellStyle name="Note 2 4 10 3" xfId="35358" xr:uid="{ABDE9EB2-9C9E-4DA6-B2F7-E7523A0CFA62}"/>
    <cellStyle name="Note 2 4 11" xfId="10017" xr:uid="{7B5BB926-7506-47DB-A047-199EA182BD65}"/>
    <cellStyle name="Note 2 4 12" xfId="26911" xr:uid="{032063E7-EC97-4C56-A435-2EE679CDAFE9}"/>
    <cellStyle name="Note 2 4 2" xfId="1012" xr:uid="{00000000-0005-0000-0000-00001C210000}"/>
    <cellStyle name="Note 2 4 2 2" xfId="3244" xr:uid="{00000000-0005-0000-0000-00001D210000}"/>
    <cellStyle name="Note 2 4 2 2 2" xfId="7466" xr:uid="{00000000-0005-0000-0000-00001E210000}"/>
    <cellStyle name="Note 2 4 2 2 2 2" xfId="25239" xr:uid="{8170857A-B614-435B-9E53-DBAC44807299}"/>
    <cellStyle name="Note 2 4 2 2 2 2 2" xfId="42133" xr:uid="{0109555A-FA7A-452B-8D69-8874569A6AE4}"/>
    <cellStyle name="Note 2 4 2 2 2 3" xfId="16792" xr:uid="{7B8335F0-7EF2-42BC-9FF0-9B243F46ED50}"/>
    <cellStyle name="Note 2 4 2 2 2 4" xfId="33686" xr:uid="{35B56401-85D0-4D7B-9599-65ECD5F7A007}"/>
    <cellStyle name="Note 2 4 2 2 3" xfId="21022" xr:uid="{75FE28FC-0E2A-4596-A2E7-F2AE7D239ABA}"/>
    <cellStyle name="Note 2 4 2 2 3 2" xfId="37916" xr:uid="{31E0081B-7689-48CF-8357-78DA544542C7}"/>
    <cellStyle name="Note 2 4 2 2 4" xfId="12575" xr:uid="{5C3104E1-7E12-43BE-8FE3-DF082B035CE5}"/>
    <cellStyle name="Note 2 4 2 2 5" xfId="29469" xr:uid="{295269E9-95BD-4EF9-997D-D9D95D5832CA}"/>
    <cellStyle name="Note 2 4 2 3" xfId="5321" xr:uid="{00000000-0005-0000-0000-00001F210000}"/>
    <cellStyle name="Note 2 4 2 3 2" xfId="23094" xr:uid="{8A08C81E-D23D-433C-91C9-F8270DC58BF6}"/>
    <cellStyle name="Note 2 4 2 3 2 2" xfId="39988" xr:uid="{1E6B52A7-F0B8-44C1-88BA-FA7003B8648B}"/>
    <cellStyle name="Note 2 4 2 3 3" xfId="14647" xr:uid="{11D9FF5A-57B9-4B03-9E75-2C3E927DF848}"/>
    <cellStyle name="Note 2 4 2 3 4" xfId="31541" xr:uid="{E533F217-6F09-4030-A6C0-43C797AF63D7}"/>
    <cellStyle name="Note 2 4 2 4" xfId="9423" xr:uid="{43B93802-BE55-43D9-BEBC-4095E3C1FF74}"/>
    <cellStyle name="Note 2 4 2 4 2" xfId="18877" xr:uid="{229E32AA-041E-4076-A7F5-7CBF0422A163}"/>
    <cellStyle name="Note 2 4 2 4 3" xfId="35771" xr:uid="{C980285B-748C-412C-8B47-CF72B996C9D6}"/>
    <cellStyle name="Note 2 4 2 5" xfId="10430" xr:uid="{4A95279B-3568-4EAC-80C5-4D07ACBFC15C}"/>
    <cellStyle name="Note 2 4 2 6" xfId="27324" xr:uid="{5CFA6D6A-2B15-4807-8182-F2219A12157C}"/>
    <cellStyle name="Note 2 4 3" xfId="1427" xr:uid="{00000000-0005-0000-0000-000020210000}"/>
    <cellStyle name="Note 2 4 3 2" xfId="3657" xr:uid="{00000000-0005-0000-0000-000021210000}"/>
    <cellStyle name="Note 2 4 3 2 2" xfId="7879" xr:uid="{00000000-0005-0000-0000-000022210000}"/>
    <cellStyle name="Note 2 4 3 2 2 2" xfId="25652" xr:uid="{435218D7-C944-43E4-A34E-9BCB41070863}"/>
    <cellStyle name="Note 2 4 3 2 2 2 2" xfId="42546" xr:uid="{EE575832-1608-4EBF-9FDF-081798BA58AF}"/>
    <cellStyle name="Note 2 4 3 2 2 3" xfId="17205" xr:uid="{A7B0B28D-FCC4-4930-A5F7-B8C36C6FD1E6}"/>
    <cellStyle name="Note 2 4 3 2 2 4" xfId="34099" xr:uid="{B9078DAC-AE06-4535-9E12-CF5BFFD78345}"/>
    <cellStyle name="Note 2 4 3 2 3" xfId="21435" xr:uid="{C75D110E-F082-421B-ABC8-EF1479F76A3D}"/>
    <cellStyle name="Note 2 4 3 2 3 2" xfId="38329" xr:uid="{EDAC934B-CD35-48CD-A9E1-602D3595E4E9}"/>
    <cellStyle name="Note 2 4 3 2 4" xfId="12988" xr:uid="{A4E93E7D-DFA7-4BC6-91DA-69C9947E564C}"/>
    <cellStyle name="Note 2 4 3 2 5" xfId="29882" xr:uid="{A3EB45E2-95E0-47D1-BB45-69ECE62E1455}"/>
    <cellStyle name="Note 2 4 3 3" xfId="5734" xr:uid="{00000000-0005-0000-0000-000023210000}"/>
    <cellStyle name="Note 2 4 3 3 2" xfId="23507" xr:uid="{30081075-7992-4333-B7D4-2EE9309925F1}"/>
    <cellStyle name="Note 2 4 3 3 2 2" xfId="40401" xr:uid="{D2F4EA77-F283-4570-8F81-92B428E199F2}"/>
    <cellStyle name="Note 2 4 3 3 3" xfId="15060" xr:uid="{602499F8-9059-4BB8-BECB-0FC73DB4823E}"/>
    <cellStyle name="Note 2 4 3 3 4" xfId="31954" xr:uid="{49C66668-4E22-42D0-8A32-2E57D2CBF030}"/>
    <cellStyle name="Note 2 4 3 4" xfId="19290" xr:uid="{8F31390A-A3E9-4117-BADA-0136B75A50A4}"/>
    <cellStyle name="Note 2 4 3 4 2" xfId="36184" xr:uid="{08E6CC62-EBAF-4E7E-B426-C41239946783}"/>
    <cellStyle name="Note 2 4 3 5" xfId="10843" xr:uid="{1999B244-349F-4083-9FFC-A95AC7346CE2}"/>
    <cellStyle name="Note 2 4 3 6" xfId="27737" xr:uid="{1D49E755-02E1-4C0D-822C-E507128F3619}"/>
    <cellStyle name="Note 2 4 4" xfId="1841" xr:uid="{00000000-0005-0000-0000-000024210000}"/>
    <cellStyle name="Note 2 4 4 2" xfId="4070" xr:uid="{00000000-0005-0000-0000-000025210000}"/>
    <cellStyle name="Note 2 4 4 2 2" xfId="8292" xr:uid="{00000000-0005-0000-0000-000026210000}"/>
    <cellStyle name="Note 2 4 4 2 2 2" xfId="26065" xr:uid="{4C81A2F7-3708-4C0C-A7E1-AB5E7018F928}"/>
    <cellStyle name="Note 2 4 4 2 2 2 2" xfId="42959" xr:uid="{F6CAFFBA-6171-40F0-B84F-D835CF6B5688}"/>
    <cellStyle name="Note 2 4 4 2 2 3" xfId="17618" xr:uid="{6CE2DAC1-6FAD-47DD-AEE2-1B97DF5ACC4F}"/>
    <cellStyle name="Note 2 4 4 2 2 4" xfId="34512" xr:uid="{9BDB5937-D4E1-47C1-89CD-09E6B58AA960}"/>
    <cellStyle name="Note 2 4 4 2 3" xfId="21848" xr:uid="{C8401607-F0E7-4F58-BABC-0ECA8160E6E2}"/>
    <cellStyle name="Note 2 4 4 2 3 2" xfId="38742" xr:uid="{6915B43D-6A30-4D07-964A-F001E716802D}"/>
    <cellStyle name="Note 2 4 4 2 4" xfId="13401" xr:uid="{EE02A51E-68EA-4B5B-AEBF-ED50AA615AC6}"/>
    <cellStyle name="Note 2 4 4 2 5" xfId="30295" xr:uid="{9594F10B-F66D-403C-A8D5-C58448BEE75B}"/>
    <cellStyle name="Note 2 4 4 3" xfId="6147" xr:uid="{00000000-0005-0000-0000-000027210000}"/>
    <cellStyle name="Note 2 4 4 3 2" xfId="23920" xr:uid="{96D15830-C51D-43DB-9228-B5619E8049E9}"/>
    <cellStyle name="Note 2 4 4 3 2 2" xfId="40814" xr:uid="{D075A422-4D64-4B47-9E0C-3C89F7EBED2A}"/>
    <cellStyle name="Note 2 4 4 3 3" xfId="15473" xr:uid="{661F11C3-987B-4798-9793-344238746C2F}"/>
    <cellStyle name="Note 2 4 4 3 4" xfId="32367" xr:uid="{894F93D5-42F7-4D94-85E1-9359E976C3B9}"/>
    <cellStyle name="Note 2 4 4 4" xfId="19703" xr:uid="{E6E93D70-FFA8-4696-86EA-5C8B2976FB5B}"/>
    <cellStyle name="Note 2 4 4 4 2" xfId="36597" xr:uid="{F3F76344-C76C-4817-91FE-66C3F6BA01C3}"/>
    <cellStyle name="Note 2 4 4 5" xfId="11256" xr:uid="{FFDE5D2E-2DDC-4A29-B8AD-90F9704026E6}"/>
    <cellStyle name="Note 2 4 4 6" xfId="28150" xr:uid="{3C6646C3-0BD9-4330-A0BD-C9A97F9A5E26}"/>
    <cellStyle name="Note 2 4 5" xfId="2254" xr:uid="{00000000-0005-0000-0000-000028210000}"/>
    <cellStyle name="Note 2 4 5 2" xfId="4483" xr:uid="{00000000-0005-0000-0000-000029210000}"/>
    <cellStyle name="Note 2 4 5 2 2" xfId="8705" xr:uid="{00000000-0005-0000-0000-00002A210000}"/>
    <cellStyle name="Note 2 4 5 2 2 2" xfId="26478" xr:uid="{DC5696FB-81DA-4651-AAC2-31669A8BE1F0}"/>
    <cellStyle name="Note 2 4 5 2 2 2 2" xfId="43372" xr:uid="{A6DFE144-26AC-435F-9D36-CAFF804A8308}"/>
    <cellStyle name="Note 2 4 5 2 2 3" xfId="18031" xr:uid="{DF015573-7E81-449C-BA0A-C29704FEE7A2}"/>
    <cellStyle name="Note 2 4 5 2 2 4" xfId="34925" xr:uid="{848788F3-4946-4044-901E-92316380EC37}"/>
    <cellStyle name="Note 2 4 5 2 3" xfId="22261" xr:uid="{7DF05F2E-2EE3-4392-97AB-1F87CDB34A16}"/>
    <cellStyle name="Note 2 4 5 2 3 2" xfId="39155" xr:uid="{857B9B2E-EC5F-4D22-8876-6CB5C9631D37}"/>
    <cellStyle name="Note 2 4 5 2 4" xfId="13814" xr:uid="{4D876D93-965E-41D2-B306-D0EFB6793EC9}"/>
    <cellStyle name="Note 2 4 5 2 5" xfId="30708" xr:uid="{69DC5599-F086-46C5-9702-4492DA401858}"/>
    <cellStyle name="Note 2 4 5 3" xfId="6560" xr:uid="{00000000-0005-0000-0000-00002B210000}"/>
    <cellStyle name="Note 2 4 5 3 2" xfId="24333" xr:uid="{55EF443F-095E-43AF-9630-D9090481119A}"/>
    <cellStyle name="Note 2 4 5 3 2 2" xfId="41227" xr:uid="{30849446-7E57-4DE2-B649-5E90A05155EB}"/>
    <cellStyle name="Note 2 4 5 3 3" xfId="15886" xr:uid="{0D8914F6-E295-457A-BC57-30E5DCFBDDBF}"/>
    <cellStyle name="Note 2 4 5 3 4" xfId="32780" xr:uid="{7663AC7F-8C89-4FB8-BE8E-1BDFBB4A52E0}"/>
    <cellStyle name="Note 2 4 5 4" xfId="20116" xr:uid="{8BAD5BF0-CB5C-4A4A-929B-98A8CA316C45}"/>
    <cellStyle name="Note 2 4 5 4 2" xfId="37010" xr:uid="{EF8DABE5-1416-4561-9424-18C21F62D895}"/>
    <cellStyle name="Note 2 4 5 5" xfId="11669" xr:uid="{E32F593D-DDA3-480C-9255-A66F2B1FBF9C}"/>
    <cellStyle name="Note 2 4 5 6" xfId="28563" xr:uid="{B4EBA721-D460-41A7-9EFB-03BE605F9E60}"/>
    <cellStyle name="Note 2 4 6" xfId="2690" xr:uid="{00000000-0005-0000-0000-00002C210000}"/>
    <cellStyle name="Note 2 4 6 2" xfId="6973" xr:uid="{00000000-0005-0000-0000-00002D210000}"/>
    <cellStyle name="Note 2 4 6 2 2" xfId="24746" xr:uid="{E6F2F04B-68F9-462C-A4FD-6D4D65E45834}"/>
    <cellStyle name="Note 2 4 6 2 2 2" xfId="41640" xr:uid="{12C7109B-4794-46B8-AC78-0C1681CC69DC}"/>
    <cellStyle name="Note 2 4 6 2 3" xfId="16299" xr:uid="{D8D5D669-90B5-4BC3-B5B6-B7A4556F4C71}"/>
    <cellStyle name="Note 2 4 6 2 4" xfId="33193" xr:uid="{EFD14167-AD95-421B-865D-7441A2C0E05D}"/>
    <cellStyle name="Note 2 4 6 3" xfId="20529" xr:uid="{7DDFA396-A89E-4CEA-90F0-83E5C8BFE65F}"/>
    <cellStyle name="Note 2 4 6 3 2" xfId="37423" xr:uid="{AFDC7702-FCE5-4F17-88B7-33AC6510F5D3}"/>
    <cellStyle name="Note 2 4 6 4" xfId="12082" xr:uid="{7184BF5A-F038-489D-943D-FE07259BD41A}"/>
    <cellStyle name="Note 2 4 6 5" xfId="28976" xr:uid="{C221CDDA-D75D-4678-B42E-73B367C71B07}"/>
    <cellStyle name="Note 2 4 7" xfId="2749" xr:uid="{00000000-0005-0000-0000-00002E210000}"/>
    <cellStyle name="Note 2 4 8" xfId="2830" xr:uid="{00000000-0005-0000-0000-00002F210000}"/>
    <cellStyle name="Note 2 4 8 2" xfId="7053" xr:uid="{00000000-0005-0000-0000-000030210000}"/>
    <cellStyle name="Note 2 4 8 2 2" xfId="24826" xr:uid="{F293FB29-6362-4880-8971-946FE686E613}"/>
    <cellStyle name="Note 2 4 8 2 2 2" xfId="41720" xr:uid="{7D634C42-AB0C-4B14-8C06-D462669286BB}"/>
    <cellStyle name="Note 2 4 8 2 3" xfId="16379" xr:uid="{1904C3CB-47A7-4A53-A5E7-EC6E0E49F2DC}"/>
    <cellStyle name="Note 2 4 8 2 4" xfId="33273" xr:uid="{0E6EA872-838D-4D95-841E-CB8F2B1CFE38}"/>
    <cellStyle name="Note 2 4 8 3" xfId="20609" xr:uid="{0360FA00-B7F4-4A91-B6A1-65DD04F86675}"/>
    <cellStyle name="Note 2 4 8 3 2" xfId="37503" xr:uid="{127E09C5-0B80-4B4B-8ECA-A48E241C6388}"/>
    <cellStyle name="Note 2 4 8 4" xfId="12162" xr:uid="{643C2377-4E80-4F4C-99F1-53481EFF9153}"/>
    <cellStyle name="Note 2 4 8 5" xfId="29056" xr:uid="{C8F931E6-07A8-4F86-960E-083904E46814}"/>
    <cellStyle name="Note 2 4 9" xfId="4908" xr:uid="{00000000-0005-0000-0000-000031210000}"/>
    <cellStyle name="Note 2 4 9 2" xfId="22681" xr:uid="{F5DAD3F1-16C3-4FF9-B58F-9E7639ABE7A5}"/>
    <cellStyle name="Note 2 4 9 2 2" xfId="39575" xr:uid="{59AD9426-7A0C-41CC-8491-69895C8BE3C4}"/>
    <cellStyle name="Note 2 4 9 3" xfId="14234" xr:uid="{FA9051EB-70DF-4A36-85DF-F82283E5F7A1}"/>
    <cellStyle name="Note 2 4 9 4" xfId="31128" xr:uid="{143AACF0-D60D-4F7D-91E1-C741D28E7A53}"/>
    <cellStyle name="Note 2 5" xfId="552" xr:uid="{00000000-0005-0000-0000-000032210000}"/>
    <cellStyle name="Note 2 5 10" xfId="9215" xr:uid="{69947D86-0683-476F-9E74-96CA08091560}"/>
    <cellStyle name="Note 2 5 10 2" xfId="18465" xr:uid="{FE8E3245-D20A-46FC-8452-74523E396C61}"/>
    <cellStyle name="Note 2 5 10 3" xfId="35359" xr:uid="{E3E9574D-36B5-4AA1-A299-F871CB48771C}"/>
    <cellStyle name="Note 2 5 11" xfId="10018" xr:uid="{8F3B85FD-0FC3-4239-ACDE-2F5FF58777E9}"/>
    <cellStyle name="Note 2 5 12" xfId="26912" xr:uid="{AA0A5D89-A248-47AB-B42E-32A28233079F}"/>
    <cellStyle name="Note 2 5 2" xfId="1013" xr:uid="{00000000-0005-0000-0000-000033210000}"/>
    <cellStyle name="Note 2 5 2 2" xfId="3245" xr:uid="{00000000-0005-0000-0000-000034210000}"/>
    <cellStyle name="Note 2 5 2 2 2" xfId="7467" xr:uid="{00000000-0005-0000-0000-000035210000}"/>
    <cellStyle name="Note 2 5 2 2 2 2" xfId="25240" xr:uid="{515BF54C-48BF-43D7-9BC4-F8AA919E7F75}"/>
    <cellStyle name="Note 2 5 2 2 2 2 2" xfId="42134" xr:uid="{B1861AEC-AC58-46AB-8CC1-5896C5607181}"/>
    <cellStyle name="Note 2 5 2 2 2 3" xfId="16793" xr:uid="{FD550786-29AD-49BE-B4A0-5EBE0ECFE0DC}"/>
    <cellStyle name="Note 2 5 2 2 2 4" xfId="33687" xr:uid="{A9E47FCE-DD38-45BE-ADF7-91681BA2DDA8}"/>
    <cellStyle name="Note 2 5 2 2 3" xfId="21023" xr:uid="{F1A8A49E-5200-4A09-98A2-2D61CAAF6AA6}"/>
    <cellStyle name="Note 2 5 2 2 3 2" xfId="37917" xr:uid="{4E5F9EC1-69B3-47BF-91D2-A4C4F2B6F40E}"/>
    <cellStyle name="Note 2 5 2 2 4" xfId="12576" xr:uid="{E853614E-9BEA-4216-BB22-A4BDFF8CE46D}"/>
    <cellStyle name="Note 2 5 2 2 5" xfId="29470" xr:uid="{FA0A7D29-B1F9-4A5D-B3D2-3A36A5010CF5}"/>
    <cellStyle name="Note 2 5 2 3" xfId="5322" xr:uid="{00000000-0005-0000-0000-000036210000}"/>
    <cellStyle name="Note 2 5 2 3 2" xfId="23095" xr:uid="{0B7FAA1E-8360-45C2-8620-41ACD6790043}"/>
    <cellStyle name="Note 2 5 2 3 2 2" xfId="39989" xr:uid="{50A9D14F-3B77-4D03-8137-FE96A90281BA}"/>
    <cellStyle name="Note 2 5 2 3 3" xfId="14648" xr:uid="{07E13784-3DE1-4A28-84AF-4CF085FE5547}"/>
    <cellStyle name="Note 2 5 2 3 4" xfId="31542" xr:uid="{17F87E8F-A17F-40AB-9F9E-AE8DD64E9305}"/>
    <cellStyle name="Note 2 5 2 4" xfId="9610" xr:uid="{26530D10-1DF8-4FA4-8FC9-4C945AA92A94}"/>
    <cellStyle name="Note 2 5 2 4 2" xfId="18878" xr:uid="{D76D48CE-3206-4A88-BE99-36C5F804F800}"/>
    <cellStyle name="Note 2 5 2 4 3" xfId="35772" xr:uid="{5C6F5714-8EA6-4FA7-9AFF-0AD6E062D912}"/>
    <cellStyle name="Note 2 5 2 5" xfId="10431" xr:uid="{C81D2A73-3F23-440F-854D-988664023FC9}"/>
    <cellStyle name="Note 2 5 2 6" xfId="27325" xr:uid="{A69A03A0-8EA0-4408-839F-ABA2A69C2115}"/>
    <cellStyle name="Note 2 5 3" xfId="1428" xr:uid="{00000000-0005-0000-0000-000037210000}"/>
    <cellStyle name="Note 2 5 3 2" xfId="3658" xr:uid="{00000000-0005-0000-0000-000038210000}"/>
    <cellStyle name="Note 2 5 3 2 2" xfId="7880" xr:uid="{00000000-0005-0000-0000-000039210000}"/>
    <cellStyle name="Note 2 5 3 2 2 2" xfId="25653" xr:uid="{B2112324-3748-4375-B708-10DEBC7E10A6}"/>
    <cellStyle name="Note 2 5 3 2 2 2 2" xfId="42547" xr:uid="{D3C43211-2119-4A44-867F-5AB8CB734AA1}"/>
    <cellStyle name="Note 2 5 3 2 2 3" xfId="17206" xr:uid="{FFFB3A6A-F05D-4764-A472-5C9AA95B66CC}"/>
    <cellStyle name="Note 2 5 3 2 2 4" xfId="34100" xr:uid="{FE19657F-86CE-47B4-B6B9-1AB100E44D0C}"/>
    <cellStyle name="Note 2 5 3 2 3" xfId="21436" xr:uid="{873B9115-5B63-4249-B845-1C02F50BCE3B}"/>
    <cellStyle name="Note 2 5 3 2 3 2" xfId="38330" xr:uid="{EF322B35-D218-4005-B9F6-2B9ABA3A2624}"/>
    <cellStyle name="Note 2 5 3 2 4" xfId="12989" xr:uid="{568F57BB-38B2-442F-A5B6-0ACC38445EE8}"/>
    <cellStyle name="Note 2 5 3 2 5" xfId="29883" xr:uid="{E9B88239-A9D6-4C45-A7B9-153841C00716}"/>
    <cellStyle name="Note 2 5 3 3" xfId="5735" xr:uid="{00000000-0005-0000-0000-00003A210000}"/>
    <cellStyle name="Note 2 5 3 3 2" xfId="23508" xr:uid="{FB2C4D97-2BFA-4FB5-8E1D-EF9A5559E325}"/>
    <cellStyle name="Note 2 5 3 3 2 2" xfId="40402" xr:uid="{D2D8A893-0420-49FB-A2A6-0F157071E33F}"/>
    <cellStyle name="Note 2 5 3 3 3" xfId="15061" xr:uid="{4A0C281A-5E48-4798-B986-3B9E3A68AF34}"/>
    <cellStyle name="Note 2 5 3 3 4" xfId="31955" xr:uid="{A70D06D8-68FB-4C97-A465-A93D805456A0}"/>
    <cellStyle name="Note 2 5 3 4" xfId="19291" xr:uid="{DACD15F2-44ED-48C7-A80A-ACBBCA8614C1}"/>
    <cellStyle name="Note 2 5 3 4 2" xfId="36185" xr:uid="{8D4E211C-10E8-4A65-A77E-F78BB63F90D2}"/>
    <cellStyle name="Note 2 5 3 5" xfId="10844" xr:uid="{1CC4D3F3-09DE-4F6A-A746-ED283B0C99F4}"/>
    <cellStyle name="Note 2 5 3 6" xfId="27738" xr:uid="{4975C6AA-13BF-46D7-9483-BB11828001EC}"/>
    <cellStyle name="Note 2 5 4" xfId="1842" xr:uid="{00000000-0005-0000-0000-00003B210000}"/>
    <cellStyle name="Note 2 5 4 2" xfId="4071" xr:uid="{00000000-0005-0000-0000-00003C210000}"/>
    <cellStyle name="Note 2 5 4 2 2" xfId="8293" xr:uid="{00000000-0005-0000-0000-00003D210000}"/>
    <cellStyle name="Note 2 5 4 2 2 2" xfId="26066" xr:uid="{A33CE29A-43C2-4822-80D8-7013760B5EDC}"/>
    <cellStyle name="Note 2 5 4 2 2 2 2" xfId="42960" xr:uid="{DC415B61-2482-46A1-90F3-F6A8D9479C52}"/>
    <cellStyle name="Note 2 5 4 2 2 3" xfId="17619" xr:uid="{A167E927-4826-401D-A368-ED81B8A621A2}"/>
    <cellStyle name="Note 2 5 4 2 2 4" xfId="34513" xr:uid="{0EE1BB58-692C-46D2-BD2E-BDDDC611A5A4}"/>
    <cellStyle name="Note 2 5 4 2 3" xfId="21849" xr:uid="{5AD63CDC-A1DA-4918-B78A-149F1D4ADE0B}"/>
    <cellStyle name="Note 2 5 4 2 3 2" xfId="38743" xr:uid="{98E46146-05BB-4F2C-8467-EB1F8A154F55}"/>
    <cellStyle name="Note 2 5 4 2 4" xfId="13402" xr:uid="{423671B1-7C12-4636-A783-CAFB5204C61D}"/>
    <cellStyle name="Note 2 5 4 2 5" xfId="30296" xr:uid="{56316543-B3E2-4186-9578-BCE5DD50B5BC}"/>
    <cellStyle name="Note 2 5 4 3" xfId="6148" xr:uid="{00000000-0005-0000-0000-00003E210000}"/>
    <cellStyle name="Note 2 5 4 3 2" xfId="23921" xr:uid="{24A6686D-C375-449B-9413-6A6A3EB4A971}"/>
    <cellStyle name="Note 2 5 4 3 2 2" xfId="40815" xr:uid="{4A53DA04-E0C9-4DA7-848B-C7B1FC6050E9}"/>
    <cellStyle name="Note 2 5 4 3 3" xfId="15474" xr:uid="{E09265ED-3657-41BD-ACBC-CE215AA02F87}"/>
    <cellStyle name="Note 2 5 4 3 4" xfId="32368" xr:uid="{060B662E-02E5-4463-A061-E4B11904ABEB}"/>
    <cellStyle name="Note 2 5 4 4" xfId="19704" xr:uid="{3F096CA7-3FF5-41F4-A805-78357C76D6EC}"/>
    <cellStyle name="Note 2 5 4 4 2" xfId="36598" xr:uid="{0C6EAF64-B906-4BCA-B1E1-90CD0B479417}"/>
    <cellStyle name="Note 2 5 4 5" xfId="11257" xr:uid="{C5420AAC-D66A-47F6-A35F-207450448AF1}"/>
    <cellStyle name="Note 2 5 4 6" xfId="28151" xr:uid="{096BBCF8-6D4F-4338-B3F2-F3F8CB1E6D6B}"/>
    <cellStyle name="Note 2 5 5" xfId="2255" xr:uid="{00000000-0005-0000-0000-00003F210000}"/>
    <cellStyle name="Note 2 5 5 2" xfId="4484" xr:uid="{00000000-0005-0000-0000-000040210000}"/>
    <cellStyle name="Note 2 5 5 2 2" xfId="8706" xr:uid="{00000000-0005-0000-0000-000041210000}"/>
    <cellStyle name="Note 2 5 5 2 2 2" xfId="26479" xr:uid="{AA928A31-4B3C-48E0-B565-A237B6E80EBF}"/>
    <cellStyle name="Note 2 5 5 2 2 2 2" xfId="43373" xr:uid="{C0107BAC-BAD2-4A2E-A120-1A1A6834AB61}"/>
    <cellStyle name="Note 2 5 5 2 2 3" xfId="18032" xr:uid="{0FB55B39-3A18-4A07-9846-67466D3B3EF1}"/>
    <cellStyle name="Note 2 5 5 2 2 4" xfId="34926" xr:uid="{1C57A908-D09C-4553-BB46-EBB14F60C469}"/>
    <cellStyle name="Note 2 5 5 2 3" xfId="22262" xr:uid="{4F4346BE-BCCF-4C6C-A94A-09FB4427EA78}"/>
    <cellStyle name="Note 2 5 5 2 3 2" xfId="39156" xr:uid="{46F0E1AF-5D6F-4757-9D54-86ED3591B8FC}"/>
    <cellStyle name="Note 2 5 5 2 4" xfId="13815" xr:uid="{B088A24A-C7EB-478F-976D-CD66DE2D52DB}"/>
    <cellStyle name="Note 2 5 5 2 5" xfId="30709" xr:uid="{EAF6703C-03E5-4A27-9BDB-7ECEC6D0AA28}"/>
    <cellStyle name="Note 2 5 5 3" xfId="6561" xr:uid="{00000000-0005-0000-0000-000042210000}"/>
    <cellStyle name="Note 2 5 5 3 2" xfId="24334" xr:uid="{2CCF4D0E-F379-4A86-83AE-40DBE698B66D}"/>
    <cellStyle name="Note 2 5 5 3 2 2" xfId="41228" xr:uid="{49045A80-BA4B-479E-8C71-0F41BB0FD3D9}"/>
    <cellStyle name="Note 2 5 5 3 3" xfId="15887" xr:uid="{CCF34870-C7E0-44FD-AD4F-7BE42DC3C58A}"/>
    <cellStyle name="Note 2 5 5 3 4" xfId="32781" xr:uid="{EC2961C3-3D8A-4306-B101-BC4A99EF1CE6}"/>
    <cellStyle name="Note 2 5 5 4" xfId="20117" xr:uid="{0F7B50D7-716D-43AD-86BA-2657014FCE74}"/>
    <cellStyle name="Note 2 5 5 4 2" xfId="37011" xr:uid="{EE252491-B88B-4B97-AD20-4B375D878A0C}"/>
    <cellStyle name="Note 2 5 5 5" xfId="11670" xr:uid="{2E7DAF14-43C8-4EBB-9041-86DA3F65109F}"/>
    <cellStyle name="Note 2 5 5 6" xfId="28564" xr:uid="{E2CFB1F0-C45F-4784-AA64-9F16CC58AB8C}"/>
    <cellStyle name="Note 2 5 6" xfId="2691" xr:uid="{00000000-0005-0000-0000-000043210000}"/>
    <cellStyle name="Note 2 5 6 2" xfId="6974" xr:uid="{00000000-0005-0000-0000-000044210000}"/>
    <cellStyle name="Note 2 5 6 2 2" xfId="24747" xr:uid="{5F9FA4F3-2FEB-4807-B7E5-F95C70447D04}"/>
    <cellStyle name="Note 2 5 6 2 2 2" xfId="41641" xr:uid="{884CFF25-1C1C-46AB-86A4-474BD3965FF6}"/>
    <cellStyle name="Note 2 5 6 2 3" xfId="16300" xr:uid="{A7547627-A9BC-4225-AB40-BD469C7DB436}"/>
    <cellStyle name="Note 2 5 6 2 4" xfId="33194" xr:uid="{E91E736F-62A1-44AC-84B4-DD9347D400C7}"/>
    <cellStyle name="Note 2 5 6 3" xfId="20530" xr:uid="{A64C5014-C13E-4D62-BAB7-2C26F9A2703F}"/>
    <cellStyle name="Note 2 5 6 3 2" xfId="37424" xr:uid="{E108EC86-DAF5-4170-8084-2A78860F761D}"/>
    <cellStyle name="Note 2 5 6 4" xfId="12083" xr:uid="{94325FEE-6788-4396-B201-B2756BCE0552}"/>
    <cellStyle name="Note 2 5 6 5" xfId="28977" xr:uid="{C8154146-C937-4249-9366-719039CA30AA}"/>
    <cellStyle name="Note 2 5 7" xfId="2750" xr:uid="{00000000-0005-0000-0000-000045210000}"/>
    <cellStyle name="Note 2 5 8" xfId="2831" xr:uid="{00000000-0005-0000-0000-000046210000}"/>
    <cellStyle name="Note 2 5 8 2" xfId="7054" xr:uid="{00000000-0005-0000-0000-000047210000}"/>
    <cellStyle name="Note 2 5 8 2 2" xfId="24827" xr:uid="{811060F0-E33E-4E2F-8CA0-6B8107358B25}"/>
    <cellStyle name="Note 2 5 8 2 2 2" xfId="41721" xr:uid="{CA9121B5-0215-4AB2-A550-9BA801813A99}"/>
    <cellStyle name="Note 2 5 8 2 3" xfId="16380" xr:uid="{5B17E447-9AC6-4E32-8703-C052C09CC259}"/>
    <cellStyle name="Note 2 5 8 2 4" xfId="33274" xr:uid="{91641AE2-4789-4992-AC0E-CDEDBBFB7701}"/>
    <cellStyle name="Note 2 5 8 3" xfId="20610" xr:uid="{4C8F1A7E-1D99-48F5-A9A2-9EA12291F534}"/>
    <cellStyle name="Note 2 5 8 3 2" xfId="37504" xr:uid="{85CF94CC-609C-46D4-B6FD-351673BEB841}"/>
    <cellStyle name="Note 2 5 8 4" xfId="12163" xr:uid="{38EB141A-2CF2-4ACD-B3AB-53C6B12AC942}"/>
    <cellStyle name="Note 2 5 8 5" xfId="29057" xr:uid="{ABACE5D6-3A33-45BB-A8CD-6213C9D77476}"/>
    <cellStyle name="Note 2 5 9" xfId="4909" xr:uid="{00000000-0005-0000-0000-000048210000}"/>
    <cellStyle name="Note 2 5 9 2" xfId="22682" xr:uid="{1D58D3B9-4578-48FB-9EAC-08FCE6893989}"/>
    <cellStyle name="Note 2 5 9 2 2" xfId="39576" xr:uid="{0220CEDC-6FF6-49B5-BC88-313FDF6FB8E4}"/>
    <cellStyle name="Note 2 5 9 3" xfId="14235" xr:uid="{3E348640-3D94-442A-8AFB-443235447B0A}"/>
    <cellStyle name="Note 2 5 9 4" xfId="31129" xr:uid="{3279AB50-D514-4D17-906A-F9E7FDE3B756}"/>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0 2 2" xfId="24828" xr:uid="{BD4B693C-7F7B-46A7-9A65-C6DAE856C2A3}"/>
    <cellStyle name="Note 3 2 10 2 2 2" xfId="41722" xr:uid="{55BFFEB8-74C3-40CA-A2EF-E85F718C80A0}"/>
    <cellStyle name="Note 3 2 10 2 3" xfId="16381" xr:uid="{BF1FC9D6-7B7A-49C2-A217-068E9CE872E6}"/>
    <cellStyle name="Note 3 2 10 2 4" xfId="33275" xr:uid="{BFA3E761-1CBB-4730-9BD1-7A8CCA16EB9C}"/>
    <cellStyle name="Note 3 2 10 3" xfId="20611" xr:uid="{7DFF1C3B-68AA-476F-834B-481ECAE0E352}"/>
    <cellStyle name="Note 3 2 10 3 2" xfId="37505" xr:uid="{C7CCDCC4-F647-4235-B012-317C407C526A}"/>
    <cellStyle name="Note 3 2 10 4" xfId="12164" xr:uid="{D9E524CE-43C9-413F-A168-3DF001FA22CC}"/>
    <cellStyle name="Note 3 2 10 5" xfId="29058" xr:uid="{74571EC3-45F6-4DB6-9A9B-420E33A698D5}"/>
    <cellStyle name="Note 3 2 11" xfId="4910" xr:uid="{00000000-0005-0000-0000-00004D210000}"/>
    <cellStyle name="Note 3 2 11 2" xfId="22683" xr:uid="{8E69C0B1-940E-431B-9DD4-9AB8953CEF62}"/>
    <cellStyle name="Note 3 2 11 2 2" xfId="39577" xr:uid="{2BDC7691-73E0-4523-989B-CA31F00201CD}"/>
    <cellStyle name="Note 3 2 11 3" xfId="14236" xr:uid="{AC7F7C0D-A9AD-4D87-A483-088DE926A040}"/>
    <cellStyle name="Note 3 2 11 4" xfId="31130" xr:uid="{5B961AB7-485E-458C-9465-AA79FE14E928}"/>
    <cellStyle name="Note 3 2 12" xfId="8842" xr:uid="{646587AC-B7A9-43E2-AC1E-1B77745805D8}"/>
    <cellStyle name="Note 3 2 12 2" xfId="18466" xr:uid="{38A69465-0574-4CA0-9164-A5705C0F54A0}"/>
    <cellStyle name="Note 3 2 12 3" xfId="35360" xr:uid="{89A836DA-9D45-4F7A-810F-044DC929B955}"/>
    <cellStyle name="Note 3 2 13" xfId="10019" xr:uid="{801E230C-DD1C-4739-AE7A-59467DEEA805}"/>
    <cellStyle name="Note 3 2 14" xfId="26913" xr:uid="{1D3EC1FD-6B6B-4ED2-8A63-1C57A9312627}"/>
    <cellStyle name="Note 3 2 2" xfId="555" xr:uid="{00000000-0005-0000-0000-00004E210000}"/>
    <cellStyle name="Note 3 2 2 10" xfId="4911" xr:uid="{00000000-0005-0000-0000-00004F210000}"/>
    <cellStyle name="Note 3 2 2 10 2" xfId="22684" xr:uid="{C7425E9D-D31C-4240-8FE1-82089DFC164C}"/>
    <cellStyle name="Note 3 2 2 10 2 2" xfId="39578" xr:uid="{CA9FF999-ED59-478D-AEDB-09B6C4541894}"/>
    <cellStyle name="Note 3 2 2 10 3" xfId="14237" xr:uid="{23F40D84-0C29-40E3-BAB5-BDACE4F49903}"/>
    <cellStyle name="Note 3 2 2 10 4" xfId="31131" xr:uid="{1394B945-4FFE-41AC-B2A0-A040ED89DB5D}"/>
    <cellStyle name="Note 3 2 2 11" xfId="8945" xr:uid="{D320AF38-4F47-4266-9CB9-3BD7E15BFDAE}"/>
    <cellStyle name="Note 3 2 2 11 2" xfId="18467" xr:uid="{B73B6357-1CBB-425D-80CE-05BB94E815A9}"/>
    <cellStyle name="Note 3 2 2 11 3" xfId="35361" xr:uid="{8C9320CC-BA55-4E32-98E5-5CC5E3C5DEA5}"/>
    <cellStyle name="Note 3 2 2 12" xfId="10020" xr:uid="{7E0A279A-2E9A-478F-ADAA-81227D3E7976}"/>
    <cellStyle name="Note 3 2 2 13" xfId="26914" xr:uid="{B16D3B2E-AA36-4A08-9CDF-A3747A579DE3}"/>
    <cellStyle name="Note 3 2 2 2" xfId="556" xr:uid="{00000000-0005-0000-0000-000050210000}"/>
    <cellStyle name="Note 3 2 2 2 10" xfId="9152" xr:uid="{24874F5B-4700-44ED-9556-84C4E89A274D}"/>
    <cellStyle name="Note 3 2 2 2 10 2" xfId="18468" xr:uid="{0B2F74A2-8044-47A9-93DC-C385C2EEE32D}"/>
    <cellStyle name="Note 3 2 2 2 10 3" xfId="35362" xr:uid="{98A29BCC-1547-43B9-9692-52CFFDA87518}"/>
    <cellStyle name="Note 3 2 2 2 11" xfId="10021" xr:uid="{26862149-B1D9-4235-846B-26BB483076C2}"/>
    <cellStyle name="Note 3 2 2 2 12" xfId="26915" xr:uid="{F4B89678-40A6-4F06-A73F-85C912282BDD}"/>
    <cellStyle name="Note 3 2 2 2 2" xfId="1016" xr:uid="{00000000-0005-0000-0000-000051210000}"/>
    <cellStyle name="Note 3 2 2 2 2 2" xfId="3248" xr:uid="{00000000-0005-0000-0000-000052210000}"/>
    <cellStyle name="Note 3 2 2 2 2 2 2" xfId="7470" xr:uid="{00000000-0005-0000-0000-000053210000}"/>
    <cellStyle name="Note 3 2 2 2 2 2 2 2" xfId="25243" xr:uid="{BF7D6215-8417-44DE-8306-44AD974C051B}"/>
    <cellStyle name="Note 3 2 2 2 2 2 2 2 2" xfId="42137" xr:uid="{68E38E16-3E97-4CAE-8CEF-48C67CE1016F}"/>
    <cellStyle name="Note 3 2 2 2 2 2 2 3" xfId="16796" xr:uid="{2106DAB8-5FC1-4F18-AF13-1A72B19D3172}"/>
    <cellStyle name="Note 3 2 2 2 2 2 2 4" xfId="33690" xr:uid="{C7F68DF2-78A7-4CA8-9380-DC48801648E3}"/>
    <cellStyle name="Note 3 2 2 2 2 2 3" xfId="21026" xr:uid="{E168E51C-E2B1-4E22-9C62-0AB9B671C248}"/>
    <cellStyle name="Note 3 2 2 2 2 2 3 2" xfId="37920" xr:uid="{96D7EB7B-B00B-4F45-B5EB-267ED84549CA}"/>
    <cellStyle name="Note 3 2 2 2 2 2 4" xfId="12579" xr:uid="{CA1E0A6B-CB4D-405E-B786-3445372B91EF}"/>
    <cellStyle name="Note 3 2 2 2 2 2 5" xfId="29473" xr:uid="{34110FFB-2E05-4347-908E-4457C3AF6455}"/>
    <cellStyle name="Note 3 2 2 2 2 3" xfId="5325" xr:uid="{00000000-0005-0000-0000-000054210000}"/>
    <cellStyle name="Note 3 2 2 2 2 3 2" xfId="23098" xr:uid="{01D31316-CA0A-481F-A214-9147C5A1C88A}"/>
    <cellStyle name="Note 3 2 2 2 2 3 2 2" xfId="39992" xr:uid="{1D7A1D3B-A6D4-4158-9D36-74F49B00766D}"/>
    <cellStyle name="Note 3 2 2 2 2 3 3" xfId="14651" xr:uid="{8D5D0E8B-D9EB-4B71-8EA2-D881BD3A0DDA}"/>
    <cellStyle name="Note 3 2 2 2 2 3 4" xfId="31545" xr:uid="{A43C9CE9-2F84-4E59-8B89-5506FBF70275}"/>
    <cellStyle name="Note 3 2 2 2 2 4" xfId="9577" xr:uid="{7C0C89D7-CA14-4942-89B2-D584AC810EDC}"/>
    <cellStyle name="Note 3 2 2 2 2 4 2" xfId="18881" xr:uid="{A7F04847-BE7B-4189-8D44-662832AB4C80}"/>
    <cellStyle name="Note 3 2 2 2 2 4 3" xfId="35775" xr:uid="{C422E615-F9C2-4051-B0CA-62459333A2F7}"/>
    <cellStyle name="Note 3 2 2 2 2 5" xfId="10434" xr:uid="{317E3C4A-C75D-4E39-9FC4-650A56C2EA44}"/>
    <cellStyle name="Note 3 2 2 2 2 6" xfId="27328" xr:uid="{684F9FF7-4819-4D07-B3C2-FE0CC380D08F}"/>
    <cellStyle name="Note 3 2 2 2 3" xfId="1431" xr:uid="{00000000-0005-0000-0000-000055210000}"/>
    <cellStyle name="Note 3 2 2 2 3 2" xfId="3661" xr:uid="{00000000-0005-0000-0000-000056210000}"/>
    <cellStyle name="Note 3 2 2 2 3 2 2" xfId="7883" xr:uid="{00000000-0005-0000-0000-000057210000}"/>
    <cellStyle name="Note 3 2 2 2 3 2 2 2" xfId="25656" xr:uid="{909DF088-14DD-4622-90A2-4E665E809443}"/>
    <cellStyle name="Note 3 2 2 2 3 2 2 2 2" xfId="42550" xr:uid="{D0A5CB03-0899-43F2-AF38-1ACF21BC45FB}"/>
    <cellStyle name="Note 3 2 2 2 3 2 2 3" xfId="17209" xr:uid="{BD6DFB73-4D06-4DC3-BCF5-606E97FFA1E6}"/>
    <cellStyle name="Note 3 2 2 2 3 2 2 4" xfId="34103" xr:uid="{BDD5D153-08B8-44E0-AF56-E75EBB113C11}"/>
    <cellStyle name="Note 3 2 2 2 3 2 3" xfId="21439" xr:uid="{23A8CDF6-634E-4FED-B19D-0FF16AC2F9FF}"/>
    <cellStyle name="Note 3 2 2 2 3 2 3 2" xfId="38333" xr:uid="{FAA327B9-7F47-46F7-837D-7E44EC6CAD95}"/>
    <cellStyle name="Note 3 2 2 2 3 2 4" xfId="12992" xr:uid="{0A93733B-2CFC-48F0-825E-6759B35D0334}"/>
    <cellStyle name="Note 3 2 2 2 3 2 5" xfId="29886" xr:uid="{AC89D557-006C-4F48-8067-FF13DC1F6334}"/>
    <cellStyle name="Note 3 2 2 2 3 3" xfId="5738" xr:uid="{00000000-0005-0000-0000-000058210000}"/>
    <cellStyle name="Note 3 2 2 2 3 3 2" xfId="23511" xr:uid="{7AD94395-2F69-43B3-9C6A-51D4EB142469}"/>
    <cellStyle name="Note 3 2 2 2 3 3 2 2" xfId="40405" xr:uid="{2951E8D1-0913-47B6-819C-511F7924AB7E}"/>
    <cellStyle name="Note 3 2 2 2 3 3 3" xfId="15064" xr:uid="{B0F81AAB-09CC-458F-88E2-44B9DE8DBF70}"/>
    <cellStyle name="Note 3 2 2 2 3 3 4" xfId="31958" xr:uid="{0C7AB3BF-5D84-4AA4-A9C4-BA6C8630C19B}"/>
    <cellStyle name="Note 3 2 2 2 3 4" xfId="19294" xr:uid="{36DC987C-B8F0-48FB-AA05-46F3B91F0863}"/>
    <cellStyle name="Note 3 2 2 2 3 4 2" xfId="36188" xr:uid="{79F460A9-C8D7-4919-BB99-41E18E469265}"/>
    <cellStyle name="Note 3 2 2 2 3 5" xfId="10847" xr:uid="{1C1F1FD2-7B27-4A48-8990-37769340AAB3}"/>
    <cellStyle name="Note 3 2 2 2 3 6" xfId="27741" xr:uid="{082DD1EA-BC1C-4211-BAB9-81733984D903}"/>
    <cellStyle name="Note 3 2 2 2 4" xfId="1845" xr:uid="{00000000-0005-0000-0000-000059210000}"/>
    <cellStyle name="Note 3 2 2 2 4 2" xfId="4074" xr:uid="{00000000-0005-0000-0000-00005A210000}"/>
    <cellStyle name="Note 3 2 2 2 4 2 2" xfId="8296" xr:uid="{00000000-0005-0000-0000-00005B210000}"/>
    <cellStyle name="Note 3 2 2 2 4 2 2 2" xfId="26069" xr:uid="{F0299C3E-DC03-4086-AE54-C15D0E65E42B}"/>
    <cellStyle name="Note 3 2 2 2 4 2 2 2 2" xfId="42963" xr:uid="{47E1F2B9-E07C-4237-82DF-648B0E14088B}"/>
    <cellStyle name="Note 3 2 2 2 4 2 2 3" xfId="17622" xr:uid="{2E18BA8A-BAC5-4FDC-A182-8DD7C4636A84}"/>
    <cellStyle name="Note 3 2 2 2 4 2 2 4" xfId="34516" xr:uid="{EEA2AD3E-F98D-4955-9881-580734A40B64}"/>
    <cellStyle name="Note 3 2 2 2 4 2 3" xfId="21852" xr:uid="{072C23C1-38B3-40FB-8E17-5DA015AFE33D}"/>
    <cellStyle name="Note 3 2 2 2 4 2 3 2" xfId="38746" xr:uid="{AC150E40-F5F7-4078-BC08-4D9BE9519818}"/>
    <cellStyle name="Note 3 2 2 2 4 2 4" xfId="13405" xr:uid="{0F91989D-EABE-4FC6-A68E-D873E890E728}"/>
    <cellStyle name="Note 3 2 2 2 4 2 5" xfId="30299" xr:uid="{992F211F-F747-4A25-BFA4-2C18F07A4030}"/>
    <cellStyle name="Note 3 2 2 2 4 3" xfId="6151" xr:uid="{00000000-0005-0000-0000-00005C210000}"/>
    <cellStyle name="Note 3 2 2 2 4 3 2" xfId="23924" xr:uid="{38290946-1297-4661-8719-1C5EBC9D0DC4}"/>
    <cellStyle name="Note 3 2 2 2 4 3 2 2" xfId="40818" xr:uid="{437CBADF-2FEA-45C5-8468-867242DD8251}"/>
    <cellStyle name="Note 3 2 2 2 4 3 3" xfId="15477" xr:uid="{BA906BBA-10A5-459F-864E-C34EBF0C1793}"/>
    <cellStyle name="Note 3 2 2 2 4 3 4" xfId="32371" xr:uid="{41DE6A0A-C3A0-4ECB-8DDD-8E350A2BE00F}"/>
    <cellStyle name="Note 3 2 2 2 4 4" xfId="19707" xr:uid="{581D33A9-A2E4-4A64-8666-968601EAD66F}"/>
    <cellStyle name="Note 3 2 2 2 4 4 2" xfId="36601" xr:uid="{A4D6E75A-ADF4-4C9D-8308-F26A004A52A5}"/>
    <cellStyle name="Note 3 2 2 2 4 5" xfId="11260" xr:uid="{24D60F00-7EE6-472E-9426-ABB22B72B5BE}"/>
    <cellStyle name="Note 3 2 2 2 4 6" xfId="28154" xr:uid="{5BD416BD-139A-4FE9-94C8-0ACC0524D9A1}"/>
    <cellStyle name="Note 3 2 2 2 5" xfId="2258" xr:uid="{00000000-0005-0000-0000-00005D210000}"/>
    <cellStyle name="Note 3 2 2 2 5 2" xfId="4487" xr:uid="{00000000-0005-0000-0000-00005E210000}"/>
    <cellStyle name="Note 3 2 2 2 5 2 2" xfId="8709" xr:uid="{00000000-0005-0000-0000-00005F210000}"/>
    <cellStyle name="Note 3 2 2 2 5 2 2 2" xfId="26482" xr:uid="{88A29E82-36F4-4875-B830-590FF1901139}"/>
    <cellStyle name="Note 3 2 2 2 5 2 2 2 2" xfId="43376" xr:uid="{41AA85B8-3018-48B8-BCF8-EDA33B4FA726}"/>
    <cellStyle name="Note 3 2 2 2 5 2 2 3" xfId="18035" xr:uid="{937E7B19-DFBA-42A5-8F16-66221B4B0300}"/>
    <cellStyle name="Note 3 2 2 2 5 2 2 4" xfId="34929" xr:uid="{0B42C588-6468-4074-A4E1-23D35EE9AD7A}"/>
    <cellStyle name="Note 3 2 2 2 5 2 3" xfId="22265" xr:uid="{C0F36E28-90E4-449B-819F-A211C3237E30}"/>
    <cellStyle name="Note 3 2 2 2 5 2 3 2" xfId="39159" xr:uid="{BDBB35A6-7B71-4A6E-91DF-2EFE98F7122D}"/>
    <cellStyle name="Note 3 2 2 2 5 2 4" xfId="13818" xr:uid="{122E25D0-0215-4A44-AF2F-ABE6D51EF0CC}"/>
    <cellStyle name="Note 3 2 2 2 5 2 5" xfId="30712" xr:uid="{8C6AAC21-C098-4D52-BA97-974BF86DD7B1}"/>
    <cellStyle name="Note 3 2 2 2 5 3" xfId="6564" xr:uid="{00000000-0005-0000-0000-000060210000}"/>
    <cellStyle name="Note 3 2 2 2 5 3 2" xfId="24337" xr:uid="{C7322187-A4F6-452F-8EFB-AF7CC9915D81}"/>
    <cellStyle name="Note 3 2 2 2 5 3 2 2" xfId="41231" xr:uid="{5F897089-C5EA-4AE2-960F-65A7655E56B5}"/>
    <cellStyle name="Note 3 2 2 2 5 3 3" xfId="15890" xr:uid="{AD6CE787-0DA7-4B85-9BF3-0EFC427E2EAC}"/>
    <cellStyle name="Note 3 2 2 2 5 3 4" xfId="32784" xr:uid="{D7F1339F-1203-4768-8A98-A895ACDCD708}"/>
    <cellStyle name="Note 3 2 2 2 5 4" xfId="20120" xr:uid="{DE658F90-40B7-4F09-A0EE-67221331156B}"/>
    <cellStyle name="Note 3 2 2 2 5 4 2" xfId="37014" xr:uid="{E3E15E1E-9C29-432E-90E2-5E495DD5C70A}"/>
    <cellStyle name="Note 3 2 2 2 5 5" xfId="11673" xr:uid="{B5FD3BA9-FB6C-4948-A15C-1D90854D7384}"/>
    <cellStyle name="Note 3 2 2 2 5 6" xfId="28567" xr:uid="{6CED7C3F-C68B-4713-85CB-A3F01A90E2C7}"/>
    <cellStyle name="Note 3 2 2 2 6" xfId="2694" xr:uid="{00000000-0005-0000-0000-000061210000}"/>
    <cellStyle name="Note 3 2 2 2 6 2" xfId="6977" xr:uid="{00000000-0005-0000-0000-000062210000}"/>
    <cellStyle name="Note 3 2 2 2 6 2 2" xfId="24750" xr:uid="{A5BDAD4B-BAE0-4F58-BBFB-AC495E66048C}"/>
    <cellStyle name="Note 3 2 2 2 6 2 2 2" xfId="41644" xr:uid="{19872624-433B-492C-99C0-2F8FEA7E70F3}"/>
    <cellStyle name="Note 3 2 2 2 6 2 3" xfId="16303" xr:uid="{C2B5E251-017B-418D-BA4D-811B8B97F63A}"/>
    <cellStyle name="Note 3 2 2 2 6 2 4" xfId="33197" xr:uid="{CCA053AC-A912-4F7C-A004-7C4A81106B67}"/>
    <cellStyle name="Note 3 2 2 2 6 3" xfId="20533" xr:uid="{0C0171CD-3236-4F44-8D98-5AB1CE928CF1}"/>
    <cellStyle name="Note 3 2 2 2 6 3 2" xfId="37427" xr:uid="{B8FBCD02-3B5F-4BF5-A5A6-27EB990F0186}"/>
    <cellStyle name="Note 3 2 2 2 6 4" xfId="12086" xr:uid="{7807942B-D410-4E8E-AA22-241E63C626A6}"/>
    <cellStyle name="Note 3 2 2 2 6 5" xfId="28980" xr:uid="{4B514A1A-E127-422D-A242-54D04168BDA8}"/>
    <cellStyle name="Note 3 2 2 2 7" xfId="2753" xr:uid="{00000000-0005-0000-0000-000063210000}"/>
    <cellStyle name="Note 3 2 2 2 8" xfId="2834" xr:uid="{00000000-0005-0000-0000-000064210000}"/>
    <cellStyle name="Note 3 2 2 2 8 2" xfId="7057" xr:uid="{00000000-0005-0000-0000-000065210000}"/>
    <cellStyle name="Note 3 2 2 2 8 2 2" xfId="24830" xr:uid="{094DBBE2-C071-4423-A3EC-A92E029F8B3F}"/>
    <cellStyle name="Note 3 2 2 2 8 2 2 2" xfId="41724" xr:uid="{A74053ED-BEE1-431D-8E44-25C8DD38BFEB}"/>
    <cellStyle name="Note 3 2 2 2 8 2 3" xfId="16383" xr:uid="{6AF624A8-2902-4649-A3B5-4F7E30929168}"/>
    <cellStyle name="Note 3 2 2 2 8 2 4" xfId="33277" xr:uid="{A40996E4-D08F-40FF-82D3-5358BF01FC4C}"/>
    <cellStyle name="Note 3 2 2 2 8 3" xfId="20613" xr:uid="{C22B8D17-AF8C-424D-8153-F00CE44239D8}"/>
    <cellStyle name="Note 3 2 2 2 8 3 2" xfId="37507" xr:uid="{8394AB19-B114-46CF-AE04-AE70C7FB124D}"/>
    <cellStyle name="Note 3 2 2 2 8 4" xfId="12166" xr:uid="{4D08E39F-3F59-498B-9CEB-741ADED8D022}"/>
    <cellStyle name="Note 3 2 2 2 8 5" xfId="29060" xr:uid="{5E05E9A1-D22E-428E-9212-4A4C4F9A8EEC}"/>
    <cellStyle name="Note 3 2 2 2 9" xfId="4912" xr:uid="{00000000-0005-0000-0000-000066210000}"/>
    <cellStyle name="Note 3 2 2 2 9 2" xfId="22685" xr:uid="{356226BE-FC8F-41BC-BADE-7C73DB2FC113}"/>
    <cellStyle name="Note 3 2 2 2 9 2 2" xfId="39579" xr:uid="{4EA26933-9E5E-453E-BA67-9AFE963A8359}"/>
    <cellStyle name="Note 3 2 2 2 9 3" xfId="14238" xr:uid="{5C5A9681-7898-4D4B-A9D1-45D484A6443E}"/>
    <cellStyle name="Note 3 2 2 2 9 4" xfId="31132" xr:uid="{9422E5D1-D301-4C56-86E6-55FFF1581EE5}"/>
    <cellStyle name="Note 3 2 2 3" xfId="1015" xr:uid="{00000000-0005-0000-0000-000067210000}"/>
    <cellStyle name="Note 3 2 2 3 2" xfId="3247" xr:uid="{00000000-0005-0000-0000-000068210000}"/>
    <cellStyle name="Note 3 2 2 3 2 2" xfId="7469" xr:uid="{00000000-0005-0000-0000-000069210000}"/>
    <cellStyle name="Note 3 2 2 3 2 2 2" xfId="25242" xr:uid="{7CA4645E-3526-4676-A7F4-A59613F5C407}"/>
    <cellStyle name="Note 3 2 2 3 2 2 2 2" xfId="42136" xr:uid="{DD168DE7-B3FD-4559-B378-A59DFF574237}"/>
    <cellStyle name="Note 3 2 2 3 2 2 3" xfId="16795" xr:uid="{867B5212-36FC-480F-BB17-E17377FD25BF}"/>
    <cellStyle name="Note 3 2 2 3 2 2 4" xfId="33689" xr:uid="{7388E0A8-EFC9-4CEB-ABD4-19ACB8F7B260}"/>
    <cellStyle name="Note 3 2 2 3 2 3" xfId="21025" xr:uid="{4AA9C63B-CE93-4261-B770-63F3029AC33D}"/>
    <cellStyle name="Note 3 2 2 3 2 3 2" xfId="37919" xr:uid="{294140EF-C798-402B-8330-8B5B44D978AD}"/>
    <cellStyle name="Note 3 2 2 3 2 4" xfId="12578" xr:uid="{7650441D-77DC-4B7F-91EF-639183256BDB}"/>
    <cellStyle name="Note 3 2 2 3 2 5" xfId="29472" xr:uid="{00343157-8BF1-46E6-9517-F6DB22C0AE69}"/>
    <cellStyle name="Note 3 2 2 3 3" xfId="5324" xr:uid="{00000000-0005-0000-0000-00006A210000}"/>
    <cellStyle name="Note 3 2 2 3 3 2" xfId="23097" xr:uid="{AC8F1486-F72E-49FF-99CA-288F064DCECA}"/>
    <cellStyle name="Note 3 2 2 3 3 2 2" xfId="39991" xr:uid="{0E6844CA-5222-4783-ABCA-FC27C4B928A2}"/>
    <cellStyle name="Note 3 2 2 3 3 3" xfId="14650" xr:uid="{D2660B73-7DA6-4A1B-B7CE-E06881B51A51}"/>
    <cellStyle name="Note 3 2 2 3 3 4" xfId="31544" xr:uid="{3D06EDE3-B332-4D1C-98FA-1C59D82082DF}"/>
    <cellStyle name="Note 3 2 2 3 4" xfId="9370" xr:uid="{7A803908-679B-4EF0-9BD4-89724B1FB321}"/>
    <cellStyle name="Note 3 2 2 3 4 2" xfId="18880" xr:uid="{AAECF542-1354-47FA-B601-2AD04F451380}"/>
    <cellStyle name="Note 3 2 2 3 4 3" xfId="35774" xr:uid="{78760D00-0414-4BEC-987E-CB9DA1937577}"/>
    <cellStyle name="Note 3 2 2 3 5" xfId="10433" xr:uid="{2AD38465-7160-4E64-938F-B6E0C8D58202}"/>
    <cellStyle name="Note 3 2 2 3 6" xfId="27327" xr:uid="{2B236F82-DC9B-438C-9E6A-0D64E700C3BC}"/>
    <cellStyle name="Note 3 2 2 4" xfId="1430" xr:uid="{00000000-0005-0000-0000-00006B210000}"/>
    <cellStyle name="Note 3 2 2 4 2" xfId="3660" xr:uid="{00000000-0005-0000-0000-00006C210000}"/>
    <cellStyle name="Note 3 2 2 4 2 2" xfId="7882" xr:uid="{00000000-0005-0000-0000-00006D210000}"/>
    <cellStyle name="Note 3 2 2 4 2 2 2" xfId="25655" xr:uid="{3D3AD2A5-FCED-4AAC-BB12-EB901FA5590D}"/>
    <cellStyle name="Note 3 2 2 4 2 2 2 2" xfId="42549" xr:uid="{A42F6F5C-D7E5-4238-9D5F-748295D8D3FE}"/>
    <cellStyle name="Note 3 2 2 4 2 2 3" xfId="17208" xr:uid="{876AF224-860C-49CA-997E-E21CEA67DFF3}"/>
    <cellStyle name="Note 3 2 2 4 2 2 4" xfId="34102" xr:uid="{DF321B1E-9657-4ED9-91E8-C3AA781788C1}"/>
    <cellStyle name="Note 3 2 2 4 2 3" xfId="21438" xr:uid="{AD86EF17-0BEC-4E92-9D56-E14FD41681C2}"/>
    <cellStyle name="Note 3 2 2 4 2 3 2" xfId="38332" xr:uid="{69B69C0E-70E6-4637-8CCE-EE52E308CA26}"/>
    <cellStyle name="Note 3 2 2 4 2 4" xfId="12991" xr:uid="{1B42876B-13F3-4669-8E5D-2F8C46B46549}"/>
    <cellStyle name="Note 3 2 2 4 2 5" xfId="29885" xr:uid="{BC52A3FF-610E-4073-98B1-0F5401249B06}"/>
    <cellStyle name="Note 3 2 2 4 3" xfId="5737" xr:uid="{00000000-0005-0000-0000-00006E210000}"/>
    <cellStyle name="Note 3 2 2 4 3 2" xfId="23510" xr:uid="{75F76A0F-7F94-448D-91EC-0A1786F74F9A}"/>
    <cellStyle name="Note 3 2 2 4 3 2 2" xfId="40404" xr:uid="{2111ED59-321F-4931-9696-BD8E47610499}"/>
    <cellStyle name="Note 3 2 2 4 3 3" xfId="15063" xr:uid="{6700A46D-B6D6-4366-9ACB-B7178DAA6070}"/>
    <cellStyle name="Note 3 2 2 4 3 4" xfId="31957" xr:uid="{279FB810-D264-4B6C-A518-FBE3CE061658}"/>
    <cellStyle name="Note 3 2 2 4 4" xfId="19293" xr:uid="{6719B6D7-9F86-4BD6-A5EE-0CC344F83981}"/>
    <cellStyle name="Note 3 2 2 4 4 2" xfId="36187" xr:uid="{8368D55F-3893-4B74-B8A6-B158F053B4A3}"/>
    <cellStyle name="Note 3 2 2 4 5" xfId="10846" xr:uid="{C26D911E-5D6C-45E2-9AD7-A4D51DED4C8A}"/>
    <cellStyle name="Note 3 2 2 4 6" xfId="27740" xr:uid="{A2BD93E8-D1DE-4E43-ACA8-7E8F86E53946}"/>
    <cellStyle name="Note 3 2 2 5" xfId="1844" xr:uid="{00000000-0005-0000-0000-00006F210000}"/>
    <cellStyle name="Note 3 2 2 5 2" xfId="4073" xr:uid="{00000000-0005-0000-0000-000070210000}"/>
    <cellStyle name="Note 3 2 2 5 2 2" xfId="8295" xr:uid="{00000000-0005-0000-0000-000071210000}"/>
    <cellStyle name="Note 3 2 2 5 2 2 2" xfId="26068" xr:uid="{57AE1232-DBB3-4EFC-9A1E-9D36EC60504B}"/>
    <cellStyle name="Note 3 2 2 5 2 2 2 2" xfId="42962" xr:uid="{BDD03A98-2EAC-4C56-AF47-CE75146F3504}"/>
    <cellStyle name="Note 3 2 2 5 2 2 3" xfId="17621" xr:uid="{8FD545FE-CC65-4C38-A8D5-26BE2EC111B5}"/>
    <cellStyle name="Note 3 2 2 5 2 2 4" xfId="34515" xr:uid="{86FEB980-FADC-40BA-A74A-7C582EFFACAA}"/>
    <cellStyle name="Note 3 2 2 5 2 3" xfId="21851" xr:uid="{2AE4776C-3312-46C2-8E61-F6A94E06E130}"/>
    <cellStyle name="Note 3 2 2 5 2 3 2" xfId="38745" xr:uid="{827C59D0-E694-4849-ADE3-D5EAC87AFB8C}"/>
    <cellStyle name="Note 3 2 2 5 2 4" xfId="13404" xr:uid="{3EF6D5DA-B1C4-4351-B813-CCC4BE41E67A}"/>
    <cellStyle name="Note 3 2 2 5 2 5" xfId="30298" xr:uid="{39B2D4E8-88C4-46EE-ACAA-79588D373815}"/>
    <cellStyle name="Note 3 2 2 5 3" xfId="6150" xr:uid="{00000000-0005-0000-0000-000072210000}"/>
    <cellStyle name="Note 3 2 2 5 3 2" xfId="23923" xr:uid="{3E02DFE3-81FF-4605-9226-8C51F7DFE52B}"/>
    <cellStyle name="Note 3 2 2 5 3 2 2" xfId="40817" xr:uid="{8EC7FA61-5C28-4650-B55F-0D5A5A019E34}"/>
    <cellStyle name="Note 3 2 2 5 3 3" xfId="15476" xr:uid="{E5C0BD42-E08C-40EC-91B2-7DDF12E0486D}"/>
    <cellStyle name="Note 3 2 2 5 3 4" xfId="32370" xr:uid="{EF34C14F-909C-451F-B8FC-BA577CE8FC00}"/>
    <cellStyle name="Note 3 2 2 5 4" xfId="19706" xr:uid="{6170D5A3-D53E-46B4-9C2F-AEA042DD2363}"/>
    <cellStyle name="Note 3 2 2 5 4 2" xfId="36600" xr:uid="{260A95CE-278B-4E81-A17C-6959B855A0E7}"/>
    <cellStyle name="Note 3 2 2 5 5" xfId="11259" xr:uid="{C3D45AE0-FD66-41DD-8D96-1179B3A9F7A3}"/>
    <cellStyle name="Note 3 2 2 5 6" xfId="28153" xr:uid="{E2F31356-66E6-4200-8985-4BE55590454F}"/>
    <cellStyle name="Note 3 2 2 6" xfId="2257" xr:uid="{00000000-0005-0000-0000-000073210000}"/>
    <cellStyle name="Note 3 2 2 6 2" xfId="4486" xr:uid="{00000000-0005-0000-0000-000074210000}"/>
    <cellStyle name="Note 3 2 2 6 2 2" xfId="8708" xr:uid="{00000000-0005-0000-0000-000075210000}"/>
    <cellStyle name="Note 3 2 2 6 2 2 2" xfId="26481" xr:uid="{4D990BD4-C4BB-471C-B1B5-27F59832E45B}"/>
    <cellStyle name="Note 3 2 2 6 2 2 2 2" xfId="43375" xr:uid="{4290772A-ED06-4B27-84C0-E5EB66DC83A7}"/>
    <cellStyle name="Note 3 2 2 6 2 2 3" xfId="18034" xr:uid="{8903D0B9-A4D8-458F-9972-66F84E25A74A}"/>
    <cellStyle name="Note 3 2 2 6 2 2 4" xfId="34928" xr:uid="{F4CF4362-6B8E-4109-B4BC-856882227DDD}"/>
    <cellStyle name="Note 3 2 2 6 2 3" xfId="22264" xr:uid="{A728E528-518F-438A-8FD6-6F13F930466F}"/>
    <cellStyle name="Note 3 2 2 6 2 3 2" xfId="39158" xr:uid="{0A58225E-E0DD-447C-A40A-0FB97439C408}"/>
    <cellStyle name="Note 3 2 2 6 2 4" xfId="13817" xr:uid="{15033A3D-63D4-4A5C-9A6A-A04EA823045A}"/>
    <cellStyle name="Note 3 2 2 6 2 5" xfId="30711" xr:uid="{45B119F6-2680-4DBB-AEAD-F9820107A7F0}"/>
    <cellStyle name="Note 3 2 2 6 3" xfId="6563" xr:uid="{00000000-0005-0000-0000-000076210000}"/>
    <cellStyle name="Note 3 2 2 6 3 2" xfId="24336" xr:uid="{FC718BF3-A58E-436E-8B61-62D685FBA33E}"/>
    <cellStyle name="Note 3 2 2 6 3 2 2" xfId="41230" xr:uid="{5996F0E5-9965-4F41-9ACD-A712D0333E60}"/>
    <cellStyle name="Note 3 2 2 6 3 3" xfId="15889" xr:uid="{43A31E8D-78ED-4582-AAE4-33FE2182949D}"/>
    <cellStyle name="Note 3 2 2 6 3 4" xfId="32783" xr:uid="{E3526B7B-EEC8-4F11-A9C8-3A1B633956F4}"/>
    <cellStyle name="Note 3 2 2 6 4" xfId="20119" xr:uid="{10FF32E7-A34F-4268-BECF-A6D1AE0421FD}"/>
    <cellStyle name="Note 3 2 2 6 4 2" xfId="37013" xr:uid="{C6369593-22CE-48DE-B560-29912C115363}"/>
    <cellStyle name="Note 3 2 2 6 5" xfId="11672" xr:uid="{D39DF250-121C-4200-AE6B-B56212376687}"/>
    <cellStyle name="Note 3 2 2 6 6" xfId="28566" xr:uid="{12B08D44-4C4E-4E1B-9D55-364A1635E75D}"/>
    <cellStyle name="Note 3 2 2 7" xfId="2693" xr:uid="{00000000-0005-0000-0000-000077210000}"/>
    <cellStyle name="Note 3 2 2 7 2" xfId="6976" xr:uid="{00000000-0005-0000-0000-000078210000}"/>
    <cellStyle name="Note 3 2 2 7 2 2" xfId="24749" xr:uid="{8918B6AF-1ADD-4EE3-88D1-172DA09FAC63}"/>
    <cellStyle name="Note 3 2 2 7 2 2 2" xfId="41643" xr:uid="{1520DE68-B9DB-40CC-BD82-975DB490A428}"/>
    <cellStyle name="Note 3 2 2 7 2 3" xfId="16302" xr:uid="{31A70960-9229-4F55-8132-6AFDAC99346B}"/>
    <cellStyle name="Note 3 2 2 7 2 4" xfId="33196" xr:uid="{14BCE1D9-1D21-4372-8565-2E11F3FB6A71}"/>
    <cellStyle name="Note 3 2 2 7 3" xfId="20532" xr:uid="{A162B6F3-0442-440E-B09C-27A1C31DBFB2}"/>
    <cellStyle name="Note 3 2 2 7 3 2" xfId="37426" xr:uid="{5B2DD8B1-B6B3-4637-9A67-BA49841ED7F4}"/>
    <cellStyle name="Note 3 2 2 7 4" xfId="12085" xr:uid="{DC7FDAEC-4E27-4EB7-ABC1-1EBFA1C70B12}"/>
    <cellStyle name="Note 3 2 2 7 5" xfId="28979" xr:uid="{C8BA3C78-53C1-4B1E-A0FD-23F101FF2D5C}"/>
    <cellStyle name="Note 3 2 2 8" xfId="2752" xr:uid="{00000000-0005-0000-0000-000079210000}"/>
    <cellStyle name="Note 3 2 2 9" xfId="2833" xr:uid="{00000000-0005-0000-0000-00007A210000}"/>
    <cellStyle name="Note 3 2 2 9 2" xfId="7056" xr:uid="{00000000-0005-0000-0000-00007B210000}"/>
    <cellStyle name="Note 3 2 2 9 2 2" xfId="24829" xr:uid="{7E982492-0BC9-46D7-B42F-BC23A0BC4C98}"/>
    <cellStyle name="Note 3 2 2 9 2 2 2" xfId="41723" xr:uid="{B03A7816-3767-428C-BCCC-895D3BE79D6B}"/>
    <cellStyle name="Note 3 2 2 9 2 3" xfId="16382" xr:uid="{FA90DC0D-0D48-4DC8-A2B2-1BFD39D289B3}"/>
    <cellStyle name="Note 3 2 2 9 2 4" xfId="33276" xr:uid="{5EB42DC0-B153-4818-BAF4-EF54453D42D6}"/>
    <cellStyle name="Note 3 2 2 9 3" xfId="20612" xr:uid="{D33EC49F-5F12-4608-A8F4-AE5F9B950A36}"/>
    <cellStyle name="Note 3 2 2 9 3 2" xfId="37506" xr:uid="{999A5900-04FF-46F6-9DFF-03769F30AB3B}"/>
    <cellStyle name="Note 3 2 2 9 4" xfId="12165" xr:uid="{687CE8C9-08DC-436C-80C4-E3D8F03AC2C5}"/>
    <cellStyle name="Note 3 2 2 9 5" xfId="29059" xr:uid="{29AFAD31-C584-46E8-8A10-05BC11B7861A}"/>
    <cellStyle name="Note 3 2 3" xfId="557" xr:uid="{00000000-0005-0000-0000-00007C210000}"/>
    <cellStyle name="Note 3 2 3 10" xfId="9049" xr:uid="{98DA21AE-8EED-4AF2-A5D5-94394E9C9EFE}"/>
    <cellStyle name="Note 3 2 3 10 2" xfId="18469" xr:uid="{A2C94E99-ECEA-4BF7-B080-D26D93617724}"/>
    <cellStyle name="Note 3 2 3 10 3" xfId="35363" xr:uid="{9496C446-DDCC-4E0E-A3D9-88EC41D1A00A}"/>
    <cellStyle name="Note 3 2 3 11" xfId="10022" xr:uid="{B3390A0C-E2FA-40D2-9FEA-0E2D6BD9F3CE}"/>
    <cellStyle name="Note 3 2 3 12" xfId="26916" xr:uid="{ED74E379-F45C-4F3D-A2F4-2BC72AFDC5EA}"/>
    <cellStyle name="Note 3 2 3 2" xfId="1017" xr:uid="{00000000-0005-0000-0000-00007D210000}"/>
    <cellStyle name="Note 3 2 3 2 2" xfId="3249" xr:uid="{00000000-0005-0000-0000-00007E210000}"/>
    <cellStyle name="Note 3 2 3 2 2 2" xfId="7471" xr:uid="{00000000-0005-0000-0000-00007F210000}"/>
    <cellStyle name="Note 3 2 3 2 2 2 2" xfId="25244" xr:uid="{430B9312-213E-40B3-8F3B-B9C24A1B0739}"/>
    <cellStyle name="Note 3 2 3 2 2 2 2 2" xfId="42138" xr:uid="{DB3D0A09-1CE7-45A8-BD10-F18C9EA7B5AC}"/>
    <cellStyle name="Note 3 2 3 2 2 2 3" xfId="16797" xr:uid="{82F89AFB-0363-4F70-828B-1780A32D47B8}"/>
    <cellStyle name="Note 3 2 3 2 2 2 4" xfId="33691" xr:uid="{D70A6CED-C424-409B-9270-04CAE433C446}"/>
    <cellStyle name="Note 3 2 3 2 2 3" xfId="21027" xr:uid="{65C1225D-E346-4F70-9864-B66EFD250E3F}"/>
    <cellStyle name="Note 3 2 3 2 2 3 2" xfId="37921" xr:uid="{67AA2E98-6E7D-486F-8385-E917637D8F92}"/>
    <cellStyle name="Note 3 2 3 2 2 4" xfId="12580" xr:uid="{DFCB9B8B-4110-4255-961D-1158CA895CDD}"/>
    <cellStyle name="Note 3 2 3 2 2 5" xfId="29474" xr:uid="{2A3FB36A-B9E4-4D24-80D6-B323B482ED19}"/>
    <cellStyle name="Note 3 2 3 2 3" xfId="5326" xr:uid="{00000000-0005-0000-0000-000080210000}"/>
    <cellStyle name="Note 3 2 3 2 3 2" xfId="23099" xr:uid="{0EF0ADA9-C2B6-4976-86B9-B37EABEC0C90}"/>
    <cellStyle name="Note 3 2 3 2 3 2 2" xfId="39993" xr:uid="{618DE09C-B500-40C4-B345-EE4F4A3AC14B}"/>
    <cellStyle name="Note 3 2 3 2 3 3" xfId="14652" xr:uid="{5280574B-DD46-4A0A-9961-187B31968550}"/>
    <cellStyle name="Note 3 2 3 2 3 4" xfId="31546" xr:uid="{AA354D6F-E748-47D0-92BB-8C1BD542608F}"/>
    <cellStyle name="Note 3 2 3 2 4" xfId="9474" xr:uid="{8827394E-7DCF-4E58-BF45-94E8587F7D91}"/>
    <cellStyle name="Note 3 2 3 2 4 2" xfId="18882" xr:uid="{D8740383-BDF7-43CF-96B5-29D5F95D7496}"/>
    <cellStyle name="Note 3 2 3 2 4 3" xfId="35776" xr:uid="{4EF8E50D-D95A-4079-81A5-4F63A7380884}"/>
    <cellStyle name="Note 3 2 3 2 5" xfId="10435" xr:uid="{8569D2FF-8CA8-49A4-80B9-D6A0FEFBD001}"/>
    <cellStyle name="Note 3 2 3 2 6" xfId="27329" xr:uid="{7895C36E-BDDA-490D-973A-57EA59DDA9FE}"/>
    <cellStyle name="Note 3 2 3 3" xfId="1432" xr:uid="{00000000-0005-0000-0000-000081210000}"/>
    <cellStyle name="Note 3 2 3 3 2" xfId="3662" xr:uid="{00000000-0005-0000-0000-000082210000}"/>
    <cellStyle name="Note 3 2 3 3 2 2" xfId="7884" xr:uid="{00000000-0005-0000-0000-000083210000}"/>
    <cellStyle name="Note 3 2 3 3 2 2 2" xfId="25657" xr:uid="{A25A30B8-DA61-43A8-8FCA-CFE42A83ACA6}"/>
    <cellStyle name="Note 3 2 3 3 2 2 2 2" xfId="42551" xr:uid="{C1915486-8AF5-40F2-882B-AA55E258F73F}"/>
    <cellStyle name="Note 3 2 3 3 2 2 3" xfId="17210" xr:uid="{92A531BB-632B-40D7-8561-9112397A6B8E}"/>
    <cellStyle name="Note 3 2 3 3 2 2 4" xfId="34104" xr:uid="{81615E8E-6039-4C63-80F0-52B4CF6C0E42}"/>
    <cellStyle name="Note 3 2 3 3 2 3" xfId="21440" xr:uid="{1EC08B1A-248D-4467-859D-CF8D13B93401}"/>
    <cellStyle name="Note 3 2 3 3 2 3 2" xfId="38334" xr:uid="{2BB6D653-3CEF-4333-BF7E-578C718A86A7}"/>
    <cellStyle name="Note 3 2 3 3 2 4" xfId="12993" xr:uid="{2AE08D1F-F5D0-4DB8-B56A-A2301382FABA}"/>
    <cellStyle name="Note 3 2 3 3 2 5" xfId="29887" xr:uid="{F76D0147-D1B6-488E-831A-915136C986B0}"/>
    <cellStyle name="Note 3 2 3 3 3" xfId="5739" xr:uid="{00000000-0005-0000-0000-000084210000}"/>
    <cellStyle name="Note 3 2 3 3 3 2" xfId="23512" xr:uid="{839828DD-6E47-4DB6-B2A3-9B3F6BAA7639}"/>
    <cellStyle name="Note 3 2 3 3 3 2 2" xfId="40406" xr:uid="{813105D7-116E-4A23-9026-A9C5798CC287}"/>
    <cellStyle name="Note 3 2 3 3 3 3" xfId="15065" xr:uid="{D31FE483-7FC8-4068-8A6F-882F41DEBF97}"/>
    <cellStyle name="Note 3 2 3 3 3 4" xfId="31959" xr:uid="{7E69FB19-C569-4502-8413-C28262C303C5}"/>
    <cellStyle name="Note 3 2 3 3 4" xfId="19295" xr:uid="{53E43C1F-A534-4F10-BCE0-E70519F3FDE1}"/>
    <cellStyle name="Note 3 2 3 3 4 2" xfId="36189" xr:uid="{FC6A629D-9B61-40B3-B708-32843CB032FD}"/>
    <cellStyle name="Note 3 2 3 3 5" xfId="10848" xr:uid="{547385AC-2690-4150-BD77-4C78C9FCF792}"/>
    <cellStyle name="Note 3 2 3 3 6" xfId="27742" xr:uid="{5215DDBE-2353-4807-B19F-1FCD77C744BF}"/>
    <cellStyle name="Note 3 2 3 4" xfId="1846" xr:uid="{00000000-0005-0000-0000-000085210000}"/>
    <cellStyle name="Note 3 2 3 4 2" xfId="4075" xr:uid="{00000000-0005-0000-0000-000086210000}"/>
    <cellStyle name="Note 3 2 3 4 2 2" xfId="8297" xr:uid="{00000000-0005-0000-0000-000087210000}"/>
    <cellStyle name="Note 3 2 3 4 2 2 2" xfId="26070" xr:uid="{E7878B39-3F9F-4181-9C5D-B1C550F264B0}"/>
    <cellStyle name="Note 3 2 3 4 2 2 2 2" xfId="42964" xr:uid="{6FEB0E05-8944-494C-96E9-ACA9DC964091}"/>
    <cellStyle name="Note 3 2 3 4 2 2 3" xfId="17623" xr:uid="{F24BDC46-2A8F-4D45-8482-A967575EE673}"/>
    <cellStyle name="Note 3 2 3 4 2 2 4" xfId="34517" xr:uid="{28F1017D-47A6-402F-8D35-8ECE4B1BE273}"/>
    <cellStyle name="Note 3 2 3 4 2 3" xfId="21853" xr:uid="{8F5A9864-2037-4349-A1B1-A9151AF6E28F}"/>
    <cellStyle name="Note 3 2 3 4 2 3 2" xfId="38747" xr:uid="{476A6E07-52FB-4CAC-81DA-A9DE60C527BA}"/>
    <cellStyle name="Note 3 2 3 4 2 4" xfId="13406" xr:uid="{55229E62-7EBE-4B33-94D6-91367F5AA90B}"/>
    <cellStyle name="Note 3 2 3 4 2 5" xfId="30300" xr:uid="{888BF880-B7F5-47AD-830C-851DEE3A91C1}"/>
    <cellStyle name="Note 3 2 3 4 3" xfId="6152" xr:uid="{00000000-0005-0000-0000-000088210000}"/>
    <cellStyle name="Note 3 2 3 4 3 2" xfId="23925" xr:uid="{8EDF6082-2536-4339-A3E4-1411484647C8}"/>
    <cellStyle name="Note 3 2 3 4 3 2 2" xfId="40819" xr:uid="{A7D211E4-84E7-4865-8389-379E14D52B00}"/>
    <cellStyle name="Note 3 2 3 4 3 3" xfId="15478" xr:uid="{56BA4F85-A574-46B7-AD1D-00C3CA12F7DE}"/>
    <cellStyle name="Note 3 2 3 4 3 4" xfId="32372" xr:uid="{BB7A5F5D-2329-49B1-88D7-53061753826E}"/>
    <cellStyle name="Note 3 2 3 4 4" xfId="19708" xr:uid="{85865A7C-44D4-43AF-8F92-967A67488A3C}"/>
    <cellStyle name="Note 3 2 3 4 4 2" xfId="36602" xr:uid="{55F17FC2-F00C-4309-94B7-6B82821E25C7}"/>
    <cellStyle name="Note 3 2 3 4 5" xfId="11261" xr:uid="{B89A90D4-AA9E-4653-A320-13A2BD97F871}"/>
    <cellStyle name="Note 3 2 3 4 6" xfId="28155" xr:uid="{D7E36E0E-DCEE-4C66-A4E2-3FC7F62ADA10}"/>
    <cellStyle name="Note 3 2 3 5" xfId="2259" xr:uid="{00000000-0005-0000-0000-000089210000}"/>
    <cellStyle name="Note 3 2 3 5 2" xfId="4488" xr:uid="{00000000-0005-0000-0000-00008A210000}"/>
    <cellStyle name="Note 3 2 3 5 2 2" xfId="8710" xr:uid="{00000000-0005-0000-0000-00008B210000}"/>
    <cellStyle name="Note 3 2 3 5 2 2 2" xfId="26483" xr:uid="{625213AF-FB2E-44EB-8F18-274F9C71DD09}"/>
    <cellStyle name="Note 3 2 3 5 2 2 2 2" xfId="43377" xr:uid="{FE384931-22E1-4ED1-ABE9-C9FED297EE05}"/>
    <cellStyle name="Note 3 2 3 5 2 2 3" xfId="18036" xr:uid="{FD85DBBE-97F9-4A8C-9B0B-95B78FA08473}"/>
    <cellStyle name="Note 3 2 3 5 2 2 4" xfId="34930" xr:uid="{0A90E8DE-56D9-4EB1-9A7C-56B6EE6468DB}"/>
    <cellStyle name="Note 3 2 3 5 2 3" xfId="22266" xr:uid="{75476A79-3605-4FFC-8523-FD06915CD0E7}"/>
    <cellStyle name="Note 3 2 3 5 2 3 2" xfId="39160" xr:uid="{121FAC29-D734-4577-879D-BDFE4F80DD42}"/>
    <cellStyle name="Note 3 2 3 5 2 4" xfId="13819" xr:uid="{4E0233E3-E5DC-4CE1-8F92-74BEDDAFD1CA}"/>
    <cellStyle name="Note 3 2 3 5 2 5" xfId="30713" xr:uid="{D0D5AC9E-0710-442F-86FD-6005CAF8B447}"/>
    <cellStyle name="Note 3 2 3 5 3" xfId="6565" xr:uid="{00000000-0005-0000-0000-00008C210000}"/>
    <cellStyle name="Note 3 2 3 5 3 2" xfId="24338" xr:uid="{E74CC3E0-11C0-497A-90A9-3087C6B87F71}"/>
    <cellStyle name="Note 3 2 3 5 3 2 2" xfId="41232" xr:uid="{EE009F55-2A72-46A9-83E3-9DBC858E98FA}"/>
    <cellStyle name="Note 3 2 3 5 3 3" xfId="15891" xr:uid="{F94F8FE7-0B6D-4F01-BA0C-0942CB3357D7}"/>
    <cellStyle name="Note 3 2 3 5 3 4" xfId="32785" xr:uid="{FD6DC35D-C608-4DF4-A23C-FF550F9DFFC2}"/>
    <cellStyle name="Note 3 2 3 5 4" xfId="20121" xr:uid="{88687BBF-18E2-4394-AE4D-FD4B8FA8DBAA}"/>
    <cellStyle name="Note 3 2 3 5 4 2" xfId="37015" xr:uid="{06939D06-4214-4FD1-BBEF-527041F5DB6F}"/>
    <cellStyle name="Note 3 2 3 5 5" xfId="11674" xr:uid="{F22FEDFA-0F06-46F7-9A2C-078AADE85442}"/>
    <cellStyle name="Note 3 2 3 5 6" xfId="28568" xr:uid="{82C13E7B-1164-4B26-8A9C-984AA77643A6}"/>
    <cellStyle name="Note 3 2 3 6" xfId="2695" xr:uid="{00000000-0005-0000-0000-00008D210000}"/>
    <cellStyle name="Note 3 2 3 6 2" xfId="6978" xr:uid="{00000000-0005-0000-0000-00008E210000}"/>
    <cellStyle name="Note 3 2 3 6 2 2" xfId="24751" xr:uid="{AD44CE79-7AC4-45CF-A712-0526721348B7}"/>
    <cellStyle name="Note 3 2 3 6 2 2 2" xfId="41645" xr:uid="{5E7076AA-288D-40AE-9A9B-CADC64631C22}"/>
    <cellStyle name="Note 3 2 3 6 2 3" xfId="16304" xr:uid="{7F0E4DD4-21CA-407B-9EFE-9FEAAD925505}"/>
    <cellStyle name="Note 3 2 3 6 2 4" xfId="33198" xr:uid="{AB76E6B1-3A7A-4633-9CA7-6FACCB3D4D15}"/>
    <cellStyle name="Note 3 2 3 6 3" xfId="20534" xr:uid="{E8FFF79B-28E6-4E55-B49E-87BE9ADC39BF}"/>
    <cellStyle name="Note 3 2 3 6 3 2" xfId="37428" xr:uid="{4BBF7C93-A7C1-47FF-9674-8DC0BC81227A}"/>
    <cellStyle name="Note 3 2 3 6 4" xfId="12087" xr:uid="{1532518F-22EE-4782-BA91-DE7F3CCC8C19}"/>
    <cellStyle name="Note 3 2 3 6 5" xfId="28981" xr:uid="{59C5F081-4A44-41EC-9BCC-AEC222B428CF}"/>
    <cellStyle name="Note 3 2 3 7" xfId="2754" xr:uid="{00000000-0005-0000-0000-00008F210000}"/>
    <cellStyle name="Note 3 2 3 8" xfId="2835" xr:uid="{00000000-0005-0000-0000-000090210000}"/>
    <cellStyle name="Note 3 2 3 8 2" xfId="7058" xr:uid="{00000000-0005-0000-0000-000091210000}"/>
    <cellStyle name="Note 3 2 3 8 2 2" xfId="24831" xr:uid="{A8C71F84-043E-402F-BB75-983F23217BB0}"/>
    <cellStyle name="Note 3 2 3 8 2 2 2" xfId="41725" xr:uid="{B443D953-C2A6-4628-959B-E737C2E5C46F}"/>
    <cellStyle name="Note 3 2 3 8 2 3" xfId="16384" xr:uid="{9929A6A7-D11D-4E10-B221-4ABA766F339F}"/>
    <cellStyle name="Note 3 2 3 8 2 4" xfId="33278" xr:uid="{931AFF98-991D-4CDD-8762-0A63DB281C6C}"/>
    <cellStyle name="Note 3 2 3 8 3" xfId="20614" xr:uid="{F0033667-4563-48F4-BEE5-F7E94A58E058}"/>
    <cellStyle name="Note 3 2 3 8 3 2" xfId="37508" xr:uid="{859D2507-478D-493C-B42B-55C666811FD8}"/>
    <cellStyle name="Note 3 2 3 8 4" xfId="12167" xr:uid="{BB9595DC-41C7-4E69-8240-5DB932D43572}"/>
    <cellStyle name="Note 3 2 3 8 5" xfId="29061" xr:uid="{90A312B5-13F5-4853-B940-6AA3CF008304}"/>
    <cellStyle name="Note 3 2 3 9" xfId="4913" xr:uid="{00000000-0005-0000-0000-000092210000}"/>
    <cellStyle name="Note 3 2 3 9 2" xfId="22686" xr:uid="{2FA6EBC9-CB6B-412D-AA11-E3B1FB49EB5F}"/>
    <cellStyle name="Note 3 2 3 9 2 2" xfId="39580" xr:uid="{6E1CAAB6-7B7D-4E12-975E-FC03649E7CE3}"/>
    <cellStyle name="Note 3 2 3 9 3" xfId="14239" xr:uid="{F28EB144-9836-4750-AC66-68731B7D8A9C}"/>
    <cellStyle name="Note 3 2 3 9 4" xfId="31133" xr:uid="{91EBB5FA-EAA4-4DDF-9605-0FD22437AE0C}"/>
    <cellStyle name="Note 3 2 4" xfId="1014" xr:uid="{00000000-0005-0000-0000-000093210000}"/>
    <cellStyle name="Note 3 2 4 2" xfId="3246" xr:uid="{00000000-0005-0000-0000-000094210000}"/>
    <cellStyle name="Note 3 2 4 2 2" xfId="7468" xr:uid="{00000000-0005-0000-0000-000095210000}"/>
    <cellStyle name="Note 3 2 4 2 2 2" xfId="25241" xr:uid="{35D9ED25-6769-4AF0-970A-B42059487B13}"/>
    <cellStyle name="Note 3 2 4 2 2 2 2" xfId="42135" xr:uid="{C4066CDA-F1B5-4183-9CFF-B4C3225361AB}"/>
    <cellStyle name="Note 3 2 4 2 2 3" xfId="16794" xr:uid="{E9DFC319-863B-40A1-9BAD-ED085B8A56AA}"/>
    <cellStyle name="Note 3 2 4 2 2 4" xfId="33688" xr:uid="{2D14CE92-A751-4C1A-9DEB-670EE7625A9F}"/>
    <cellStyle name="Note 3 2 4 2 3" xfId="21024" xr:uid="{12D01AB3-0D61-4560-8CC1-9A85B5183BE3}"/>
    <cellStyle name="Note 3 2 4 2 3 2" xfId="37918" xr:uid="{ECFCCB36-C3C9-4BA7-B956-1AC5D31F3695}"/>
    <cellStyle name="Note 3 2 4 2 4" xfId="12577" xr:uid="{D25B7A68-2653-47C7-86F7-FDDE7F1CC39B}"/>
    <cellStyle name="Note 3 2 4 2 5" xfId="29471" xr:uid="{D6E8BBAD-7226-4DF8-BA40-E72CD5CFBF08}"/>
    <cellStyle name="Note 3 2 4 3" xfId="5323" xr:uid="{00000000-0005-0000-0000-000096210000}"/>
    <cellStyle name="Note 3 2 4 3 2" xfId="23096" xr:uid="{62A9DC03-E1CB-417F-A9D9-399F259A136B}"/>
    <cellStyle name="Note 3 2 4 3 2 2" xfId="39990" xr:uid="{AB13FBA2-EE0E-494E-9445-0938C5738A6F}"/>
    <cellStyle name="Note 3 2 4 3 3" xfId="14649" xr:uid="{757DEB76-B4B1-47E1-9C6C-337D8E3C6F20}"/>
    <cellStyle name="Note 3 2 4 3 4" xfId="31543" xr:uid="{175A5308-CE6F-4213-8321-F631965C8ECB}"/>
    <cellStyle name="Note 3 2 4 4" xfId="9267" xr:uid="{1291CED5-E18E-4F1A-8856-A132B18F5C81}"/>
    <cellStyle name="Note 3 2 4 4 2" xfId="18879" xr:uid="{92CBDB04-0CC6-45A6-A78C-2D5C9C8A23CE}"/>
    <cellStyle name="Note 3 2 4 4 3" xfId="35773" xr:uid="{30CBE5DD-A9DD-441C-A66F-D6032EA7BA4A}"/>
    <cellStyle name="Note 3 2 4 5" xfId="10432" xr:uid="{1F8F16AD-FFAB-4E00-9091-1B07AD9B8905}"/>
    <cellStyle name="Note 3 2 4 6" xfId="27326" xr:uid="{EAEAAD10-AC9F-40AB-905A-AC92CF82E5A2}"/>
    <cellStyle name="Note 3 2 5" xfId="1429" xr:uid="{00000000-0005-0000-0000-000097210000}"/>
    <cellStyle name="Note 3 2 5 2" xfId="3659" xr:uid="{00000000-0005-0000-0000-000098210000}"/>
    <cellStyle name="Note 3 2 5 2 2" xfId="7881" xr:uid="{00000000-0005-0000-0000-000099210000}"/>
    <cellStyle name="Note 3 2 5 2 2 2" xfId="25654" xr:uid="{88C6E7B0-6304-411A-8FB4-2F1AA3DBA481}"/>
    <cellStyle name="Note 3 2 5 2 2 2 2" xfId="42548" xr:uid="{80C21A69-6FA8-4C9F-9508-134892EE5970}"/>
    <cellStyle name="Note 3 2 5 2 2 3" xfId="17207" xr:uid="{379497C4-17B6-435A-84B9-06D87298A048}"/>
    <cellStyle name="Note 3 2 5 2 2 4" xfId="34101" xr:uid="{08EBBCDD-662D-4AD0-B1E8-6C9C86855937}"/>
    <cellStyle name="Note 3 2 5 2 3" xfId="21437" xr:uid="{B1EE4D21-71D3-4C33-A63B-CF082EAB3B8B}"/>
    <cellStyle name="Note 3 2 5 2 3 2" xfId="38331" xr:uid="{F7B08E21-3D64-4686-B496-75E5D0B64D3B}"/>
    <cellStyle name="Note 3 2 5 2 4" xfId="12990" xr:uid="{6BF3945A-A7BC-47C9-A832-3FBB0B55DC50}"/>
    <cellStyle name="Note 3 2 5 2 5" xfId="29884" xr:uid="{753DC68F-6E64-4DF9-A984-235D4E7D0446}"/>
    <cellStyle name="Note 3 2 5 3" xfId="5736" xr:uid="{00000000-0005-0000-0000-00009A210000}"/>
    <cellStyle name="Note 3 2 5 3 2" xfId="23509" xr:uid="{0C0D1BE5-7292-42D1-B4A1-3DF7D11E9C2F}"/>
    <cellStyle name="Note 3 2 5 3 2 2" xfId="40403" xr:uid="{AACB1059-DCB0-4130-82DB-C124EB8163C3}"/>
    <cellStyle name="Note 3 2 5 3 3" xfId="15062" xr:uid="{8FA2363E-F16D-4ECC-A6C0-2C15EE0B14C4}"/>
    <cellStyle name="Note 3 2 5 3 4" xfId="31956" xr:uid="{7E129DDD-4240-4830-ADA8-FFDECFA92064}"/>
    <cellStyle name="Note 3 2 5 4" xfId="19292" xr:uid="{85F684D6-8A8B-459E-9E9D-B003784735D0}"/>
    <cellStyle name="Note 3 2 5 4 2" xfId="36186" xr:uid="{F298FA31-8F04-4447-8ABB-77311CB568C1}"/>
    <cellStyle name="Note 3 2 5 5" xfId="10845" xr:uid="{EC2A3439-EB20-433A-9532-7FD796D0D48C}"/>
    <cellStyle name="Note 3 2 5 6" xfId="27739" xr:uid="{250CC45A-C816-487A-B072-162722481A41}"/>
    <cellStyle name="Note 3 2 6" xfId="1843" xr:uid="{00000000-0005-0000-0000-00009B210000}"/>
    <cellStyle name="Note 3 2 6 2" xfId="4072" xr:uid="{00000000-0005-0000-0000-00009C210000}"/>
    <cellStyle name="Note 3 2 6 2 2" xfId="8294" xr:uid="{00000000-0005-0000-0000-00009D210000}"/>
    <cellStyle name="Note 3 2 6 2 2 2" xfId="26067" xr:uid="{5C229173-DA1E-43FF-BDC8-26A6D20E26F1}"/>
    <cellStyle name="Note 3 2 6 2 2 2 2" xfId="42961" xr:uid="{E4BC7832-2375-4258-BC0B-C7624CB659D4}"/>
    <cellStyle name="Note 3 2 6 2 2 3" xfId="17620" xr:uid="{0BD422D2-E114-4288-AAAE-A500FBB69522}"/>
    <cellStyle name="Note 3 2 6 2 2 4" xfId="34514" xr:uid="{97A980F4-AEBF-403B-B18D-522C64E75029}"/>
    <cellStyle name="Note 3 2 6 2 3" xfId="21850" xr:uid="{B1B994C8-2635-4BE2-8DD7-950A24373EC5}"/>
    <cellStyle name="Note 3 2 6 2 3 2" xfId="38744" xr:uid="{80831AEC-106C-4F01-B25B-9A14AC56DC44}"/>
    <cellStyle name="Note 3 2 6 2 4" xfId="13403" xr:uid="{40AEC8E2-5FA0-45B2-8D64-5E39223336F1}"/>
    <cellStyle name="Note 3 2 6 2 5" xfId="30297" xr:uid="{B8DE1772-0418-4E46-8836-1AD596A80319}"/>
    <cellStyle name="Note 3 2 6 3" xfId="6149" xr:uid="{00000000-0005-0000-0000-00009E210000}"/>
    <cellStyle name="Note 3 2 6 3 2" xfId="23922" xr:uid="{D6794CD5-8976-48C9-A9E3-D1D7F4E1A664}"/>
    <cellStyle name="Note 3 2 6 3 2 2" xfId="40816" xr:uid="{2C65CC61-72FC-42DB-ACA2-6ABC813D7FB9}"/>
    <cellStyle name="Note 3 2 6 3 3" xfId="15475" xr:uid="{01D2F4A3-F64C-4408-9EBC-0CF7EBE94210}"/>
    <cellStyle name="Note 3 2 6 3 4" xfId="32369" xr:uid="{B67E0B3E-2524-454E-A8D4-24A3F4BEA50A}"/>
    <cellStyle name="Note 3 2 6 4" xfId="19705" xr:uid="{1D81FDCC-5933-478C-AEC9-CA6425D0C7EE}"/>
    <cellStyle name="Note 3 2 6 4 2" xfId="36599" xr:uid="{896D0114-2434-4303-8D6F-5845773CE616}"/>
    <cellStyle name="Note 3 2 6 5" xfId="11258" xr:uid="{9159C95A-654D-4CC7-88AC-C5CC13397DFE}"/>
    <cellStyle name="Note 3 2 6 6" xfId="28152" xr:uid="{73AD4941-D2D5-47E9-8E74-ED8C2FDF22C4}"/>
    <cellStyle name="Note 3 2 7" xfId="2256" xr:uid="{00000000-0005-0000-0000-00009F210000}"/>
    <cellStyle name="Note 3 2 7 2" xfId="4485" xr:uid="{00000000-0005-0000-0000-0000A0210000}"/>
    <cellStyle name="Note 3 2 7 2 2" xfId="8707" xr:uid="{00000000-0005-0000-0000-0000A1210000}"/>
    <cellStyle name="Note 3 2 7 2 2 2" xfId="26480" xr:uid="{34D99733-D083-4EA3-ACC1-72C4F54A634B}"/>
    <cellStyle name="Note 3 2 7 2 2 2 2" xfId="43374" xr:uid="{78F20271-F60A-4EF8-ACB6-26D4E51073EA}"/>
    <cellStyle name="Note 3 2 7 2 2 3" xfId="18033" xr:uid="{03AF383A-5DD9-4089-909E-6B13069FB064}"/>
    <cellStyle name="Note 3 2 7 2 2 4" xfId="34927" xr:uid="{C1C7AA3A-F077-4569-A6D1-0B6C67768967}"/>
    <cellStyle name="Note 3 2 7 2 3" xfId="22263" xr:uid="{23273655-3234-48A2-B811-F69E5A76A3BB}"/>
    <cellStyle name="Note 3 2 7 2 3 2" xfId="39157" xr:uid="{8F66ED1C-54C4-4EC2-B4A4-1CA51E3917E2}"/>
    <cellStyle name="Note 3 2 7 2 4" xfId="13816" xr:uid="{D63062EA-F480-4323-B722-AA094C7D5B12}"/>
    <cellStyle name="Note 3 2 7 2 5" xfId="30710" xr:uid="{277794F5-5599-4B53-AA56-32CE3BBB2326}"/>
    <cellStyle name="Note 3 2 7 3" xfId="6562" xr:uid="{00000000-0005-0000-0000-0000A2210000}"/>
    <cellStyle name="Note 3 2 7 3 2" xfId="24335" xr:uid="{E11650DC-D50D-4435-8E4D-36DDF9182D06}"/>
    <cellStyle name="Note 3 2 7 3 2 2" xfId="41229" xr:uid="{52294B7B-9B39-478D-9ED1-02B720B61CE5}"/>
    <cellStyle name="Note 3 2 7 3 3" xfId="15888" xr:uid="{0627A240-C854-4FD2-80EA-9E6103A1B583}"/>
    <cellStyle name="Note 3 2 7 3 4" xfId="32782" xr:uid="{E8C8B9F8-3AAB-4D66-857D-FFEDD9261FAA}"/>
    <cellStyle name="Note 3 2 7 4" xfId="20118" xr:uid="{4915E84A-82E1-4EB2-A416-45C1E44D18FB}"/>
    <cellStyle name="Note 3 2 7 4 2" xfId="37012" xr:uid="{364E4624-2DDB-46EB-A83D-312839BB6CB2}"/>
    <cellStyle name="Note 3 2 7 5" xfId="11671" xr:uid="{443D8214-600D-44C1-AA52-C174F666B3C8}"/>
    <cellStyle name="Note 3 2 7 6" xfId="28565" xr:uid="{BDC23F2D-49AD-44DD-9410-06C4F84C32FF}"/>
    <cellStyle name="Note 3 2 8" xfId="2692" xr:uid="{00000000-0005-0000-0000-0000A3210000}"/>
    <cellStyle name="Note 3 2 8 2" xfId="6975" xr:uid="{00000000-0005-0000-0000-0000A4210000}"/>
    <cellStyle name="Note 3 2 8 2 2" xfId="24748" xr:uid="{C3DB021F-6BCB-49A0-9C2B-2F5442CED374}"/>
    <cellStyle name="Note 3 2 8 2 2 2" xfId="41642" xr:uid="{34B9AE86-EC4C-474E-8CDB-6833E5D0EEE3}"/>
    <cellStyle name="Note 3 2 8 2 3" xfId="16301" xr:uid="{31A03963-31ED-4CDB-8ADE-B75887654275}"/>
    <cellStyle name="Note 3 2 8 2 4" xfId="33195" xr:uid="{F7D455EB-17A8-4471-82CC-A7CD37234526}"/>
    <cellStyle name="Note 3 2 8 3" xfId="20531" xr:uid="{47597783-D9C0-4F88-BD10-AB0F202F01E8}"/>
    <cellStyle name="Note 3 2 8 3 2" xfId="37425" xr:uid="{164C0FB4-404B-47B4-9CA7-D667971DDBAD}"/>
    <cellStyle name="Note 3 2 8 4" xfId="12084" xr:uid="{FE45266A-8747-4CAD-98E1-F4643077C481}"/>
    <cellStyle name="Note 3 2 8 5" xfId="28978" xr:uid="{8920FE6A-078F-4244-8CBC-F66413228ECD}"/>
    <cellStyle name="Note 3 2 9" xfId="2751" xr:uid="{00000000-0005-0000-0000-0000A5210000}"/>
    <cellStyle name="Note 3 3" xfId="558" xr:uid="{00000000-0005-0000-0000-0000A6210000}"/>
    <cellStyle name="Note 3 3 10" xfId="4914" xr:uid="{00000000-0005-0000-0000-0000A7210000}"/>
    <cellStyle name="Note 3 3 10 2" xfId="22687" xr:uid="{06E5D675-FFA2-43B2-ACED-A1CD1FC6C851}"/>
    <cellStyle name="Note 3 3 10 2 2" xfId="39581" xr:uid="{8F49BA13-FD65-49BB-8823-D568CD084D92}"/>
    <cellStyle name="Note 3 3 10 3" xfId="14240" xr:uid="{8D1EE103-076C-492B-9116-D9DAA59EB575}"/>
    <cellStyle name="Note 3 3 10 4" xfId="31134" xr:uid="{49567DB4-C1F1-4F86-AB1A-465BCCA94C5E}"/>
    <cellStyle name="Note 3 3 11" xfId="8892" xr:uid="{8511F94A-7472-4DD0-A9AB-40754FEE5F47}"/>
    <cellStyle name="Note 3 3 11 2" xfId="18470" xr:uid="{454098C0-84E2-4EF1-8667-4A7509DE4478}"/>
    <cellStyle name="Note 3 3 11 3" xfId="35364" xr:uid="{C977FA2F-1058-4D28-8DA5-086229513CD7}"/>
    <cellStyle name="Note 3 3 12" xfId="10023" xr:uid="{7470B3CA-5B62-47A9-BDFA-F8460F8CCA95}"/>
    <cellStyle name="Note 3 3 13" xfId="26917" xr:uid="{2EE639C1-6F07-4BEF-A758-D90BC6ED6E59}"/>
    <cellStyle name="Note 3 3 2" xfId="559" xr:uid="{00000000-0005-0000-0000-0000A8210000}"/>
    <cellStyle name="Note 3 3 2 10" xfId="9099" xr:uid="{29F3AC20-D296-4B59-BA53-0A5C025B0569}"/>
    <cellStyle name="Note 3 3 2 10 2" xfId="18471" xr:uid="{D5950640-0E53-426E-8925-FDFCC4F7F5EC}"/>
    <cellStyle name="Note 3 3 2 10 3" xfId="35365" xr:uid="{61A4AB80-46B3-49D7-AA19-D2613DF2CB99}"/>
    <cellStyle name="Note 3 3 2 11" xfId="10024" xr:uid="{20F71DE3-006F-485D-ACD9-7E140786F5BC}"/>
    <cellStyle name="Note 3 3 2 12" xfId="26918" xr:uid="{ABA4E7AD-5D55-4213-9147-16C7CFC930FF}"/>
    <cellStyle name="Note 3 3 2 2" xfId="1019" xr:uid="{00000000-0005-0000-0000-0000A9210000}"/>
    <cellStyle name="Note 3 3 2 2 2" xfId="3251" xr:uid="{00000000-0005-0000-0000-0000AA210000}"/>
    <cellStyle name="Note 3 3 2 2 2 2" xfId="7473" xr:uid="{00000000-0005-0000-0000-0000AB210000}"/>
    <cellStyle name="Note 3 3 2 2 2 2 2" xfId="25246" xr:uid="{7C86EB19-8AAF-4210-92E0-E2500F3721CA}"/>
    <cellStyle name="Note 3 3 2 2 2 2 2 2" xfId="42140" xr:uid="{7FDEF797-B123-4E2C-B4A9-99D268840B01}"/>
    <cellStyle name="Note 3 3 2 2 2 2 3" xfId="16799" xr:uid="{12791B5F-81CE-4C57-91C2-794CC1A54EFE}"/>
    <cellStyle name="Note 3 3 2 2 2 2 4" xfId="33693" xr:uid="{6196337F-B7C5-4C6F-B9A3-515ADA84BB47}"/>
    <cellStyle name="Note 3 3 2 2 2 3" xfId="21029" xr:uid="{4F951ACF-328E-4ABD-90D0-1E65402A940B}"/>
    <cellStyle name="Note 3 3 2 2 2 3 2" xfId="37923" xr:uid="{BC95F28C-CE25-413E-AF99-33C7DE8AA6FE}"/>
    <cellStyle name="Note 3 3 2 2 2 4" xfId="12582" xr:uid="{2BF52160-5760-49A4-8A00-A9519BAB0556}"/>
    <cellStyle name="Note 3 3 2 2 2 5" xfId="29476" xr:uid="{E111BA54-C7EC-4FDB-988D-C5EA83D83FB4}"/>
    <cellStyle name="Note 3 3 2 2 3" xfId="5328" xr:uid="{00000000-0005-0000-0000-0000AC210000}"/>
    <cellStyle name="Note 3 3 2 2 3 2" xfId="23101" xr:uid="{ABD66FC6-F099-471E-A28A-0F4FA94317A0}"/>
    <cellStyle name="Note 3 3 2 2 3 2 2" xfId="39995" xr:uid="{3972879E-866D-4A09-8600-A694A11F0385}"/>
    <cellStyle name="Note 3 3 2 2 3 3" xfId="14654" xr:uid="{DCADD060-AF41-45F9-8195-DB8F0220E839}"/>
    <cellStyle name="Note 3 3 2 2 3 4" xfId="31548" xr:uid="{F71CA925-E9FF-40A0-BF5D-8B9226A18F95}"/>
    <cellStyle name="Note 3 3 2 2 4" xfId="9524" xr:uid="{D03F5DE7-D9AB-48C0-A1E3-0A929D2C18C5}"/>
    <cellStyle name="Note 3 3 2 2 4 2" xfId="18884" xr:uid="{B94F47AD-268C-4859-BC21-0EAC5CD9595A}"/>
    <cellStyle name="Note 3 3 2 2 4 3" xfId="35778" xr:uid="{1078EF71-9F26-45FF-B21B-BF3635FD0EF1}"/>
    <cellStyle name="Note 3 3 2 2 5" xfId="10437" xr:uid="{B20E74B4-FAFD-4D5F-8FC2-B3E3FDF69BB5}"/>
    <cellStyle name="Note 3 3 2 2 6" xfId="27331" xr:uid="{9782FBA9-BC11-4BFC-A416-10618B513C23}"/>
    <cellStyle name="Note 3 3 2 3" xfId="1434" xr:uid="{00000000-0005-0000-0000-0000AD210000}"/>
    <cellStyle name="Note 3 3 2 3 2" xfId="3664" xr:uid="{00000000-0005-0000-0000-0000AE210000}"/>
    <cellStyle name="Note 3 3 2 3 2 2" xfId="7886" xr:uid="{00000000-0005-0000-0000-0000AF210000}"/>
    <cellStyle name="Note 3 3 2 3 2 2 2" xfId="25659" xr:uid="{8A9514FD-3303-4AA2-9D87-3608CBD451C9}"/>
    <cellStyle name="Note 3 3 2 3 2 2 2 2" xfId="42553" xr:uid="{3ACB2E6B-6EF0-420A-8D64-DACF78741948}"/>
    <cellStyle name="Note 3 3 2 3 2 2 3" xfId="17212" xr:uid="{7FAD8602-6332-486D-B870-9D45443AD036}"/>
    <cellStyle name="Note 3 3 2 3 2 2 4" xfId="34106" xr:uid="{DC96AC71-198F-410C-B7C5-25BED9C3DF2C}"/>
    <cellStyle name="Note 3 3 2 3 2 3" xfId="21442" xr:uid="{349AB993-9560-4923-8715-F172BAB14D54}"/>
    <cellStyle name="Note 3 3 2 3 2 3 2" xfId="38336" xr:uid="{3FFACCCD-3EFB-4BF3-ACFF-9CD84522A7B3}"/>
    <cellStyle name="Note 3 3 2 3 2 4" xfId="12995" xr:uid="{ADEDDA2B-87DE-4110-97FA-BF7F9CDC4E15}"/>
    <cellStyle name="Note 3 3 2 3 2 5" xfId="29889" xr:uid="{2AFAC852-5666-4C07-BC73-A360788DEF81}"/>
    <cellStyle name="Note 3 3 2 3 3" xfId="5741" xr:uid="{00000000-0005-0000-0000-0000B0210000}"/>
    <cellStyle name="Note 3 3 2 3 3 2" xfId="23514" xr:uid="{CACD31CE-31F4-41E9-84D1-F0A2BF2FC8B7}"/>
    <cellStyle name="Note 3 3 2 3 3 2 2" xfId="40408" xr:uid="{C8E7EF82-3F6E-4ACE-8741-BA8B4A586BB9}"/>
    <cellStyle name="Note 3 3 2 3 3 3" xfId="15067" xr:uid="{71D210C6-DF50-4F47-902A-198E15166369}"/>
    <cellStyle name="Note 3 3 2 3 3 4" xfId="31961" xr:uid="{30040423-DC9C-4E2E-8E00-CE21AE1E3E7D}"/>
    <cellStyle name="Note 3 3 2 3 4" xfId="19297" xr:uid="{E5852185-9252-40E9-8CB4-11D4760D09FA}"/>
    <cellStyle name="Note 3 3 2 3 4 2" xfId="36191" xr:uid="{01F2FCF3-CF83-4590-95A1-7F90BDBA767E}"/>
    <cellStyle name="Note 3 3 2 3 5" xfId="10850" xr:uid="{83CFC781-F0E5-4EA2-B6C2-02827E3EA4D2}"/>
    <cellStyle name="Note 3 3 2 3 6" xfId="27744" xr:uid="{B3CB217F-85E8-463F-A16D-2FCC8E44F423}"/>
    <cellStyle name="Note 3 3 2 4" xfId="1848" xr:uid="{00000000-0005-0000-0000-0000B1210000}"/>
    <cellStyle name="Note 3 3 2 4 2" xfId="4077" xr:uid="{00000000-0005-0000-0000-0000B2210000}"/>
    <cellStyle name="Note 3 3 2 4 2 2" xfId="8299" xr:uid="{00000000-0005-0000-0000-0000B3210000}"/>
    <cellStyle name="Note 3 3 2 4 2 2 2" xfId="26072" xr:uid="{587E2923-9182-4F22-930E-CDC126CA3101}"/>
    <cellStyle name="Note 3 3 2 4 2 2 2 2" xfId="42966" xr:uid="{78BFA794-5730-4747-A460-5767A243DA33}"/>
    <cellStyle name="Note 3 3 2 4 2 2 3" xfId="17625" xr:uid="{464FF6D2-AC84-4CCF-B79B-873442E8157D}"/>
    <cellStyle name="Note 3 3 2 4 2 2 4" xfId="34519" xr:uid="{1A6F3381-8F2A-46D5-9EDE-C80BE1051B3A}"/>
    <cellStyle name="Note 3 3 2 4 2 3" xfId="21855" xr:uid="{9E43F73A-CBB7-4814-96C6-4D1FD8385F6A}"/>
    <cellStyle name="Note 3 3 2 4 2 3 2" xfId="38749" xr:uid="{A5F1FC12-FBA6-461E-B733-997CEFFB7416}"/>
    <cellStyle name="Note 3 3 2 4 2 4" xfId="13408" xr:uid="{FE429E61-B6B9-4939-BB70-46A3B13D76A2}"/>
    <cellStyle name="Note 3 3 2 4 2 5" xfId="30302" xr:uid="{7D3B6D3F-BA99-4198-BF42-58870A75F1A7}"/>
    <cellStyle name="Note 3 3 2 4 3" xfId="6154" xr:uid="{00000000-0005-0000-0000-0000B4210000}"/>
    <cellStyle name="Note 3 3 2 4 3 2" xfId="23927" xr:uid="{0225A187-F226-4B06-A6C9-06E9372211EA}"/>
    <cellStyle name="Note 3 3 2 4 3 2 2" xfId="40821" xr:uid="{3293739A-61E6-401D-82DF-0576279A24D2}"/>
    <cellStyle name="Note 3 3 2 4 3 3" xfId="15480" xr:uid="{9D5C35C5-585E-4508-BC0F-E4FE1D32488D}"/>
    <cellStyle name="Note 3 3 2 4 3 4" xfId="32374" xr:uid="{B7E4C425-2F86-4898-A811-AA9FE7075EA3}"/>
    <cellStyle name="Note 3 3 2 4 4" xfId="19710" xr:uid="{3D93F4C4-1028-4E0F-A0D8-DB3559C15BDA}"/>
    <cellStyle name="Note 3 3 2 4 4 2" xfId="36604" xr:uid="{F984B2F2-58FE-4502-9D82-947223453AFC}"/>
    <cellStyle name="Note 3 3 2 4 5" xfId="11263" xr:uid="{5B4A3F65-D56F-4D42-8285-5DD50DB7038D}"/>
    <cellStyle name="Note 3 3 2 4 6" xfId="28157" xr:uid="{D9EBB137-9357-4C1C-B42D-B0823A707E3D}"/>
    <cellStyle name="Note 3 3 2 5" xfId="2261" xr:uid="{00000000-0005-0000-0000-0000B5210000}"/>
    <cellStyle name="Note 3 3 2 5 2" xfId="4490" xr:uid="{00000000-0005-0000-0000-0000B6210000}"/>
    <cellStyle name="Note 3 3 2 5 2 2" xfId="8712" xr:uid="{00000000-0005-0000-0000-0000B7210000}"/>
    <cellStyle name="Note 3 3 2 5 2 2 2" xfId="26485" xr:uid="{A935849A-45B5-48BB-9CFB-06FEF41690BA}"/>
    <cellStyle name="Note 3 3 2 5 2 2 2 2" xfId="43379" xr:uid="{FE1A1B4F-0EF3-4FEF-89FB-6978CCDCD8EC}"/>
    <cellStyle name="Note 3 3 2 5 2 2 3" xfId="18038" xr:uid="{1C134E48-480C-49F8-970B-6D5A19ED14EE}"/>
    <cellStyle name="Note 3 3 2 5 2 2 4" xfId="34932" xr:uid="{7FA2918C-830E-412A-B28D-021159F1872A}"/>
    <cellStyle name="Note 3 3 2 5 2 3" xfId="22268" xr:uid="{2D82B75F-A6C6-46FD-A6A4-4E1148F424CC}"/>
    <cellStyle name="Note 3 3 2 5 2 3 2" xfId="39162" xr:uid="{D68DA568-78C9-4EEE-951C-91439A6FD869}"/>
    <cellStyle name="Note 3 3 2 5 2 4" xfId="13821" xr:uid="{94A7B660-724C-4939-8433-38189CF318E1}"/>
    <cellStyle name="Note 3 3 2 5 2 5" xfId="30715" xr:uid="{FD6D06C7-B933-4BBA-9BF9-F54158E242DA}"/>
    <cellStyle name="Note 3 3 2 5 3" xfId="6567" xr:uid="{00000000-0005-0000-0000-0000B8210000}"/>
    <cellStyle name="Note 3 3 2 5 3 2" xfId="24340" xr:uid="{2235108D-8848-4548-833E-653B0C509F3B}"/>
    <cellStyle name="Note 3 3 2 5 3 2 2" xfId="41234" xr:uid="{9727EE00-09C9-4315-92C2-2B9C08CE3FAF}"/>
    <cellStyle name="Note 3 3 2 5 3 3" xfId="15893" xr:uid="{8D69D678-AD1C-428C-9DA6-9F10B164E8E5}"/>
    <cellStyle name="Note 3 3 2 5 3 4" xfId="32787" xr:uid="{BF68DEFC-B5F3-4D84-935C-0F93638D3472}"/>
    <cellStyle name="Note 3 3 2 5 4" xfId="20123" xr:uid="{88FAAA02-7E8D-4406-BA3A-3E74E561AB7D}"/>
    <cellStyle name="Note 3 3 2 5 4 2" xfId="37017" xr:uid="{548CD14F-627D-4791-8B75-753A7F330EE5}"/>
    <cellStyle name="Note 3 3 2 5 5" xfId="11676" xr:uid="{0CF7BFF7-6A73-4D52-982D-AF707DFC9AF4}"/>
    <cellStyle name="Note 3 3 2 5 6" xfId="28570" xr:uid="{15F90CA7-A5DE-409B-8763-EDD82E708A86}"/>
    <cellStyle name="Note 3 3 2 6" xfId="2697" xr:uid="{00000000-0005-0000-0000-0000B9210000}"/>
    <cellStyle name="Note 3 3 2 6 2" xfId="6980" xr:uid="{00000000-0005-0000-0000-0000BA210000}"/>
    <cellStyle name="Note 3 3 2 6 2 2" xfId="24753" xr:uid="{E082B9B9-50C2-44DC-B58F-CE2289F8F263}"/>
    <cellStyle name="Note 3 3 2 6 2 2 2" xfId="41647" xr:uid="{42D31620-FA6D-47AD-9EC8-361EEEA252F1}"/>
    <cellStyle name="Note 3 3 2 6 2 3" xfId="16306" xr:uid="{F62C6944-A146-4A85-B05D-8E97AFA56FE8}"/>
    <cellStyle name="Note 3 3 2 6 2 4" xfId="33200" xr:uid="{BA57C343-9F1C-401B-A9B4-BFEF32F64C9C}"/>
    <cellStyle name="Note 3 3 2 6 3" xfId="20536" xr:uid="{E550802E-EF42-4619-914B-158B017824F4}"/>
    <cellStyle name="Note 3 3 2 6 3 2" xfId="37430" xr:uid="{F37578B3-4702-4E82-9527-7B95A8124D7A}"/>
    <cellStyle name="Note 3 3 2 6 4" xfId="12089" xr:uid="{F22FCFEC-4C34-46B0-8206-DD8A8907FAD1}"/>
    <cellStyle name="Note 3 3 2 6 5" xfId="28983" xr:uid="{935C62EA-648A-4CD3-9E16-C6CD5FC581D9}"/>
    <cellStyle name="Note 3 3 2 7" xfId="2756" xr:uid="{00000000-0005-0000-0000-0000BB210000}"/>
    <cellStyle name="Note 3 3 2 8" xfId="2837" xr:uid="{00000000-0005-0000-0000-0000BC210000}"/>
    <cellStyle name="Note 3 3 2 8 2" xfId="7060" xr:uid="{00000000-0005-0000-0000-0000BD210000}"/>
    <cellStyle name="Note 3 3 2 8 2 2" xfId="24833" xr:uid="{B55B811D-6A1A-485B-B755-A17DA7CD213F}"/>
    <cellStyle name="Note 3 3 2 8 2 2 2" xfId="41727" xr:uid="{FAB2CBFA-A4D3-488F-B03D-6F808B1C567E}"/>
    <cellStyle name="Note 3 3 2 8 2 3" xfId="16386" xr:uid="{7F07B6FB-30EE-44AF-A7C3-C326067A5C2C}"/>
    <cellStyle name="Note 3 3 2 8 2 4" xfId="33280" xr:uid="{5B3CA98C-E7A5-4F5C-8123-7FF2ABA97DB2}"/>
    <cellStyle name="Note 3 3 2 8 3" xfId="20616" xr:uid="{14D60A3C-B09D-430C-8B67-45964F9987C1}"/>
    <cellStyle name="Note 3 3 2 8 3 2" xfId="37510" xr:uid="{B5E35F7C-D81D-4889-9D91-77E6931BBD49}"/>
    <cellStyle name="Note 3 3 2 8 4" xfId="12169" xr:uid="{C668F08E-4587-45F7-82F2-F31FB54EB879}"/>
    <cellStyle name="Note 3 3 2 8 5" xfId="29063" xr:uid="{7335BA83-39B7-432F-84AB-2F56BE981D1F}"/>
    <cellStyle name="Note 3 3 2 9" xfId="4915" xr:uid="{00000000-0005-0000-0000-0000BE210000}"/>
    <cellStyle name="Note 3 3 2 9 2" xfId="22688" xr:uid="{8C0680AE-BA19-4EEA-865C-40EC3CC1BE15}"/>
    <cellStyle name="Note 3 3 2 9 2 2" xfId="39582" xr:uid="{2786CB89-96BF-4D54-BCD5-A29F6EA4D41E}"/>
    <cellStyle name="Note 3 3 2 9 3" xfId="14241" xr:uid="{5FC61E99-5878-48BE-BCD1-9D60928E541A}"/>
    <cellStyle name="Note 3 3 2 9 4" xfId="31135" xr:uid="{F8174790-F554-46D2-8350-5379472CED34}"/>
    <cellStyle name="Note 3 3 3" xfId="1018" xr:uid="{00000000-0005-0000-0000-0000BF210000}"/>
    <cellStyle name="Note 3 3 3 2" xfId="3250" xr:uid="{00000000-0005-0000-0000-0000C0210000}"/>
    <cellStyle name="Note 3 3 3 2 2" xfId="7472" xr:uid="{00000000-0005-0000-0000-0000C1210000}"/>
    <cellStyle name="Note 3 3 3 2 2 2" xfId="25245" xr:uid="{BB03A6A5-9190-4F4D-AAC3-E49CA8900FAA}"/>
    <cellStyle name="Note 3 3 3 2 2 2 2" xfId="42139" xr:uid="{71C33B35-BDEB-45FB-8181-DDFA4B5D34F7}"/>
    <cellStyle name="Note 3 3 3 2 2 3" xfId="16798" xr:uid="{90C6612A-E0D3-40EB-9345-C596319BED1B}"/>
    <cellStyle name="Note 3 3 3 2 2 4" xfId="33692" xr:uid="{AAC016BC-6988-472A-A1A4-C0ED620627EB}"/>
    <cellStyle name="Note 3 3 3 2 3" xfId="21028" xr:uid="{93E79083-9A22-4A2A-8FFF-5C1720B0144F}"/>
    <cellStyle name="Note 3 3 3 2 3 2" xfId="37922" xr:uid="{6BB52A19-3B9E-4D3D-8EA9-145695885B48}"/>
    <cellStyle name="Note 3 3 3 2 4" xfId="12581" xr:uid="{E50BEFE3-92B3-4052-9268-66ED8F6D604A}"/>
    <cellStyle name="Note 3 3 3 2 5" xfId="29475" xr:uid="{B59D6653-FCDC-4815-9662-EDF41A07E366}"/>
    <cellStyle name="Note 3 3 3 3" xfId="5327" xr:uid="{00000000-0005-0000-0000-0000C2210000}"/>
    <cellStyle name="Note 3 3 3 3 2" xfId="23100" xr:uid="{1C22CC70-6952-4F6E-95E3-681CDAA1FC6C}"/>
    <cellStyle name="Note 3 3 3 3 2 2" xfId="39994" xr:uid="{7DE91AB4-1AFA-4F51-B1D2-B29B6D5FBBCA}"/>
    <cellStyle name="Note 3 3 3 3 3" xfId="14653" xr:uid="{B4CC7F93-DA9A-4F03-AC3A-6EAA2806BB28}"/>
    <cellStyle name="Note 3 3 3 3 4" xfId="31547" xr:uid="{317DF8A6-BC7D-45C7-8AC2-CC770638E0E2}"/>
    <cellStyle name="Note 3 3 3 4" xfId="9317" xr:uid="{171D8024-554D-4F15-BFD3-81CBE1A601EA}"/>
    <cellStyle name="Note 3 3 3 4 2" xfId="18883" xr:uid="{D1FC76DC-773B-48C7-83C3-A1E1DD8A1EED}"/>
    <cellStyle name="Note 3 3 3 4 3" xfId="35777" xr:uid="{13B593E2-4F1F-44B4-AC9B-7F3EF71F3485}"/>
    <cellStyle name="Note 3 3 3 5" xfId="10436" xr:uid="{FDFE1ECB-46E6-4B7B-B7B1-C8DF6B4D819C}"/>
    <cellStyle name="Note 3 3 3 6" xfId="27330" xr:uid="{175F2A5C-0E0A-4B0A-8C13-5CE952486FE1}"/>
    <cellStyle name="Note 3 3 4" xfId="1433" xr:uid="{00000000-0005-0000-0000-0000C3210000}"/>
    <cellStyle name="Note 3 3 4 2" xfId="3663" xr:uid="{00000000-0005-0000-0000-0000C4210000}"/>
    <cellStyle name="Note 3 3 4 2 2" xfId="7885" xr:uid="{00000000-0005-0000-0000-0000C5210000}"/>
    <cellStyle name="Note 3 3 4 2 2 2" xfId="25658" xr:uid="{2500E3E7-760B-43E4-ACE6-18F1F6516B06}"/>
    <cellStyle name="Note 3 3 4 2 2 2 2" xfId="42552" xr:uid="{91DA9B09-CA9E-4FA7-AEDC-320A101E1352}"/>
    <cellStyle name="Note 3 3 4 2 2 3" xfId="17211" xr:uid="{F770A27F-5FF6-4AE7-AB0B-691A6D7437D0}"/>
    <cellStyle name="Note 3 3 4 2 2 4" xfId="34105" xr:uid="{177DCE38-391E-473F-80DC-7C6E87C9BCCA}"/>
    <cellStyle name="Note 3 3 4 2 3" xfId="21441" xr:uid="{7669D8E6-8688-4C4D-A2E3-52DDF98411D4}"/>
    <cellStyle name="Note 3 3 4 2 3 2" xfId="38335" xr:uid="{E902C894-EF89-4B09-8E40-6C579AE89E31}"/>
    <cellStyle name="Note 3 3 4 2 4" xfId="12994" xr:uid="{80108D87-4BE8-4343-9F92-5462F85B0E38}"/>
    <cellStyle name="Note 3 3 4 2 5" xfId="29888" xr:uid="{05AD4785-2BF3-4076-8BA1-23C8BDFF4E7C}"/>
    <cellStyle name="Note 3 3 4 3" xfId="5740" xr:uid="{00000000-0005-0000-0000-0000C6210000}"/>
    <cellStyle name="Note 3 3 4 3 2" xfId="23513" xr:uid="{C0BB7A6A-1402-444A-930E-8B47984BF76D}"/>
    <cellStyle name="Note 3 3 4 3 2 2" xfId="40407" xr:uid="{FC62C145-16C4-488C-94D3-683365459965}"/>
    <cellStyle name="Note 3 3 4 3 3" xfId="15066" xr:uid="{D7622883-1C39-43BB-A265-5B8A3C8B74F1}"/>
    <cellStyle name="Note 3 3 4 3 4" xfId="31960" xr:uid="{F1897F70-C9BF-47FE-8A04-72DCB93A1B98}"/>
    <cellStyle name="Note 3 3 4 4" xfId="19296" xr:uid="{803974E9-4B97-4170-818F-36253B36EEAA}"/>
    <cellStyle name="Note 3 3 4 4 2" xfId="36190" xr:uid="{D3598329-10C9-4F35-8293-A6A5C515010F}"/>
    <cellStyle name="Note 3 3 4 5" xfId="10849" xr:uid="{44A556A5-69D2-4CD0-B908-1A69D2B2192F}"/>
    <cellStyle name="Note 3 3 4 6" xfId="27743" xr:uid="{E15E40C5-00A7-46F1-9B77-EC025442042E}"/>
    <cellStyle name="Note 3 3 5" xfId="1847" xr:uid="{00000000-0005-0000-0000-0000C7210000}"/>
    <cellStyle name="Note 3 3 5 2" xfId="4076" xr:uid="{00000000-0005-0000-0000-0000C8210000}"/>
    <cellStyle name="Note 3 3 5 2 2" xfId="8298" xr:uid="{00000000-0005-0000-0000-0000C9210000}"/>
    <cellStyle name="Note 3 3 5 2 2 2" xfId="26071" xr:uid="{EE356F68-D294-4D1E-A0D5-1E0593A00E36}"/>
    <cellStyle name="Note 3 3 5 2 2 2 2" xfId="42965" xr:uid="{F493EECA-A0AF-4AFB-9B9C-DB6B149BE029}"/>
    <cellStyle name="Note 3 3 5 2 2 3" xfId="17624" xr:uid="{E4B6193F-4A65-47B3-B4E5-3F3BC04765D9}"/>
    <cellStyle name="Note 3 3 5 2 2 4" xfId="34518" xr:uid="{2EDF19BD-7217-4A54-8042-7E82C079AE57}"/>
    <cellStyle name="Note 3 3 5 2 3" xfId="21854" xr:uid="{FECCF40C-FB3F-482D-A75F-5B7DC0232871}"/>
    <cellStyle name="Note 3 3 5 2 3 2" xfId="38748" xr:uid="{A88DD714-79E8-42D6-826E-A2A6AAA27A34}"/>
    <cellStyle name="Note 3 3 5 2 4" xfId="13407" xr:uid="{DE03FBD1-0906-4DC1-AE93-79823655E6C9}"/>
    <cellStyle name="Note 3 3 5 2 5" xfId="30301" xr:uid="{ED42AE75-72DE-4D2A-A2BE-0F5388821BC5}"/>
    <cellStyle name="Note 3 3 5 3" xfId="6153" xr:uid="{00000000-0005-0000-0000-0000CA210000}"/>
    <cellStyle name="Note 3 3 5 3 2" xfId="23926" xr:uid="{D5932ACF-176B-46A0-9838-BDAB1CF80D2C}"/>
    <cellStyle name="Note 3 3 5 3 2 2" xfId="40820" xr:uid="{69FC8E9B-E20D-4415-95CB-3F21DE085495}"/>
    <cellStyle name="Note 3 3 5 3 3" xfId="15479" xr:uid="{C5FA503E-5F38-4006-886E-E0A1929FCE9E}"/>
    <cellStyle name="Note 3 3 5 3 4" xfId="32373" xr:uid="{016FFBC8-EA4E-491D-92E7-3D3A23D394A9}"/>
    <cellStyle name="Note 3 3 5 4" xfId="19709" xr:uid="{5603D0DC-1BBC-4EA1-A9C8-CF7BDB3BCCC3}"/>
    <cellStyle name="Note 3 3 5 4 2" xfId="36603" xr:uid="{DCE779F2-386C-4F66-BE3E-8CCF21D88934}"/>
    <cellStyle name="Note 3 3 5 5" xfId="11262" xr:uid="{5BFF3500-ACD9-47E8-8126-DD8976688E33}"/>
    <cellStyle name="Note 3 3 5 6" xfId="28156" xr:uid="{B6079EA1-A8C4-4BDC-ADB8-EC5B6993DD83}"/>
    <cellStyle name="Note 3 3 6" xfId="2260" xr:uid="{00000000-0005-0000-0000-0000CB210000}"/>
    <cellStyle name="Note 3 3 6 2" xfId="4489" xr:uid="{00000000-0005-0000-0000-0000CC210000}"/>
    <cellStyle name="Note 3 3 6 2 2" xfId="8711" xr:uid="{00000000-0005-0000-0000-0000CD210000}"/>
    <cellStyle name="Note 3 3 6 2 2 2" xfId="26484" xr:uid="{C68D2801-5660-4B04-AB00-D226C0D84903}"/>
    <cellStyle name="Note 3 3 6 2 2 2 2" xfId="43378" xr:uid="{0E0E1717-65E3-4CFD-B39E-990D6F8D6756}"/>
    <cellStyle name="Note 3 3 6 2 2 3" xfId="18037" xr:uid="{5DB2E27B-B762-4559-BA5C-28C70AE74C97}"/>
    <cellStyle name="Note 3 3 6 2 2 4" xfId="34931" xr:uid="{550C18AC-AF04-4887-8B7A-68866025C7C4}"/>
    <cellStyle name="Note 3 3 6 2 3" xfId="22267" xr:uid="{69ED7D8E-85B9-4E96-B757-D3749D649737}"/>
    <cellStyle name="Note 3 3 6 2 3 2" xfId="39161" xr:uid="{8DE5FBF2-3B37-42FA-A132-633EA729FE4B}"/>
    <cellStyle name="Note 3 3 6 2 4" xfId="13820" xr:uid="{CCFE2B7A-5AA4-4EB7-A1C2-99ACCC092DCE}"/>
    <cellStyle name="Note 3 3 6 2 5" xfId="30714" xr:uid="{C82C0509-D728-4142-AF1B-29EC4C01039D}"/>
    <cellStyle name="Note 3 3 6 3" xfId="6566" xr:uid="{00000000-0005-0000-0000-0000CE210000}"/>
    <cellStyle name="Note 3 3 6 3 2" xfId="24339" xr:uid="{EEE59D21-CF93-4FCA-925C-7140EDEA3D47}"/>
    <cellStyle name="Note 3 3 6 3 2 2" xfId="41233" xr:uid="{D01153AA-EFDC-4BD9-BFCD-0FC7B659FF68}"/>
    <cellStyle name="Note 3 3 6 3 3" xfId="15892" xr:uid="{2B9222E7-CBA6-416C-84D5-5BC3CB453B9C}"/>
    <cellStyle name="Note 3 3 6 3 4" xfId="32786" xr:uid="{8DB06AC8-BE5F-4C45-A53F-E5C06F5F228B}"/>
    <cellStyle name="Note 3 3 6 4" xfId="20122" xr:uid="{86718CD1-67EF-4421-8144-FAFA56C9631B}"/>
    <cellStyle name="Note 3 3 6 4 2" xfId="37016" xr:uid="{64CAD5AB-69D5-4A94-B9C9-899DE3DCBDC6}"/>
    <cellStyle name="Note 3 3 6 5" xfId="11675" xr:uid="{A3963A38-71E7-45FE-A5CB-D541CE2DF3FC}"/>
    <cellStyle name="Note 3 3 6 6" xfId="28569" xr:uid="{78677F1C-FD68-452C-8D1D-1C53BE46B70B}"/>
    <cellStyle name="Note 3 3 7" xfId="2696" xr:uid="{00000000-0005-0000-0000-0000CF210000}"/>
    <cellStyle name="Note 3 3 7 2" xfId="6979" xr:uid="{00000000-0005-0000-0000-0000D0210000}"/>
    <cellStyle name="Note 3 3 7 2 2" xfId="24752" xr:uid="{CC03EB47-CFCE-495C-BA45-5FAE8842AE1B}"/>
    <cellStyle name="Note 3 3 7 2 2 2" xfId="41646" xr:uid="{FEB91751-C149-49FD-A5C1-6052996CA4DA}"/>
    <cellStyle name="Note 3 3 7 2 3" xfId="16305" xr:uid="{76F8AB11-D588-4BF0-ADB2-8E390352065C}"/>
    <cellStyle name="Note 3 3 7 2 4" xfId="33199" xr:uid="{102D91C7-3644-497E-8FDE-063494D8E498}"/>
    <cellStyle name="Note 3 3 7 3" xfId="20535" xr:uid="{A05F4CFD-AA3C-4951-8500-7862DA5F949D}"/>
    <cellStyle name="Note 3 3 7 3 2" xfId="37429" xr:uid="{030CA6A9-0B1B-4AA4-8692-01679499B3EC}"/>
    <cellStyle name="Note 3 3 7 4" xfId="12088" xr:uid="{06787813-68E6-48D7-B557-D49C19A6AEEE}"/>
    <cellStyle name="Note 3 3 7 5" xfId="28982" xr:uid="{2401E236-A8E1-4B74-A620-09F5102EA248}"/>
    <cellStyle name="Note 3 3 8" xfId="2755" xr:uid="{00000000-0005-0000-0000-0000D1210000}"/>
    <cellStyle name="Note 3 3 9" xfId="2836" xr:uid="{00000000-0005-0000-0000-0000D2210000}"/>
    <cellStyle name="Note 3 3 9 2" xfId="7059" xr:uid="{00000000-0005-0000-0000-0000D3210000}"/>
    <cellStyle name="Note 3 3 9 2 2" xfId="24832" xr:uid="{5E7E39BB-71A5-4D83-9CCB-5DB7F9BA649D}"/>
    <cellStyle name="Note 3 3 9 2 2 2" xfId="41726" xr:uid="{D539E604-BE9F-4E97-993B-679CB2ABBCB9}"/>
    <cellStyle name="Note 3 3 9 2 3" xfId="16385" xr:uid="{923E5EAB-150C-415D-8DE6-E04F544917ED}"/>
    <cellStyle name="Note 3 3 9 2 4" xfId="33279" xr:uid="{006E82F8-3685-456E-8856-E4E78F5EE6FD}"/>
    <cellStyle name="Note 3 3 9 3" xfId="20615" xr:uid="{28C9A88B-4914-4D34-B108-18C8496590AE}"/>
    <cellStyle name="Note 3 3 9 3 2" xfId="37509" xr:uid="{FA914126-118E-4B56-89E1-EEC7DB1032ED}"/>
    <cellStyle name="Note 3 3 9 4" xfId="12168" xr:uid="{157E8353-0C0D-4309-BB86-D32B828E41A0}"/>
    <cellStyle name="Note 3 3 9 5" xfId="29062" xr:uid="{24FC4D96-B6D0-40C4-9DBE-0B2F5F9E2C04}"/>
    <cellStyle name="Note 3 4" xfId="560" xr:uid="{00000000-0005-0000-0000-0000D4210000}"/>
    <cellStyle name="Note 3 4 10" xfId="8996" xr:uid="{0D704BEA-0820-4E61-9EA3-F4C1E73C6543}"/>
    <cellStyle name="Note 3 4 10 2" xfId="18472" xr:uid="{DA949D29-F7BC-4EC0-B874-356C01819882}"/>
    <cellStyle name="Note 3 4 10 3" xfId="35366" xr:uid="{868FB01A-F025-4639-843F-730ADBE16481}"/>
    <cellStyle name="Note 3 4 11" xfId="10025" xr:uid="{7774D888-3A9C-430B-B23B-FB10343A924A}"/>
    <cellStyle name="Note 3 4 12" xfId="26919" xr:uid="{055BD571-35F9-45C7-95E1-C2645A85E18A}"/>
    <cellStyle name="Note 3 4 2" xfId="1020" xr:uid="{00000000-0005-0000-0000-0000D5210000}"/>
    <cellStyle name="Note 3 4 2 2" xfId="3252" xr:uid="{00000000-0005-0000-0000-0000D6210000}"/>
    <cellStyle name="Note 3 4 2 2 2" xfId="7474" xr:uid="{00000000-0005-0000-0000-0000D7210000}"/>
    <cellStyle name="Note 3 4 2 2 2 2" xfId="25247" xr:uid="{E3008072-0787-42F3-95D4-2E479D4C7ED3}"/>
    <cellStyle name="Note 3 4 2 2 2 2 2" xfId="42141" xr:uid="{62D0B227-83AD-41C2-9B40-1124E728B1FB}"/>
    <cellStyle name="Note 3 4 2 2 2 3" xfId="16800" xr:uid="{CE336873-DA30-401F-B713-DBCE7A4D6C53}"/>
    <cellStyle name="Note 3 4 2 2 2 4" xfId="33694" xr:uid="{48989D9A-8251-41F3-BF29-D7BB63EB9A15}"/>
    <cellStyle name="Note 3 4 2 2 3" xfId="21030" xr:uid="{B02787F2-8AC0-4458-A7A5-B6AA8739AE16}"/>
    <cellStyle name="Note 3 4 2 2 3 2" xfId="37924" xr:uid="{DC4C1E84-11A9-4D21-9D3F-6D70E27AB3C0}"/>
    <cellStyle name="Note 3 4 2 2 4" xfId="12583" xr:uid="{DA7C5FFE-1DEF-4BE0-B168-C4C96B849220}"/>
    <cellStyle name="Note 3 4 2 2 5" xfId="29477" xr:uid="{504D9DE9-2DBE-47F1-8D97-38EE7623B507}"/>
    <cellStyle name="Note 3 4 2 3" xfId="5329" xr:uid="{00000000-0005-0000-0000-0000D8210000}"/>
    <cellStyle name="Note 3 4 2 3 2" xfId="23102" xr:uid="{DBF3F42A-D364-4FC2-8005-0A52CFC67878}"/>
    <cellStyle name="Note 3 4 2 3 2 2" xfId="39996" xr:uid="{7DA74E8A-3CF8-4DFF-8692-AE43194AA46F}"/>
    <cellStyle name="Note 3 4 2 3 3" xfId="14655" xr:uid="{72CEE183-3E4F-4013-A937-61BCB5A89837}"/>
    <cellStyle name="Note 3 4 2 3 4" xfId="31549" xr:uid="{AE9044A1-EA45-4011-8461-D815A39EFAD0}"/>
    <cellStyle name="Note 3 4 2 4" xfId="9421" xr:uid="{EC0A57E0-416C-4EC5-866A-A09E44531CB5}"/>
    <cellStyle name="Note 3 4 2 4 2" xfId="18885" xr:uid="{311FA26E-69A4-4EE3-98DC-6A1F3C36A069}"/>
    <cellStyle name="Note 3 4 2 4 3" xfId="35779" xr:uid="{B32AE0BA-20C2-4534-B9C2-AC7CEBF0DD12}"/>
    <cellStyle name="Note 3 4 2 5" xfId="10438" xr:uid="{3ADB350E-6B9B-4E5D-8566-FAD66F7B89CE}"/>
    <cellStyle name="Note 3 4 2 6" xfId="27332" xr:uid="{18595C6D-5364-48AF-B0AD-A5D0A53A60FF}"/>
    <cellStyle name="Note 3 4 3" xfId="1435" xr:uid="{00000000-0005-0000-0000-0000D9210000}"/>
    <cellStyle name="Note 3 4 3 2" xfId="3665" xr:uid="{00000000-0005-0000-0000-0000DA210000}"/>
    <cellStyle name="Note 3 4 3 2 2" xfId="7887" xr:uid="{00000000-0005-0000-0000-0000DB210000}"/>
    <cellStyle name="Note 3 4 3 2 2 2" xfId="25660" xr:uid="{24E38CD6-5554-4D9D-A50A-269C5792A011}"/>
    <cellStyle name="Note 3 4 3 2 2 2 2" xfId="42554" xr:uid="{50330766-BAD9-4AB6-ADDA-4B604E9A0C77}"/>
    <cellStyle name="Note 3 4 3 2 2 3" xfId="17213" xr:uid="{D0F8B847-BA6C-47C9-948E-5BA2035EF33E}"/>
    <cellStyle name="Note 3 4 3 2 2 4" xfId="34107" xr:uid="{296ED398-E0BC-4C1C-9834-2E4E630B6B60}"/>
    <cellStyle name="Note 3 4 3 2 3" xfId="21443" xr:uid="{793CCAF0-11AF-436C-9FA9-2ADD37C23E49}"/>
    <cellStyle name="Note 3 4 3 2 3 2" xfId="38337" xr:uid="{E3A0EA2D-E61E-47E1-BCF6-E4328CDEAC06}"/>
    <cellStyle name="Note 3 4 3 2 4" xfId="12996" xr:uid="{773A4553-D4B6-402D-B163-CE783C86E621}"/>
    <cellStyle name="Note 3 4 3 2 5" xfId="29890" xr:uid="{63C178C5-2773-4F34-AD33-9970E235F093}"/>
    <cellStyle name="Note 3 4 3 3" xfId="5742" xr:uid="{00000000-0005-0000-0000-0000DC210000}"/>
    <cellStyle name="Note 3 4 3 3 2" xfId="23515" xr:uid="{33BB3EB5-AA5F-48E1-8D5B-215E1916B799}"/>
    <cellStyle name="Note 3 4 3 3 2 2" xfId="40409" xr:uid="{4C611ED6-16BE-4862-926E-0B2199169E78}"/>
    <cellStyle name="Note 3 4 3 3 3" xfId="15068" xr:uid="{7612686F-A71B-41B2-A96D-7CD8838F2FFA}"/>
    <cellStyle name="Note 3 4 3 3 4" xfId="31962" xr:uid="{B4C91BD4-C73B-4C53-9A23-116772A85904}"/>
    <cellStyle name="Note 3 4 3 4" xfId="19298" xr:uid="{F9AC3724-C78C-42E7-81D9-C91CB6C53B39}"/>
    <cellStyle name="Note 3 4 3 4 2" xfId="36192" xr:uid="{C4BF85CE-600A-477E-83B4-1001F679A80C}"/>
    <cellStyle name="Note 3 4 3 5" xfId="10851" xr:uid="{4DAC50E9-2A10-4783-A518-EDE3AC86BCD4}"/>
    <cellStyle name="Note 3 4 3 6" xfId="27745" xr:uid="{20881C1C-8E5F-4289-AEBC-89EC0D7170FD}"/>
    <cellStyle name="Note 3 4 4" xfId="1849" xr:uid="{00000000-0005-0000-0000-0000DD210000}"/>
    <cellStyle name="Note 3 4 4 2" xfId="4078" xr:uid="{00000000-0005-0000-0000-0000DE210000}"/>
    <cellStyle name="Note 3 4 4 2 2" xfId="8300" xr:uid="{00000000-0005-0000-0000-0000DF210000}"/>
    <cellStyle name="Note 3 4 4 2 2 2" xfId="26073" xr:uid="{A0398BE4-1992-432F-B337-55F37A53AF09}"/>
    <cellStyle name="Note 3 4 4 2 2 2 2" xfId="42967" xr:uid="{411A39E5-30D6-45D4-B1D8-60FC8A26D85C}"/>
    <cellStyle name="Note 3 4 4 2 2 3" xfId="17626" xr:uid="{76345266-B021-4B75-B2A6-EE854A214635}"/>
    <cellStyle name="Note 3 4 4 2 2 4" xfId="34520" xr:uid="{388BC30D-2EA8-4574-B109-CBD3C86D90B7}"/>
    <cellStyle name="Note 3 4 4 2 3" xfId="21856" xr:uid="{2E3B8E96-58CD-4069-8606-98B779EFE1DD}"/>
    <cellStyle name="Note 3 4 4 2 3 2" xfId="38750" xr:uid="{F2D22D08-748B-4812-9273-6BDDEEB5EA9D}"/>
    <cellStyle name="Note 3 4 4 2 4" xfId="13409" xr:uid="{DAA9B011-CE96-4E3E-881C-76C7553723EF}"/>
    <cellStyle name="Note 3 4 4 2 5" xfId="30303" xr:uid="{387EEC33-8E3E-45DC-B6DC-9AF763261F8D}"/>
    <cellStyle name="Note 3 4 4 3" xfId="6155" xr:uid="{00000000-0005-0000-0000-0000E0210000}"/>
    <cellStyle name="Note 3 4 4 3 2" xfId="23928" xr:uid="{ABDD2051-2145-426D-8DD5-A6DCBEE75027}"/>
    <cellStyle name="Note 3 4 4 3 2 2" xfId="40822" xr:uid="{3E160260-180F-42D6-B7B7-FFB8D6FDC29C}"/>
    <cellStyle name="Note 3 4 4 3 3" xfId="15481" xr:uid="{5AAC35A6-5DA0-49EA-990F-1C0CF6A2EA82}"/>
    <cellStyle name="Note 3 4 4 3 4" xfId="32375" xr:uid="{6A251B54-9A10-42A6-A45C-85C7F44ADA1E}"/>
    <cellStyle name="Note 3 4 4 4" xfId="19711" xr:uid="{CEDDCD08-6308-4B0A-AB6B-3B469C910580}"/>
    <cellStyle name="Note 3 4 4 4 2" xfId="36605" xr:uid="{3399B4AE-36C1-4578-B258-1564CB6A9EC9}"/>
    <cellStyle name="Note 3 4 4 5" xfId="11264" xr:uid="{671D9A34-D104-4A01-B5C9-E2394218C181}"/>
    <cellStyle name="Note 3 4 4 6" xfId="28158" xr:uid="{3F63A606-174E-47F3-94AA-783FC0DACF63}"/>
    <cellStyle name="Note 3 4 5" xfId="2262" xr:uid="{00000000-0005-0000-0000-0000E1210000}"/>
    <cellStyle name="Note 3 4 5 2" xfId="4491" xr:uid="{00000000-0005-0000-0000-0000E2210000}"/>
    <cellStyle name="Note 3 4 5 2 2" xfId="8713" xr:uid="{00000000-0005-0000-0000-0000E3210000}"/>
    <cellStyle name="Note 3 4 5 2 2 2" xfId="26486" xr:uid="{4A12AC54-C22C-4AAA-B158-1202357FF66C}"/>
    <cellStyle name="Note 3 4 5 2 2 2 2" xfId="43380" xr:uid="{64E3B084-E06E-4344-B5A8-0703C7088A43}"/>
    <cellStyle name="Note 3 4 5 2 2 3" xfId="18039" xr:uid="{F4D4EB3B-4808-463B-A12A-EE30E0E7BE9D}"/>
    <cellStyle name="Note 3 4 5 2 2 4" xfId="34933" xr:uid="{BE4B3E96-8AC3-468A-A6D9-1CF6AEF6B61E}"/>
    <cellStyle name="Note 3 4 5 2 3" xfId="22269" xr:uid="{CAB9D5E5-5715-469B-8244-ACCF8B895F15}"/>
    <cellStyle name="Note 3 4 5 2 3 2" xfId="39163" xr:uid="{D071F50B-F68F-410B-9415-3DDD3AF600AD}"/>
    <cellStyle name="Note 3 4 5 2 4" xfId="13822" xr:uid="{F1302AD5-EF83-4BA9-96B3-23BDBA01517F}"/>
    <cellStyle name="Note 3 4 5 2 5" xfId="30716" xr:uid="{2354441D-026C-4D6C-A1A7-28D7DF923A31}"/>
    <cellStyle name="Note 3 4 5 3" xfId="6568" xr:uid="{00000000-0005-0000-0000-0000E4210000}"/>
    <cellStyle name="Note 3 4 5 3 2" xfId="24341" xr:uid="{ED23C13B-6EC5-46DE-A698-83A0B5DBD76B}"/>
    <cellStyle name="Note 3 4 5 3 2 2" xfId="41235" xr:uid="{5A0FD4E1-BB99-4701-A7ED-9B51A68A94C9}"/>
    <cellStyle name="Note 3 4 5 3 3" xfId="15894" xr:uid="{DD094CD3-DEA0-4207-81CD-D1F6D723F0EC}"/>
    <cellStyle name="Note 3 4 5 3 4" xfId="32788" xr:uid="{7CE6E170-3AEA-4ECD-B080-CF10A1554EF5}"/>
    <cellStyle name="Note 3 4 5 4" xfId="20124" xr:uid="{8186D365-79BE-4A91-A2D9-A657DF3D9B44}"/>
    <cellStyle name="Note 3 4 5 4 2" xfId="37018" xr:uid="{F499FA72-C0AD-46FE-8A2C-0608DDE47960}"/>
    <cellStyle name="Note 3 4 5 5" xfId="11677" xr:uid="{5764F3D7-35A0-407A-A885-A46C01205C54}"/>
    <cellStyle name="Note 3 4 5 6" xfId="28571" xr:uid="{E3441115-FD7B-480F-A644-A41A8306A812}"/>
    <cellStyle name="Note 3 4 6" xfId="2698" xr:uid="{00000000-0005-0000-0000-0000E5210000}"/>
    <cellStyle name="Note 3 4 6 2" xfId="6981" xr:uid="{00000000-0005-0000-0000-0000E6210000}"/>
    <cellStyle name="Note 3 4 6 2 2" xfId="24754" xr:uid="{F0E804A0-489A-4D3C-9397-8EE367E10722}"/>
    <cellStyle name="Note 3 4 6 2 2 2" xfId="41648" xr:uid="{34B31357-2E69-4C66-8C45-BBF81BA6CA60}"/>
    <cellStyle name="Note 3 4 6 2 3" xfId="16307" xr:uid="{E881508E-FBF1-4355-9AEA-FF9DE833D325}"/>
    <cellStyle name="Note 3 4 6 2 4" xfId="33201" xr:uid="{EC6DFC53-4F26-4986-8EFD-5935911BBFEA}"/>
    <cellStyle name="Note 3 4 6 3" xfId="20537" xr:uid="{A5853930-6C23-4718-976D-E40E6A18E0F6}"/>
    <cellStyle name="Note 3 4 6 3 2" xfId="37431" xr:uid="{15AA3EBA-FF55-4D5D-8C8C-7FA85743E7DD}"/>
    <cellStyle name="Note 3 4 6 4" xfId="12090" xr:uid="{98774327-2866-41B0-96AF-B7C3A156537F}"/>
    <cellStyle name="Note 3 4 6 5" xfId="28984" xr:uid="{B0BE625A-D2ED-4331-AAA0-36D92B5CBCA6}"/>
    <cellStyle name="Note 3 4 7" xfId="2757" xr:uid="{00000000-0005-0000-0000-0000E7210000}"/>
    <cellStyle name="Note 3 4 8" xfId="2838" xr:uid="{00000000-0005-0000-0000-0000E8210000}"/>
    <cellStyle name="Note 3 4 8 2" xfId="7061" xr:uid="{00000000-0005-0000-0000-0000E9210000}"/>
    <cellStyle name="Note 3 4 8 2 2" xfId="24834" xr:uid="{258A6942-ED74-4402-80CE-DBC61F1A5290}"/>
    <cellStyle name="Note 3 4 8 2 2 2" xfId="41728" xr:uid="{68C62B97-2989-4810-B8E7-361E8D8620DD}"/>
    <cellStyle name="Note 3 4 8 2 3" xfId="16387" xr:uid="{1679E2F5-4598-49D2-974C-6D5EE74AA1EA}"/>
    <cellStyle name="Note 3 4 8 2 4" xfId="33281" xr:uid="{E10BC28A-9476-44FD-8141-B230BD00728E}"/>
    <cellStyle name="Note 3 4 8 3" xfId="20617" xr:uid="{B9D3A203-7CA8-4DBA-A9B2-471DB77A1AE4}"/>
    <cellStyle name="Note 3 4 8 3 2" xfId="37511" xr:uid="{F5A7D6F0-D2E9-40FE-BC17-F1CB793F6DB1}"/>
    <cellStyle name="Note 3 4 8 4" xfId="12170" xr:uid="{D183A322-15B6-44E3-A76D-5501E5F3EC8C}"/>
    <cellStyle name="Note 3 4 8 5" xfId="29064" xr:uid="{A70365AD-7692-49D5-AEF7-DBFE1874B6BB}"/>
    <cellStyle name="Note 3 4 9" xfId="4916" xr:uid="{00000000-0005-0000-0000-0000EA210000}"/>
    <cellStyle name="Note 3 4 9 2" xfId="22689" xr:uid="{166D74C3-8ABE-49B0-83A0-C1FAFEA8B7A9}"/>
    <cellStyle name="Note 3 4 9 2 2" xfId="39583" xr:uid="{775114F6-28B6-40EE-9FB6-C01EC26311F7}"/>
    <cellStyle name="Note 3 4 9 3" xfId="14242" xr:uid="{3F3A8C14-2255-4FB5-A147-F8B89DC82769}"/>
    <cellStyle name="Note 3 4 9 4" xfId="31136" xr:uid="{816E59C6-3878-4A23-9745-4FF96E78C432}"/>
    <cellStyle name="Note 3 5" xfId="561" xr:uid="{00000000-0005-0000-0000-0000EB210000}"/>
    <cellStyle name="Note 3 5 10" xfId="9213" xr:uid="{D9D7FB9A-B03C-4A97-A778-36731B43DF3F}"/>
    <cellStyle name="Note 3 5 10 2" xfId="18473" xr:uid="{E38ED2A9-755A-40BE-9D98-B1A0382BBDB7}"/>
    <cellStyle name="Note 3 5 10 3" xfId="35367" xr:uid="{03626626-2CDF-466D-9FA0-C6685657E3D0}"/>
    <cellStyle name="Note 3 5 11" xfId="10026" xr:uid="{2C59C13E-580A-4851-B980-E539CBEFCA0A}"/>
    <cellStyle name="Note 3 5 12" xfId="26920" xr:uid="{0B65434F-3997-4CB1-9841-194282459C7A}"/>
    <cellStyle name="Note 3 5 2" xfId="1021" xr:uid="{00000000-0005-0000-0000-0000EC210000}"/>
    <cellStyle name="Note 3 5 2 2" xfId="3253" xr:uid="{00000000-0005-0000-0000-0000ED210000}"/>
    <cellStyle name="Note 3 5 2 2 2" xfId="7475" xr:uid="{00000000-0005-0000-0000-0000EE210000}"/>
    <cellStyle name="Note 3 5 2 2 2 2" xfId="25248" xr:uid="{DD514175-8599-4839-B927-34A0168FB8D0}"/>
    <cellStyle name="Note 3 5 2 2 2 2 2" xfId="42142" xr:uid="{6F3F76BB-CD3F-47C5-9EBA-43F125E32172}"/>
    <cellStyle name="Note 3 5 2 2 2 3" xfId="16801" xr:uid="{D27D22DE-78CE-4F1F-A59B-1FD7D6B0D600}"/>
    <cellStyle name="Note 3 5 2 2 2 4" xfId="33695" xr:uid="{4D304988-631C-4B03-8C9F-D64B5E78602E}"/>
    <cellStyle name="Note 3 5 2 2 3" xfId="21031" xr:uid="{4D039024-2768-43E8-9A37-0E5F2ABB7409}"/>
    <cellStyle name="Note 3 5 2 2 3 2" xfId="37925" xr:uid="{036D9951-DFCB-4CF4-811C-B6AA39F84272}"/>
    <cellStyle name="Note 3 5 2 2 4" xfId="12584" xr:uid="{4E5EE171-1FDD-49BE-8C7A-907FB79012A0}"/>
    <cellStyle name="Note 3 5 2 2 5" xfId="29478" xr:uid="{B9C0C87F-CCDA-40B6-8B17-4B8AE115AEFC}"/>
    <cellStyle name="Note 3 5 2 3" xfId="5330" xr:uid="{00000000-0005-0000-0000-0000EF210000}"/>
    <cellStyle name="Note 3 5 2 3 2" xfId="23103" xr:uid="{A59BCFE3-1460-4D2D-B5E4-C83536B32F2F}"/>
    <cellStyle name="Note 3 5 2 3 2 2" xfId="39997" xr:uid="{00A3307A-5C4E-4A12-A0B4-FA709D3EEB06}"/>
    <cellStyle name="Note 3 5 2 3 3" xfId="14656" xr:uid="{43DD9F16-3F08-49F9-BA3E-821F7481BCD8}"/>
    <cellStyle name="Note 3 5 2 3 4" xfId="31550" xr:uid="{C246F5EE-9F79-4225-8D96-D4C51D28E689}"/>
    <cellStyle name="Note 3 5 2 4" xfId="9611" xr:uid="{74765414-66B3-4FDA-BA21-3BFFEF98E338}"/>
    <cellStyle name="Note 3 5 2 4 2" xfId="18886" xr:uid="{31331CDA-9034-49FE-860B-6BCB18122186}"/>
    <cellStyle name="Note 3 5 2 4 3" xfId="35780" xr:uid="{5B59978E-9119-4A6F-B9CC-C686BFAE639C}"/>
    <cellStyle name="Note 3 5 2 5" xfId="10439" xr:uid="{37DBB625-40D8-459C-9220-A0D55A03EDC2}"/>
    <cellStyle name="Note 3 5 2 6" xfId="27333" xr:uid="{FC53B406-AF4B-4941-93A2-2369E9C334B0}"/>
    <cellStyle name="Note 3 5 3" xfId="1436" xr:uid="{00000000-0005-0000-0000-0000F0210000}"/>
    <cellStyle name="Note 3 5 3 2" xfId="3666" xr:uid="{00000000-0005-0000-0000-0000F1210000}"/>
    <cellStyle name="Note 3 5 3 2 2" xfId="7888" xr:uid="{00000000-0005-0000-0000-0000F2210000}"/>
    <cellStyle name="Note 3 5 3 2 2 2" xfId="25661" xr:uid="{24C2EF21-0867-4806-9F2D-09091EFB9DCC}"/>
    <cellStyle name="Note 3 5 3 2 2 2 2" xfId="42555" xr:uid="{5942A4DE-3CB0-48D0-871B-B7AAD6BD307C}"/>
    <cellStyle name="Note 3 5 3 2 2 3" xfId="17214" xr:uid="{FD8F2655-832F-4A0B-BAFD-A377A99265DC}"/>
    <cellStyle name="Note 3 5 3 2 2 4" xfId="34108" xr:uid="{1D66DFF4-931D-4D3C-90EB-282FB2996C38}"/>
    <cellStyle name="Note 3 5 3 2 3" xfId="21444" xr:uid="{CED53453-0C15-42DA-98A6-A3A1FD382AE1}"/>
    <cellStyle name="Note 3 5 3 2 3 2" xfId="38338" xr:uid="{BF8708C1-3C42-4AAE-9457-F10F2E08DAD8}"/>
    <cellStyle name="Note 3 5 3 2 4" xfId="12997" xr:uid="{50AEAC0E-5E22-43AA-B8AB-F37BFC39D42A}"/>
    <cellStyle name="Note 3 5 3 2 5" xfId="29891" xr:uid="{E4FDCC87-F728-4196-868C-E68BA46B9919}"/>
    <cellStyle name="Note 3 5 3 3" xfId="5743" xr:uid="{00000000-0005-0000-0000-0000F3210000}"/>
    <cellStyle name="Note 3 5 3 3 2" xfId="23516" xr:uid="{31C310BC-C7C1-418D-A16D-61016B6ACF85}"/>
    <cellStyle name="Note 3 5 3 3 2 2" xfId="40410" xr:uid="{A1C7F7FE-95AB-4ECB-B13E-4CC491FA0A42}"/>
    <cellStyle name="Note 3 5 3 3 3" xfId="15069" xr:uid="{3821352A-7C9F-4E2F-8511-A0D2B8B41B34}"/>
    <cellStyle name="Note 3 5 3 3 4" xfId="31963" xr:uid="{A79B403E-C1F6-401A-8811-2D4F5842D1B4}"/>
    <cellStyle name="Note 3 5 3 4" xfId="19299" xr:uid="{B002DB44-D12A-4AED-9299-14DA4C9EC285}"/>
    <cellStyle name="Note 3 5 3 4 2" xfId="36193" xr:uid="{D24A5E7E-5094-4160-B841-AF68A52B8DD1}"/>
    <cellStyle name="Note 3 5 3 5" xfId="10852" xr:uid="{60B05935-1B4C-4890-97F2-2C8717DCD581}"/>
    <cellStyle name="Note 3 5 3 6" xfId="27746" xr:uid="{20772136-8A25-4A3C-AB70-E01D8F2F6E49}"/>
    <cellStyle name="Note 3 5 4" xfId="1850" xr:uid="{00000000-0005-0000-0000-0000F4210000}"/>
    <cellStyle name="Note 3 5 4 2" xfId="4079" xr:uid="{00000000-0005-0000-0000-0000F5210000}"/>
    <cellStyle name="Note 3 5 4 2 2" xfId="8301" xr:uid="{00000000-0005-0000-0000-0000F6210000}"/>
    <cellStyle name="Note 3 5 4 2 2 2" xfId="26074" xr:uid="{13CFFDE0-24F4-470B-BE71-9D228C8AC0BC}"/>
    <cellStyle name="Note 3 5 4 2 2 2 2" xfId="42968" xr:uid="{16959F48-1558-4B88-9533-B544F4B937D7}"/>
    <cellStyle name="Note 3 5 4 2 2 3" xfId="17627" xr:uid="{4E417659-30B8-4238-B318-1426FE0D965B}"/>
    <cellStyle name="Note 3 5 4 2 2 4" xfId="34521" xr:uid="{DC02F94B-783B-4F4B-A7F1-365CC9A3FEBB}"/>
    <cellStyle name="Note 3 5 4 2 3" xfId="21857" xr:uid="{738B0E5B-26C6-477D-8275-66684D6FB5AF}"/>
    <cellStyle name="Note 3 5 4 2 3 2" xfId="38751" xr:uid="{1AF32C15-51B2-483B-BFF5-9F4A1D674E6A}"/>
    <cellStyle name="Note 3 5 4 2 4" xfId="13410" xr:uid="{AD09570B-E89F-40DB-9889-677A10DE2A16}"/>
    <cellStyle name="Note 3 5 4 2 5" xfId="30304" xr:uid="{2728D041-48EE-46EE-8739-3082FF9429B8}"/>
    <cellStyle name="Note 3 5 4 3" xfId="6156" xr:uid="{00000000-0005-0000-0000-0000F7210000}"/>
    <cellStyle name="Note 3 5 4 3 2" xfId="23929" xr:uid="{DD44E5FF-B07E-4457-A9C6-2BE6CB8BA9E8}"/>
    <cellStyle name="Note 3 5 4 3 2 2" xfId="40823" xr:uid="{8B698373-097D-4021-9995-F84908711273}"/>
    <cellStyle name="Note 3 5 4 3 3" xfId="15482" xr:uid="{6ED6F865-F729-4781-AD25-D47B85ECD8E9}"/>
    <cellStyle name="Note 3 5 4 3 4" xfId="32376" xr:uid="{4F9BB145-9E2F-4ED7-B670-861A2DAA9AF5}"/>
    <cellStyle name="Note 3 5 4 4" xfId="19712" xr:uid="{BF0CEC02-6DB8-4C41-ADB9-6CED213D7EDA}"/>
    <cellStyle name="Note 3 5 4 4 2" xfId="36606" xr:uid="{2642F173-6A14-4E63-8EA9-CBA4149183C6}"/>
    <cellStyle name="Note 3 5 4 5" xfId="11265" xr:uid="{5232FE72-01C6-4BFC-B7E1-5116F6AD36E3}"/>
    <cellStyle name="Note 3 5 4 6" xfId="28159" xr:uid="{FB5E03D9-4F0F-4D82-BD7F-145EDC4A4EC5}"/>
    <cellStyle name="Note 3 5 5" xfId="2263" xr:uid="{00000000-0005-0000-0000-0000F8210000}"/>
    <cellStyle name="Note 3 5 5 2" xfId="4492" xr:uid="{00000000-0005-0000-0000-0000F9210000}"/>
    <cellStyle name="Note 3 5 5 2 2" xfId="8714" xr:uid="{00000000-0005-0000-0000-0000FA210000}"/>
    <cellStyle name="Note 3 5 5 2 2 2" xfId="26487" xr:uid="{F10F2EEF-B378-4A89-9F2D-D9B4E850388A}"/>
    <cellStyle name="Note 3 5 5 2 2 2 2" xfId="43381" xr:uid="{4A799BC9-9AF4-4542-A20C-20104BFD21C5}"/>
    <cellStyle name="Note 3 5 5 2 2 3" xfId="18040" xr:uid="{1B2E903E-76FF-4271-A2DA-3FCED0ECAD91}"/>
    <cellStyle name="Note 3 5 5 2 2 4" xfId="34934" xr:uid="{511D8952-49AF-4C18-BC2B-9A56D2020F63}"/>
    <cellStyle name="Note 3 5 5 2 3" xfId="22270" xr:uid="{9273E563-15B5-4593-AABA-82D2C523537F}"/>
    <cellStyle name="Note 3 5 5 2 3 2" xfId="39164" xr:uid="{4EB18CE1-7CD7-4DC0-A509-ED0B0004BC6D}"/>
    <cellStyle name="Note 3 5 5 2 4" xfId="13823" xr:uid="{6B188ECD-909F-4F8C-895C-B0417675DDAF}"/>
    <cellStyle name="Note 3 5 5 2 5" xfId="30717" xr:uid="{CAD507DF-3849-4E41-9342-0A7D2077ED47}"/>
    <cellStyle name="Note 3 5 5 3" xfId="6569" xr:uid="{00000000-0005-0000-0000-0000FB210000}"/>
    <cellStyle name="Note 3 5 5 3 2" xfId="24342" xr:uid="{E9BC9CF0-5E47-4749-AAC7-A2074A4E0136}"/>
    <cellStyle name="Note 3 5 5 3 2 2" xfId="41236" xr:uid="{914A3444-68E0-433C-9436-B1104A410450}"/>
    <cellStyle name="Note 3 5 5 3 3" xfId="15895" xr:uid="{4855BBBD-7368-4429-A34A-347D27F41803}"/>
    <cellStyle name="Note 3 5 5 3 4" xfId="32789" xr:uid="{3E1B7110-C371-41A2-92E6-DFC41763B3FC}"/>
    <cellStyle name="Note 3 5 5 4" xfId="20125" xr:uid="{848A74CE-88DE-4B56-85C9-D28A36861526}"/>
    <cellStyle name="Note 3 5 5 4 2" xfId="37019" xr:uid="{32C79DC7-595A-430F-A35F-378B6DA42339}"/>
    <cellStyle name="Note 3 5 5 5" xfId="11678" xr:uid="{ABD2208C-9A50-4B1C-AFBF-A5700C048147}"/>
    <cellStyle name="Note 3 5 5 6" xfId="28572" xr:uid="{D970CA0A-CB4D-4084-B08F-FDB28001391D}"/>
    <cellStyle name="Note 3 5 6" xfId="2699" xr:uid="{00000000-0005-0000-0000-0000FC210000}"/>
    <cellStyle name="Note 3 5 6 2" xfId="6982" xr:uid="{00000000-0005-0000-0000-0000FD210000}"/>
    <cellStyle name="Note 3 5 6 2 2" xfId="24755" xr:uid="{849B4570-0773-44A5-98E6-720C9C640DCB}"/>
    <cellStyle name="Note 3 5 6 2 2 2" xfId="41649" xr:uid="{E13FBF6D-8626-4424-9142-79EADEF28167}"/>
    <cellStyle name="Note 3 5 6 2 3" xfId="16308" xr:uid="{CD57D643-E7CB-47A3-9A31-BB055A39AFA6}"/>
    <cellStyle name="Note 3 5 6 2 4" xfId="33202" xr:uid="{224986CF-20A2-43F3-ADEF-D3F06866358E}"/>
    <cellStyle name="Note 3 5 6 3" xfId="20538" xr:uid="{7026AC2A-0B48-4569-8D23-2B14CA6F1321}"/>
    <cellStyle name="Note 3 5 6 3 2" xfId="37432" xr:uid="{ADFF8BA0-90AC-44F8-B860-D0DEA61FB310}"/>
    <cellStyle name="Note 3 5 6 4" xfId="12091" xr:uid="{FBC81BFA-B8C6-46D5-B792-B88F1BD3615F}"/>
    <cellStyle name="Note 3 5 6 5" xfId="28985" xr:uid="{5EFF41C0-553D-4DCF-B780-07B44DE59F30}"/>
    <cellStyle name="Note 3 5 7" xfId="2758" xr:uid="{00000000-0005-0000-0000-0000FE210000}"/>
    <cellStyle name="Note 3 5 8" xfId="2839" xr:uid="{00000000-0005-0000-0000-0000FF210000}"/>
    <cellStyle name="Note 3 5 8 2" xfId="7062" xr:uid="{00000000-0005-0000-0000-000000220000}"/>
    <cellStyle name="Note 3 5 8 2 2" xfId="24835" xr:uid="{EB8AF9B7-9748-4451-817D-BD3084EF0AF8}"/>
    <cellStyle name="Note 3 5 8 2 2 2" xfId="41729" xr:uid="{F6832C5C-FE8E-46C3-8977-5800CC274C13}"/>
    <cellStyle name="Note 3 5 8 2 3" xfId="16388" xr:uid="{AAFB9DB9-7801-4DF3-8ED9-861695E9962F}"/>
    <cellStyle name="Note 3 5 8 2 4" xfId="33282" xr:uid="{F0313B60-45B6-43FC-86B3-5915C73FF091}"/>
    <cellStyle name="Note 3 5 8 3" xfId="20618" xr:uid="{FA60BED0-531A-4703-AD89-1E8B773A76C4}"/>
    <cellStyle name="Note 3 5 8 3 2" xfId="37512" xr:uid="{1E100E26-701A-43D5-9242-35073F0DB41E}"/>
    <cellStyle name="Note 3 5 8 4" xfId="12171" xr:uid="{63DC6573-D1D3-40AC-9FA6-6836A912F540}"/>
    <cellStyle name="Note 3 5 8 5" xfId="29065" xr:uid="{BC95D65E-6F2F-4A6E-9EC0-C905BD9D5FCF}"/>
    <cellStyle name="Note 3 5 9" xfId="4917" xr:uid="{00000000-0005-0000-0000-000001220000}"/>
    <cellStyle name="Note 3 5 9 2" xfId="22690" xr:uid="{0145C32E-5A2B-4911-9FAE-E97EEDCDA892}"/>
    <cellStyle name="Note 3 5 9 2 2" xfId="39584" xr:uid="{CC0C919B-9A28-4E30-924A-6556C124FDD9}"/>
    <cellStyle name="Note 3 5 9 3" xfId="14243" xr:uid="{C0E5F780-2F63-43E2-8191-277DA5B8B714}"/>
    <cellStyle name="Note 3 5 9 4" xfId="31137" xr:uid="{F672397F-3F74-426F-88D2-9DE051AA7928}"/>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3 2 2" xfId="22273" xr:uid="{43065478-F395-4B1F-8E4E-EBF334B0894C}"/>
    <cellStyle name="Percent 3 2 3" xfId="39167" xr:uid="{4DE7C9D0-B54A-4250-8FE9-012A52A225D6}"/>
    <cellStyle name="Percent 3 3" xfId="13826" xr:uid="{E28A601D-FB4B-456D-93E2-E4E164BB462B}"/>
    <cellStyle name="Percent 3 4" xfId="30720" xr:uid="{54904866-4951-441A-89A8-63EFC1EDB7C8}"/>
    <cellStyle name="Percent 4" xfId="4502" xr:uid="{00000000-0005-0000-0000-000007220000}"/>
    <cellStyle name="Percent 4 2" xfId="8717" xr:uid="{00000000-0005-0000-0000-000008220000}"/>
    <cellStyle name="Percent 4 2 2" xfId="26490" xr:uid="{FFE47349-C0D7-466B-866E-885307E8627A}"/>
    <cellStyle name="Percent 4 2 2 2" xfId="43384" xr:uid="{1F855B0A-645C-4598-AAAD-2C210B7BB16F}"/>
    <cellStyle name="Percent 4 2 3" xfId="18043" xr:uid="{946B02AB-6144-4AC5-A73E-46B90D1294D3}"/>
    <cellStyle name="Percent 4 2 4" xfId="34937" xr:uid="{664175A4-6947-4EF4-883D-161E89AC8B72}"/>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Percent 4 3 2 2 2 2 2 2" xfId="26506" xr:uid="{E8ECC12B-A04A-40A4-A406-1876A1FFBC61}"/>
    <cellStyle name="Percent 4 3 2 2 2 2 2 3" xfId="43400" xr:uid="{9484DF25-0483-4918-8610-9D499081EE72}"/>
    <cellStyle name="Percent 4 3 2 2 2 2 3" xfId="18059" xr:uid="{B8121DD2-DE99-4949-8C59-2174B993B536}"/>
    <cellStyle name="Percent 4 3 2 2 2 2 4" xfId="34953" xr:uid="{DF2F3AB6-A78C-484C-9E49-28E365D648C1}"/>
    <cellStyle name="Percent 4 3 2 2 2 3" xfId="26503" xr:uid="{2A0A1E14-C0C4-4B29-978C-ADB33314FD6E}"/>
    <cellStyle name="Percent 4 3 2 2 2 3 2" xfId="43397" xr:uid="{FCF42DB7-5B40-4776-997C-038B2B178B05}"/>
    <cellStyle name="Percent 4 3 2 2 2 4" xfId="18056" xr:uid="{461F738D-7280-4733-AB7C-C0C505EFC5D8}"/>
    <cellStyle name="Percent 4 3 2 2 2 5" xfId="34950" xr:uid="{6023EB98-D46A-4ABE-872D-57513B141C19}"/>
    <cellStyle name="Percent 4 3 2 2 3" xfId="26499" xr:uid="{2D719E86-4410-4258-8C2D-41DE2F9C43C3}"/>
    <cellStyle name="Percent 4 3 2 2 3 2" xfId="43393" xr:uid="{A2E98093-833F-4579-AEE2-DB5F44601CD7}"/>
    <cellStyle name="Percent 4 3 2 2 4" xfId="18052" xr:uid="{9FCE8D72-6DE8-4AED-B188-65FD8EC9A5E2}"/>
    <cellStyle name="Percent 4 3 2 2 5" xfId="34946" xr:uid="{DF087BB5-8B55-4A01-B459-241CA9DE290B}"/>
    <cellStyle name="Percent 4 3 2 3" xfId="26496" xr:uid="{92D0472C-ADAC-478A-BAFE-FF5D37E185A8}"/>
    <cellStyle name="Percent 4 3 2 3 2" xfId="43390" xr:uid="{0252B8B9-263F-40E7-9B33-B6F91EB91C08}"/>
    <cellStyle name="Percent 4 3 2 4" xfId="18049" xr:uid="{32C713A7-C5DA-474B-882B-1617A8DC9E4F}"/>
    <cellStyle name="Percent 4 3 2 5" xfId="34943" xr:uid="{CA49336C-B97F-49DD-A964-0A2930D22BED}"/>
    <cellStyle name="Percent 4 3 3" xfId="26493" xr:uid="{9469E7E1-D8C9-4E31-A923-EAB67A7A74A8}"/>
    <cellStyle name="Percent 4 3 3 2" xfId="43387" xr:uid="{E897761C-630C-4250-A915-50F1B10D016A}"/>
    <cellStyle name="Percent 4 3 4" xfId="18046" xr:uid="{006DFD87-985D-4ECA-A28F-F939BCFBCAC1}"/>
    <cellStyle name="Percent 4 3 5" xfId="34940" xr:uid="{2522EB05-2367-4D6B-AFEC-5B8380CF257A}"/>
    <cellStyle name="Percent 4 4" xfId="22276" xr:uid="{5DA2B956-FC78-4DC1-8FBE-19972674ACB2}"/>
    <cellStyle name="Percent 4 4 2" xfId="39170" xr:uid="{E6F79727-34B9-4148-B81E-E370D60171C6}"/>
    <cellStyle name="Percent 4 5" xfId="13829" xr:uid="{A1F72587-E09D-4975-B29B-FDDBD6F0C6FA}"/>
    <cellStyle name="Percent 4 6" xfId="30723" xr:uid="{6B8464FB-BAD0-4229-B81E-398C5AC25451}"/>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468" t="s">
        <v>550</v>
      </c>
      <c r="B1" s="1468"/>
      <c r="C1" s="1468"/>
      <c r="D1" s="1468"/>
      <c r="E1" s="1468"/>
      <c r="F1" s="1468"/>
      <c r="G1" s="1468"/>
      <c r="H1" s="1468"/>
      <c r="I1" s="1468"/>
      <c r="J1" s="1468"/>
      <c r="K1" s="1468"/>
      <c r="L1" s="1468"/>
      <c r="M1" s="1468"/>
      <c r="N1" s="1468"/>
      <c r="O1" s="1468"/>
      <c r="P1" s="1468"/>
      <c r="Q1" s="1468"/>
      <c r="R1" s="1468"/>
      <c r="S1" s="1468"/>
      <c r="T1" s="1468"/>
      <c r="U1" s="1468"/>
      <c r="V1" s="1468"/>
      <c r="W1" s="1468"/>
      <c r="X1" s="1468"/>
      <c r="Y1" s="1468"/>
      <c r="Z1" s="1468"/>
      <c r="AA1" s="1468"/>
      <c r="AB1" s="1468"/>
      <c r="AC1" s="1468"/>
      <c r="AD1" s="1468"/>
      <c r="AE1" s="1468"/>
      <c r="AF1" s="1468"/>
      <c r="AG1" s="1468"/>
      <c r="AH1" s="1468"/>
      <c r="AI1" s="1468"/>
      <c r="AJ1" s="1468"/>
      <c r="AK1" s="1468"/>
      <c r="AL1" s="1468"/>
    </row>
    <row r="2" spans="1:38" ht="13.8" thickBot="1">
      <c r="A2" s="1820"/>
      <c r="B2" s="1820"/>
      <c r="C2" s="1820"/>
      <c r="D2" s="1820"/>
      <c r="E2" s="1820"/>
      <c r="F2" s="1820"/>
      <c r="G2" s="1820"/>
      <c r="H2" s="1820"/>
      <c r="I2" s="1820"/>
      <c r="J2" s="1820"/>
      <c r="K2" s="1820"/>
      <c r="L2" s="1820"/>
      <c r="M2" s="1820"/>
      <c r="N2" s="1820"/>
      <c r="O2" s="1820"/>
      <c r="P2" s="1820"/>
      <c r="Q2" s="1820"/>
      <c r="R2" s="1820"/>
      <c r="S2" s="1820"/>
      <c r="T2" s="1820"/>
      <c r="U2" s="1820"/>
      <c r="V2" s="1820"/>
      <c r="W2" s="1820"/>
      <c r="X2" s="1820"/>
      <c r="Y2" s="1820"/>
      <c r="Z2" s="1820"/>
      <c r="AA2" s="1820"/>
      <c r="AB2" s="1820"/>
      <c r="AC2" s="1820"/>
      <c r="AD2" s="1820"/>
      <c r="AE2" s="1820"/>
      <c r="AF2" s="1820"/>
      <c r="AG2" s="1820"/>
      <c r="AH2" s="1820"/>
      <c r="AI2" s="1820"/>
      <c r="AJ2" s="1820"/>
      <c r="AK2" s="1820"/>
      <c r="AL2" s="1820"/>
    </row>
    <row r="3" spans="1:38" ht="13.8"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460" t="s">
        <v>1988</v>
      </c>
      <c r="E7" s="1460"/>
      <c r="F7" s="1460"/>
      <c r="G7" s="1460"/>
      <c r="H7" s="1460"/>
      <c r="I7" s="1460"/>
      <c r="J7" s="1460"/>
      <c r="K7" s="1460"/>
      <c r="L7" s="1460"/>
      <c r="M7" s="1460"/>
      <c r="N7" s="1460"/>
      <c r="O7" s="1460"/>
      <c r="P7" s="1460"/>
      <c r="Q7" s="1460"/>
      <c r="R7" s="1460"/>
      <c r="S7" s="1460"/>
      <c r="T7" s="1460"/>
      <c r="U7" s="1460"/>
      <c r="V7" s="1460"/>
      <c r="W7" s="1460"/>
      <c r="X7" s="1460"/>
      <c r="Y7" s="1460"/>
      <c r="Z7" s="1460"/>
      <c r="AA7" s="1460"/>
      <c r="AB7" s="1460"/>
      <c r="AC7" s="1460"/>
      <c r="AD7" s="1460"/>
      <c r="AE7" s="1460"/>
      <c r="AF7" s="1460"/>
      <c r="AG7" s="1460"/>
      <c r="AH7" s="1460"/>
      <c r="AI7" s="1460"/>
      <c r="AJ7" s="1460"/>
      <c r="AK7" s="1460"/>
      <c r="AL7" s="451"/>
    </row>
    <row r="8" spans="1:38">
      <c r="A8" s="204"/>
      <c r="B8" s="204"/>
      <c r="C8" s="205"/>
      <c r="D8" s="1460"/>
      <c r="E8" s="1460"/>
      <c r="F8" s="1460"/>
      <c r="G8" s="1460"/>
      <c r="H8" s="1460"/>
      <c r="I8" s="1460"/>
      <c r="J8" s="1460"/>
      <c r="K8" s="1460"/>
      <c r="L8" s="1460"/>
      <c r="M8" s="1460"/>
      <c r="N8" s="1460"/>
      <c r="O8" s="1460"/>
      <c r="P8" s="1460"/>
      <c r="Q8" s="1460"/>
      <c r="R8" s="1460"/>
      <c r="S8" s="1460"/>
      <c r="T8" s="1460"/>
      <c r="U8" s="1460"/>
      <c r="V8" s="1460"/>
      <c r="W8" s="1460"/>
      <c r="X8" s="1460"/>
      <c r="Y8" s="1460"/>
      <c r="Z8" s="1460"/>
      <c r="AA8" s="1460"/>
      <c r="AB8" s="1460"/>
      <c r="AC8" s="1460"/>
      <c r="AD8" s="1460"/>
      <c r="AE8" s="1460"/>
      <c r="AF8" s="1460"/>
      <c r="AG8" s="1460"/>
      <c r="AH8" s="1460"/>
      <c r="AI8" s="1460"/>
      <c r="AJ8" s="1460"/>
      <c r="AK8" s="1460"/>
      <c r="AL8" s="451"/>
    </row>
    <row r="9" spans="1:38">
      <c r="A9" s="204"/>
      <c r="B9" s="204"/>
      <c r="C9" s="205"/>
      <c r="D9" s="1460"/>
      <c r="E9" s="1460"/>
      <c r="F9" s="1460"/>
      <c r="G9" s="1460"/>
      <c r="H9" s="1460"/>
      <c r="I9" s="1460"/>
      <c r="J9" s="1460"/>
      <c r="K9" s="1460"/>
      <c r="L9" s="1460"/>
      <c r="M9" s="1460"/>
      <c r="N9" s="1460"/>
      <c r="O9" s="1460"/>
      <c r="P9" s="1460"/>
      <c r="Q9" s="1460"/>
      <c r="R9" s="1460"/>
      <c r="S9" s="1460"/>
      <c r="T9" s="1460"/>
      <c r="U9" s="1460"/>
      <c r="V9" s="1460"/>
      <c r="W9" s="1460"/>
      <c r="X9" s="1460"/>
      <c r="Y9" s="1460"/>
      <c r="Z9" s="1460"/>
      <c r="AA9" s="1460"/>
      <c r="AB9" s="1460"/>
      <c r="AC9" s="1460"/>
      <c r="AD9" s="1460"/>
      <c r="AE9" s="1460"/>
      <c r="AF9" s="1460"/>
      <c r="AG9" s="1460"/>
      <c r="AH9" s="1460"/>
      <c r="AI9" s="1460"/>
      <c r="AJ9" s="1460"/>
      <c r="AK9" s="146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460" t="s">
        <v>1989</v>
      </c>
      <c r="E11" s="1460"/>
      <c r="F11" s="1460"/>
      <c r="G11" s="1460"/>
      <c r="H11" s="1460"/>
      <c r="I11" s="1460"/>
      <c r="J11" s="1460"/>
      <c r="K11" s="1460"/>
      <c r="L11" s="1460"/>
      <c r="M11" s="1460"/>
      <c r="N11" s="1460"/>
      <c r="O11" s="1460"/>
      <c r="P11" s="1460"/>
      <c r="Q11" s="1460"/>
      <c r="R11" s="1460"/>
      <c r="S11" s="1460"/>
      <c r="T11" s="1460"/>
      <c r="U11" s="1460"/>
      <c r="V11" s="1460"/>
      <c r="W11" s="1460"/>
      <c r="X11" s="1460"/>
      <c r="Y11" s="1460"/>
      <c r="Z11" s="1460"/>
      <c r="AA11" s="1460"/>
      <c r="AB11" s="1460"/>
      <c r="AC11" s="1460"/>
      <c r="AD11" s="1460"/>
      <c r="AE11" s="1460"/>
      <c r="AF11" s="1460"/>
      <c r="AG11" s="1460"/>
      <c r="AH11" s="1460"/>
      <c r="AI11" s="1460"/>
      <c r="AJ11" s="1460"/>
      <c r="AK11" s="1460"/>
      <c r="AL11" s="451"/>
    </row>
    <row r="12" spans="1:38">
      <c r="A12" s="204"/>
      <c r="B12" s="204"/>
      <c r="C12" s="205"/>
      <c r="D12" s="1460"/>
      <c r="E12" s="1460"/>
      <c r="F12" s="1460"/>
      <c r="G12" s="1460"/>
      <c r="H12" s="1460"/>
      <c r="I12" s="1460"/>
      <c r="J12" s="1460"/>
      <c r="K12" s="1460"/>
      <c r="L12" s="1460"/>
      <c r="M12" s="1460"/>
      <c r="N12" s="1460"/>
      <c r="O12" s="1460"/>
      <c r="P12" s="1460"/>
      <c r="Q12" s="1460"/>
      <c r="R12" s="1460"/>
      <c r="S12" s="1460"/>
      <c r="T12" s="1460"/>
      <c r="U12" s="1460"/>
      <c r="V12" s="1460"/>
      <c r="W12" s="1460"/>
      <c r="X12" s="1460"/>
      <c r="Y12" s="1460"/>
      <c r="Z12" s="1460"/>
      <c r="AA12" s="1460"/>
      <c r="AB12" s="1460"/>
      <c r="AC12" s="1460"/>
      <c r="AD12" s="1460"/>
      <c r="AE12" s="1460"/>
      <c r="AF12" s="1460"/>
      <c r="AG12" s="1460"/>
      <c r="AH12" s="1460"/>
      <c r="AI12" s="1460"/>
      <c r="AJ12" s="1460"/>
      <c r="AK12" s="1460"/>
      <c r="AL12" s="451"/>
    </row>
    <row r="13" spans="1:38">
      <c r="A13" s="204"/>
      <c r="B13" s="204"/>
      <c r="C13" s="205"/>
      <c r="D13" s="1460"/>
      <c r="E13" s="1460"/>
      <c r="F13" s="1460"/>
      <c r="G13" s="1460"/>
      <c r="H13" s="1460"/>
      <c r="I13" s="1460"/>
      <c r="J13" s="1460"/>
      <c r="K13" s="1460"/>
      <c r="L13" s="1460"/>
      <c r="M13" s="1460"/>
      <c r="N13" s="1460"/>
      <c r="O13" s="1460"/>
      <c r="P13" s="1460"/>
      <c r="Q13" s="1460"/>
      <c r="R13" s="1460"/>
      <c r="S13" s="1460"/>
      <c r="T13" s="1460"/>
      <c r="U13" s="1460"/>
      <c r="V13" s="1460"/>
      <c r="W13" s="1460"/>
      <c r="X13" s="1460"/>
      <c r="Y13" s="1460"/>
      <c r="Z13" s="1460"/>
      <c r="AA13" s="1460"/>
      <c r="AB13" s="1460"/>
      <c r="AC13" s="1460"/>
      <c r="AD13" s="1460"/>
      <c r="AE13" s="1460"/>
      <c r="AF13" s="1460"/>
      <c r="AG13" s="1460"/>
      <c r="AH13" s="1460"/>
      <c r="AI13" s="1460"/>
      <c r="AJ13" s="1460"/>
      <c r="AK13" s="146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460" t="s">
        <v>2634</v>
      </c>
      <c r="E15" s="1460"/>
      <c r="F15" s="1460"/>
      <c r="G15" s="1460"/>
      <c r="H15" s="1460"/>
      <c r="I15" s="1460"/>
      <c r="J15" s="1460"/>
      <c r="K15" s="1460"/>
      <c r="L15" s="1460"/>
      <c r="M15" s="1460"/>
      <c r="N15" s="1460"/>
      <c r="O15" s="1460"/>
      <c r="P15" s="1460"/>
      <c r="Q15" s="1460"/>
      <c r="R15" s="1460"/>
      <c r="S15" s="1460"/>
      <c r="T15" s="1460"/>
      <c r="U15" s="1460"/>
      <c r="V15" s="1460"/>
      <c r="W15" s="1460"/>
      <c r="X15" s="1460"/>
      <c r="Y15" s="1460"/>
      <c r="Z15" s="1460"/>
      <c r="AA15" s="1460"/>
      <c r="AB15" s="1460"/>
      <c r="AC15" s="1460"/>
      <c r="AD15" s="1460"/>
      <c r="AE15" s="1460"/>
      <c r="AF15" s="1460"/>
      <c r="AG15" s="1460"/>
      <c r="AH15" s="1460"/>
      <c r="AI15" s="1460"/>
      <c r="AJ15" s="1460"/>
      <c r="AK15" s="1460"/>
      <c r="AL15" s="451"/>
    </row>
    <row r="16" spans="1:38" ht="13.2" customHeight="1">
      <c r="A16" s="204"/>
      <c r="B16" s="204"/>
      <c r="C16" s="205"/>
      <c r="D16" s="1460"/>
      <c r="E16" s="1460"/>
      <c r="F16" s="1460"/>
      <c r="G16" s="1460"/>
      <c r="H16" s="1460"/>
      <c r="I16" s="1460"/>
      <c r="J16" s="1460"/>
      <c r="K16" s="1460"/>
      <c r="L16" s="1460"/>
      <c r="M16" s="1460"/>
      <c r="N16" s="1460"/>
      <c r="O16" s="1460"/>
      <c r="P16" s="1460"/>
      <c r="Q16" s="1460"/>
      <c r="R16" s="1460"/>
      <c r="S16" s="1460"/>
      <c r="T16" s="1460"/>
      <c r="U16" s="1460"/>
      <c r="V16" s="1460"/>
      <c r="W16" s="1460"/>
      <c r="X16" s="1460"/>
      <c r="Y16" s="1460"/>
      <c r="Z16" s="1460"/>
      <c r="AA16" s="1460"/>
      <c r="AB16" s="1460"/>
      <c r="AC16" s="1460"/>
      <c r="AD16" s="1460"/>
      <c r="AE16" s="1460"/>
      <c r="AF16" s="1460"/>
      <c r="AG16" s="1460"/>
      <c r="AH16" s="1460"/>
      <c r="AI16" s="1460"/>
      <c r="AJ16" s="1460"/>
      <c r="AK16" s="1460"/>
      <c r="AL16" s="451"/>
    </row>
    <row r="17" spans="1:38">
      <c r="A17" s="204"/>
      <c r="B17" s="204"/>
      <c r="C17" s="205"/>
      <c r="D17" s="1460"/>
      <c r="E17" s="1460"/>
      <c r="F17" s="1460"/>
      <c r="G17" s="1460"/>
      <c r="H17" s="1460"/>
      <c r="I17" s="1460"/>
      <c r="J17" s="1460"/>
      <c r="K17" s="1460"/>
      <c r="L17" s="1460"/>
      <c r="M17" s="1460"/>
      <c r="N17" s="1460"/>
      <c r="O17" s="1460"/>
      <c r="P17" s="1460"/>
      <c r="Q17" s="1460"/>
      <c r="R17" s="1460"/>
      <c r="S17" s="1460"/>
      <c r="T17" s="1460"/>
      <c r="U17" s="1460"/>
      <c r="V17" s="1460"/>
      <c r="W17" s="1460"/>
      <c r="X17" s="1460"/>
      <c r="Y17" s="1460"/>
      <c r="Z17" s="1460"/>
      <c r="AA17" s="1460"/>
      <c r="AB17" s="1460"/>
      <c r="AC17" s="1460"/>
      <c r="AD17" s="1460"/>
      <c r="AE17" s="1460"/>
      <c r="AF17" s="1460"/>
      <c r="AG17" s="1460"/>
      <c r="AH17" s="1460"/>
      <c r="AI17" s="1460"/>
      <c r="AJ17" s="1460"/>
      <c r="AK17" s="1460"/>
      <c r="AL17" s="451"/>
    </row>
    <row r="18" spans="1:38">
      <c r="A18" s="204"/>
      <c r="B18" s="204"/>
      <c r="C18" s="205"/>
      <c r="D18" s="515" t="s">
        <v>2522</v>
      </c>
      <c r="E18" s="437"/>
      <c r="G18" s="437"/>
      <c r="H18" s="437"/>
      <c r="I18" s="437"/>
      <c r="J18" s="1822" t="s">
        <v>2521</v>
      </c>
      <c r="K18" s="1822"/>
      <c r="L18" s="1822"/>
      <c r="M18" s="1822"/>
      <c r="N18" s="1822"/>
      <c r="O18" s="1822"/>
      <c r="P18" s="1822"/>
      <c r="Q18" s="1822"/>
      <c r="R18" s="1822"/>
      <c r="S18" s="1822"/>
      <c r="T18" s="1822"/>
      <c r="U18" s="1822"/>
      <c r="V18" s="1822"/>
      <c r="W18" s="1822"/>
      <c r="X18" s="1822"/>
      <c r="Y18" s="1822"/>
      <c r="Z18" s="1822"/>
      <c r="AA18" s="1822"/>
      <c r="AB18" s="1822"/>
      <c r="AC18" s="1822"/>
      <c r="AD18" s="1822"/>
      <c r="AE18" s="1822"/>
      <c r="AF18" s="1822"/>
      <c r="AG18" s="1822"/>
      <c r="AH18" s="1822"/>
      <c r="AI18" s="1822"/>
      <c r="AJ18" s="1822"/>
      <c r="AK18" s="182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460" t="s">
        <v>1990</v>
      </c>
      <c r="E20" s="1460"/>
      <c r="F20" s="1460"/>
      <c r="G20" s="1460"/>
      <c r="H20" s="1460"/>
      <c r="I20" s="1460"/>
      <c r="J20" s="1460"/>
      <c r="K20" s="1460"/>
      <c r="L20" s="1460"/>
      <c r="M20" s="1460"/>
      <c r="N20" s="1460"/>
      <c r="O20" s="1460"/>
      <c r="P20" s="1460"/>
      <c r="Q20" s="1460"/>
      <c r="R20" s="1460"/>
      <c r="S20" s="1460"/>
      <c r="T20" s="1460"/>
      <c r="U20" s="1460"/>
      <c r="V20" s="1460"/>
      <c r="W20" s="1460"/>
      <c r="X20" s="1460"/>
      <c r="Y20" s="1460"/>
      <c r="Z20" s="1460"/>
      <c r="AA20" s="1460"/>
      <c r="AB20" s="1460"/>
      <c r="AC20" s="1460"/>
      <c r="AD20" s="1460"/>
      <c r="AE20" s="1460"/>
      <c r="AF20" s="1460"/>
      <c r="AG20" s="1460"/>
      <c r="AH20" s="1460"/>
      <c r="AI20" s="1460"/>
      <c r="AJ20" s="1460"/>
      <c r="AK20" s="1460"/>
      <c r="AL20" s="204"/>
    </row>
    <row r="21" spans="1:38">
      <c r="A21" s="204"/>
      <c r="B21" s="204"/>
      <c r="C21" s="205"/>
      <c r="D21" s="1460"/>
      <c r="E21" s="1460"/>
      <c r="F21" s="1460"/>
      <c r="G21" s="1460"/>
      <c r="H21" s="1460"/>
      <c r="I21" s="1460"/>
      <c r="J21" s="1460"/>
      <c r="K21" s="1460"/>
      <c r="L21" s="1460"/>
      <c r="M21" s="1460"/>
      <c r="N21" s="1460"/>
      <c r="O21" s="1460"/>
      <c r="P21" s="1460"/>
      <c r="Q21" s="1460"/>
      <c r="R21" s="1460"/>
      <c r="S21" s="1460"/>
      <c r="T21" s="1460"/>
      <c r="U21" s="1460"/>
      <c r="V21" s="1460"/>
      <c r="W21" s="1460"/>
      <c r="X21" s="1460"/>
      <c r="Y21" s="1460"/>
      <c r="Z21" s="1460"/>
      <c r="AA21" s="1460"/>
      <c r="AB21" s="1460"/>
      <c r="AC21" s="1460"/>
      <c r="AD21" s="1460"/>
      <c r="AE21" s="1460"/>
      <c r="AF21" s="1460"/>
      <c r="AG21" s="1460"/>
      <c r="AH21" s="1460"/>
      <c r="AI21" s="1460"/>
      <c r="AJ21" s="1460"/>
      <c r="AK21" s="1460"/>
      <c r="AL21" s="204"/>
    </row>
    <row r="22" spans="1:38">
      <c r="A22" s="204"/>
      <c r="B22" s="204"/>
      <c r="C22" s="205"/>
      <c r="D22" s="1460"/>
      <c r="E22" s="1460"/>
      <c r="F22" s="1460"/>
      <c r="G22" s="1460"/>
      <c r="H22" s="1460"/>
      <c r="I22" s="1460"/>
      <c r="J22" s="1460"/>
      <c r="K22" s="1460"/>
      <c r="L22" s="1460"/>
      <c r="M22" s="1460"/>
      <c r="N22" s="1460"/>
      <c r="O22" s="1460"/>
      <c r="P22" s="1460"/>
      <c r="Q22" s="1460"/>
      <c r="R22" s="1460"/>
      <c r="S22" s="1460"/>
      <c r="T22" s="1460"/>
      <c r="U22" s="1460"/>
      <c r="V22" s="1460"/>
      <c r="W22" s="1460"/>
      <c r="X22" s="1460"/>
      <c r="Y22" s="1460"/>
      <c r="Z22" s="1460"/>
      <c r="AA22" s="1460"/>
      <c r="AB22" s="1460"/>
      <c r="AC22" s="1460"/>
      <c r="AD22" s="1460"/>
      <c r="AE22" s="1460"/>
      <c r="AF22" s="1460"/>
      <c r="AG22" s="1460"/>
      <c r="AH22" s="1460"/>
      <c r="AI22" s="1460"/>
      <c r="AJ22" s="1460"/>
      <c r="AK22" s="1460"/>
      <c r="AL22" s="204"/>
    </row>
    <row r="23" spans="1:38" ht="13.2" customHeight="1">
      <c r="A23" s="204"/>
      <c r="B23" s="204"/>
      <c r="C23" s="205"/>
      <c r="D23" s="1460"/>
      <c r="E23" s="1460"/>
      <c r="F23" s="1460"/>
      <c r="G23" s="1460"/>
      <c r="H23" s="1460"/>
      <c r="I23" s="1460"/>
      <c r="J23" s="1460"/>
      <c r="K23" s="1460"/>
      <c r="L23" s="1460"/>
      <c r="M23" s="1460"/>
      <c r="N23" s="1460"/>
      <c r="O23" s="1460"/>
      <c r="P23" s="1460"/>
      <c r="Q23" s="1460"/>
      <c r="R23" s="1460"/>
      <c r="S23" s="1460"/>
      <c r="T23" s="1460"/>
      <c r="U23" s="1460"/>
      <c r="V23" s="1460"/>
      <c r="W23" s="1460"/>
      <c r="X23" s="1460"/>
      <c r="Y23" s="1460"/>
      <c r="Z23" s="1460"/>
      <c r="AA23" s="1460"/>
      <c r="AB23" s="1460"/>
      <c r="AC23" s="1460"/>
      <c r="AD23" s="1460"/>
      <c r="AE23" s="1460"/>
      <c r="AF23" s="1460"/>
      <c r="AG23" s="1460"/>
      <c r="AH23" s="1460"/>
      <c r="AI23" s="1460"/>
      <c r="AJ23" s="1460"/>
      <c r="AK23" s="1460"/>
      <c r="AL23" s="204"/>
    </row>
    <row r="24" spans="1:38">
      <c r="A24" s="204"/>
      <c r="B24" s="204"/>
      <c r="C24" s="205"/>
      <c r="D24" s="1460"/>
      <c r="E24" s="1460"/>
      <c r="F24" s="1460"/>
      <c r="G24" s="1460"/>
      <c r="H24" s="1460"/>
      <c r="I24" s="1460"/>
      <c r="J24" s="1460"/>
      <c r="K24" s="1460"/>
      <c r="L24" s="1460"/>
      <c r="M24" s="1460"/>
      <c r="N24" s="1460"/>
      <c r="O24" s="1460"/>
      <c r="P24" s="1460"/>
      <c r="Q24" s="1460"/>
      <c r="R24" s="1460"/>
      <c r="S24" s="1460"/>
      <c r="T24" s="1460"/>
      <c r="U24" s="1460"/>
      <c r="V24" s="1460"/>
      <c r="W24" s="1460"/>
      <c r="X24" s="1460"/>
      <c r="Y24" s="1460"/>
      <c r="Z24" s="1460"/>
      <c r="AA24" s="1460"/>
      <c r="AB24" s="1460"/>
      <c r="AC24" s="1460"/>
      <c r="AD24" s="1460"/>
      <c r="AE24" s="1460"/>
      <c r="AF24" s="1460"/>
      <c r="AG24" s="1460"/>
      <c r="AH24" s="1460"/>
      <c r="AI24" s="1460"/>
      <c r="AJ24" s="1460"/>
      <c r="AK24" s="1460"/>
      <c r="AL24" s="204"/>
    </row>
    <row r="25" spans="1:38">
      <c r="A25" s="204"/>
      <c r="B25" s="204"/>
      <c r="C25" s="205"/>
      <c r="D25" s="1460"/>
      <c r="E25" s="1460"/>
      <c r="F25" s="1460"/>
      <c r="G25" s="1460"/>
      <c r="H25" s="1460"/>
      <c r="I25" s="1460"/>
      <c r="J25" s="1460"/>
      <c r="K25" s="1460"/>
      <c r="L25" s="1460"/>
      <c r="M25" s="1460"/>
      <c r="N25" s="1460"/>
      <c r="O25" s="1460"/>
      <c r="P25" s="1460"/>
      <c r="Q25" s="1460"/>
      <c r="R25" s="1460"/>
      <c r="S25" s="1460"/>
      <c r="T25" s="1460"/>
      <c r="U25" s="1460"/>
      <c r="V25" s="1460"/>
      <c r="W25" s="1460"/>
      <c r="X25" s="1460"/>
      <c r="Y25" s="1460"/>
      <c r="Z25" s="1460"/>
      <c r="AA25" s="1460"/>
      <c r="AB25" s="1460"/>
      <c r="AC25" s="1460"/>
      <c r="AD25" s="1460"/>
      <c r="AE25" s="1460"/>
      <c r="AF25" s="1460"/>
      <c r="AG25" s="1460"/>
      <c r="AH25" s="1460"/>
      <c r="AI25" s="1460"/>
      <c r="AJ25" s="1460"/>
      <c r="AK25" s="1460"/>
      <c r="AL25" s="204"/>
    </row>
    <row r="26" spans="1:38">
      <c r="A26" s="204"/>
      <c r="B26" s="204"/>
      <c r="C26" s="205"/>
      <c r="D26" s="1460"/>
      <c r="E26" s="1460"/>
      <c r="F26" s="1460"/>
      <c r="G26" s="1460"/>
      <c r="H26" s="1460"/>
      <c r="I26" s="1460"/>
      <c r="J26" s="1460"/>
      <c r="K26" s="1460"/>
      <c r="L26" s="1460"/>
      <c r="M26" s="1460"/>
      <c r="N26" s="1460"/>
      <c r="O26" s="1460"/>
      <c r="P26" s="1460"/>
      <c r="Q26" s="1460"/>
      <c r="R26" s="1460"/>
      <c r="S26" s="1460"/>
      <c r="T26" s="1460"/>
      <c r="U26" s="1460"/>
      <c r="V26" s="1460"/>
      <c r="W26" s="1460"/>
      <c r="X26" s="1460"/>
      <c r="Y26" s="1460"/>
      <c r="Z26" s="1460"/>
      <c r="AA26" s="1460"/>
      <c r="AB26" s="1460"/>
      <c r="AC26" s="1460"/>
      <c r="AD26" s="1460"/>
      <c r="AE26" s="1460"/>
      <c r="AF26" s="1460"/>
      <c r="AG26" s="1460"/>
      <c r="AH26" s="1460"/>
      <c r="AI26" s="1460"/>
      <c r="AJ26" s="1460"/>
      <c r="AK26" s="1460"/>
      <c r="AL26" s="204"/>
    </row>
    <row r="27" spans="1:38">
      <c r="A27" s="204"/>
      <c r="B27" s="204"/>
      <c r="C27" s="205"/>
      <c r="D27" s="1460"/>
      <c r="E27" s="1460"/>
      <c r="F27" s="1460"/>
      <c r="G27" s="1460"/>
      <c r="H27" s="1460"/>
      <c r="I27" s="1460"/>
      <c r="J27" s="1460"/>
      <c r="K27" s="1460"/>
      <c r="L27" s="1460"/>
      <c r="M27" s="1460"/>
      <c r="N27" s="1460"/>
      <c r="O27" s="1460"/>
      <c r="P27" s="1460"/>
      <c r="Q27" s="1460"/>
      <c r="R27" s="1460"/>
      <c r="S27" s="1460"/>
      <c r="T27" s="1460"/>
      <c r="U27" s="1460"/>
      <c r="V27" s="1460"/>
      <c r="W27" s="1460"/>
      <c r="X27" s="1460"/>
      <c r="Y27" s="1460"/>
      <c r="Z27" s="1460"/>
      <c r="AA27" s="1460"/>
      <c r="AB27" s="1460"/>
      <c r="AC27" s="1460"/>
      <c r="AD27" s="1460"/>
      <c r="AE27" s="1460"/>
      <c r="AF27" s="1460"/>
      <c r="AG27" s="1460"/>
      <c r="AH27" s="1460"/>
      <c r="AI27" s="1460"/>
      <c r="AJ27" s="1460"/>
      <c r="AK27" s="1460"/>
      <c r="AL27" s="204"/>
    </row>
    <row r="28" spans="1:38">
      <c r="A28" s="204"/>
      <c r="B28" s="204"/>
      <c r="C28" s="205"/>
      <c r="D28" s="1460"/>
      <c r="E28" s="1460"/>
      <c r="F28" s="1460"/>
      <c r="G28" s="1460"/>
      <c r="H28" s="1460"/>
      <c r="I28" s="1460"/>
      <c r="J28" s="1460"/>
      <c r="K28" s="1460"/>
      <c r="L28" s="1460"/>
      <c r="M28" s="1460"/>
      <c r="N28" s="1460"/>
      <c r="O28" s="1460"/>
      <c r="P28" s="1460"/>
      <c r="Q28" s="1460"/>
      <c r="R28" s="1460"/>
      <c r="S28" s="1460"/>
      <c r="T28" s="1460"/>
      <c r="U28" s="1460"/>
      <c r="V28" s="1460"/>
      <c r="W28" s="1460"/>
      <c r="X28" s="1460"/>
      <c r="Y28" s="1460"/>
      <c r="Z28" s="1460"/>
      <c r="AA28" s="1460"/>
      <c r="AB28" s="1460"/>
      <c r="AC28" s="1460"/>
      <c r="AD28" s="1460"/>
      <c r="AE28" s="1460"/>
      <c r="AF28" s="1460"/>
      <c r="AG28" s="1460"/>
      <c r="AH28" s="1460"/>
      <c r="AI28" s="1460"/>
      <c r="AJ28" s="1460"/>
      <c r="AK28" s="146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460" t="s">
        <v>1991</v>
      </c>
      <c r="E30" s="1460"/>
      <c r="F30" s="1460"/>
      <c r="G30" s="1460"/>
      <c r="H30" s="1460"/>
      <c r="I30" s="1460"/>
      <c r="J30" s="1460"/>
      <c r="K30" s="1460"/>
      <c r="L30" s="1460"/>
      <c r="M30" s="1460"/>
      <c r="N30" s="1460"/>
      <c r="O30" s="1460"/>
      <c r="P30" s="1460"/>
      <c r="Q30" s="1460"/>
      <c r="R30" s="1460"/>
      <c r="S30" s="1460"/>
      <c r="T30" s="1460"/>
      <c r="U30" s="1460"/>
      <c r="V30" s="1460"/>
      <c r="W30" s="1460"/>
      <c r="X30" s="1460"/>
      <c r="Y30" s="1460"/>
      <c r="Z30" s="1460"/>
      <c r="AA30" s="1460"/>
      <c r="AB30" s="1460"/>
      <c r="AC30" s="1460"/>
      <c r="AD30" s="1460"/>
      <c r="AE30" s="1460"/>
      <c r="AF30" s="1460"/>
      <c r="AG30" s="1460"/>
      <c r="AH30" s="1460"/>
      <c r="AI30" s="1460"/>
      <c r="AJ30" s="1460"/>
      <c r="AK30" s="1460"/>
      <c r="AL30" s="204"/>
    </row>
    <row r="31" spans="1:38">
      <c r="A31" s="204"/>
      <c r="B31" s="204"/>
      <c r="C31" s="205"/>
      <c r="D31" s="451"/>
      <c r="E31" s="1827" t="s">
        <v>2597</v>
      </c>
      <c r="F31" s="1828"/>
      <c r="G31" s="1828"/>
      <c r="H31" s="1828"/>
      <c r="I31" s="1828"/>
      <c r="J31" s="1828"/>
      <c r="K31" s="1828"/>
      <c r="L31" s="1828"/>
      <c r="M31" s="1828"/>
      <c r="N31" s="1828"/>
      <c r="O31" s="1828"/>
      <c r="P31" s="1828"/>
      <c r="Q31" s="1828"/>
      <c r="R31" s="1828"/>
      <c r="S31" s="1828"/>
      <c r="T31" s="1828"/>
      <c r="U31" s="1828"/>
      <c r="V31" s="1828"/>
      <c r="W31" s="1828"/>
      <c r="X31" s="1828"/>
      <c r="Y31" s="1828"/>
      <c r="Z31" s="1828"/>
      <c r="AA31" s="1828"/>
      <c r="AB31" s="1828"/>
      <c r="AC31" s="1828"/>
      <c r="AD31" s="1828"/>
      <c r="AE31" s="1828"/>
      <c r="AF31" s="1828"/>
      <c r="AG31" s="1828"/>
      <c r="AH31" s="1828"/>
      <c r="AI31" s="1828"/>
      <c r="AJ31" s="1828"/>
      <c r="AK31" s="1828"/>
      <c r="AL31" s="204"/>
    </row>
    <row r="32" spans="1:38">
      <c r="A32" s="4"/>
      <c r="C32" s="2"/>
    </row>
    <row r="33" spans="1:38">
      <c r="A33" s="4"/>
      <c r="D33" s="1821" t="s">
        <v>2091</v>
      </c>
      <c r="E33" s="1821"/>
      <c r="F33" s="1821"/>
      <c r="G33" s="1821"/>
      <c r="H33" s="1821"/>
      <c r="I33" s="1821"/>
      <c r="J33" s="1821"/>
      <c r="K33" s="1821"/>
      <c r="L33" s="1821"/>
      <c r="M33" s="1821"/>
      <c r="N33" s="1821"/>
      <c r="O33" s="1821"/>
      <c r="P33" s="1821"/>
      <c r="Q33" s="1821"/>
      <c r="R33" s="1821"/>
      <c r="S33" s="1821"/>
      <c r="T33" s="1821"/>
      <c r="U33" s="1821"/>
      <c r="V33" s="1821"/>
      <c r="W33" s="1821"/>
      <c r="X33" s="1821"/>
      <c r="Y33" s="1821"/>
      <c r="Z33" s="1821"/>
      <c r="AA33" s="1821"/>
      <c r="AB33" s="1821"/>
      <c r="AC33" s="1821"/>
      <c r="AD33" s="1821"/>
      <c r="AE33" s="1821"/>
      <c r="AF33" s="1821"/>
      <c r="AG33" s="1821"/>
      <c r="AH33" s="1821"/>
      <c r="AI33" s="1821"/>
      <c r="AJ33" s="1821"/>
      <c r="AK33" s="1821"/>
    </row>
    <row r="34" spans="1:38">
      <c r="A34" s="4"/>
      <c r="D34" s="1821"/>
      <c r="E34" s="1821"/>
      <c r="F34" s="1821"/>
      <c r="G34" s="1821"/>
      <c r="H34" s="1821"/>
      <c r="I34" s="1821"/>
      <c r="J34" s="1821"/>
      <c r="K34" s="1821"/>
      <c r="L34" s="1821"/>
      <c r="M34" s="1821"/>
      <c r="N34" s="1821"/>
      <c r="O34" s="1821"/>
      <c r="P34" s="1821"/>
      <c r="Q34" s="1821"/>
      <c r="R34" s="1821"/>
      <c r="S34" s="1821"/>
      <c r="T34" s="1821"/>
      <c r="U34" s="1821"/>
      <c r="V34" s="1821"/>
      <c r="W34" s="1821"/>
      <c r="X34" s="1821"/>
      <c r="Y34" s="1821"/>
      <c r="Z34" s="1821"/>
      <c r="AA34" s="1821"/>
      <c r="AB34" s="1821"/>
      <c r="AC34" s="1821"/>
      <c r="AD34" s="1821"/>
      <c r="AE34" s="1821"/>
      <c r="AF34" s="1821"/>
      <c r="AG34" s="1821"/>
      <c r="AH34" s="1821"/>
      <c r="AI34" s="1821"/>
      <c r="AJ34" s="1821"/>
      <c r="AK34" s="1821"/>
    </row>
    <row r="35" spans="1:38">
      <c r="A35" s="4"/>
      <c r="D35" s="120"/>
      <c r="E35" s="1826" t="s">
        <v>2598</v>
      </c>
      <c r="F35" s="1826"/>
      <c r="G35" s="1826"/>
      <c r="H35" s="1826"/>
      <c r="I35" s="1826"/>
      <c r="J35" s="1826"/>
      <c r="K35" s="1826"/>
      <c r="L35" s="1826"/>
      <c r="M35" s="1826"/>
      <c r="N35" s="1826"/>
      <c r="O35" s="1826"/>
      <c r="P35" s="1826"/>
      <c r="Q35" s="1826"/>
      <c r="R35" s="1826"/>
      <c r="S35" s="1826"/>
      <c r="T35" s="1826"/>
      <c r="U35" s="1826"/>
      <c r="V35" s="1826"/>
      <c r="W35" s="1826"/>
      <c r="X35" s="1826"/>
      <c r="Y35" s="1826"/>
      <c r="Z35" s="1826"/>
      <c r="AA35" s="1826"/>
      <c r="AB35" s="1826"/>
      <c r="AC35" s="1826"/>
      <c r="AD35" s="1826"/>
      <c r="AE35" s="1826"/>
      <c r="AF35" s="1826"/>
      <c r="AG35" s="1826"/>
      <c r="AH35" s="1826"/>
      <c r="AI35" s="1826"/>
      <c r="AJ35" s="1826"/>
      <c r="AK35" s="1826"/>
    </row>
    <row r="36" spans="1:38">
      <c r="A36" s="4"/>
      <c r="D36" s="120"/>
      <c r="E36" s="1826" t="s">
        <v>2599</v>
      </c>
      <c r="F36" s="1826"/>
      <c r="G36" s="1826"/>
      <c r="H36" s="1826"/>
      <c r="I36" s="1826"/>
      <c r="J36" s="1826"/>
      <c r="K36" s="1826"/>
      <c r="L36" s="1826"/>
      <c r="M36" s="1826"/>
      <c r="N36" s="1826"/>
      <c r="O36" s="1826"/>
      <c r="P36" s="1826"/>
      <c r="Q36" s="1826"/>
      <c r="R36" s="1826"/>
      <c r="S36" s="1826"/>
      <c r="T36" s="1826"/>
      <c r="U36" s="1826"/>
      <c r="V36" s="1826"/>
      <c r="W36" s="1826"/>
      <c r="X36" s="1826"/>
      <c r="Y36" s="1826"/>
      <c r="Z36" s="1826"/>
      <c r="AA36" s="1826"/>
      <c r="AB36" s="1826"/>
      <c r="AC36" s="1826"/>
      <c r="AD36" s="1826"/>
      <c r="AE36" s="1826"/>
      <c r="AF36" s="1826"/>
      <c r="AG36" s="1826"/>
      <c r="AH36" s="1826"/>
      <c r="AI36" s="1826"/>
      <c r="AJ36" s="1826"/>
      <c r="AK36" s="1826"/>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60" customFormat="1" ht="13.2" customHeight="1">
      <c r="A40" s="4"/>
      <c r="B40"/>
      <c r="C40" s="2"/>
      <c r="D40" s="4"/>
      <c r="E40" s="4" t="s">
        <v>653</v>
      </c>
      <c r="F40" s="1460" t="s">
        <v>1163</v>
      </c>
    </row>
    <row r="41" spans="1:38" s="1460" customFormat="1" ht="13.2"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348</v>
      </c>
      <c r="F43" s="1325" t="s">
        <v>1245</v>
      </c>
      <c r="G43" s="1325"/>
      <c r="H43" s="1325"/>
      <c r="I43" s="1325"/>
      <c r="J43" s="1325"/>
      <c r="K43" s="1325"/>
      <c r="L43" s="1325"/>
      <c r="M43" s="1325"/>
      <c r="N43" s="1325"/>
      <c r="O43" s="1325"/>
      <c r="P43" s="1325"/>
      <c r="Q43" s="1325"/>
      <c r="R43" s="1325"/>
      <c r="S43" s="1325"/>
      <c r="T43" s="1325"/>
      <c r="U43" s="1325"/>
      <c r="V43" s="1325"/>
      <c r="W43" s="1325"/>
      <c r="X43" s="1325"/>
      <c r="Y43" s="1325"/>
      <c r="Z43" s="1325"/>
      <c r="AA43" s="1325"/>
      <c r="AB43" s="1325"/>
      <c r="AC43" s="1325"/>
      <c r="AD43" s="1325"/>
      <c r="AE43" s="1325"/>
      <c r="AF43" s="1325"/>
      <c r="AG43" s="1325"/>
      <c r="AH43" s="1325"/>
      <c r="AI43" s="1325"/>
      <c r="AJ43" s="1325"/>
      <c r="AK43" s="1325"/>
      <c r="AL43" s="1325"/>
    </row>
    <row r="44" spans="1:38" s="118" customFormat="1">
      <c r="A44" s="4"/>
      <c r="B44"/>
      <c r="C44" s="2"/>
      <c r="D44" s="4"/>
      <c r="E44" s="4"/>
      <c r="F44" s="1325"/>
      <c r="G44" s="1325"/>
      <c r="H44" s="1325"/>
      <c r="I44" s="1325"/>
      <c r="J44" s="1325"/>
      <c r="K44" s="1325"/>
      <c r="L44" s="1325"/>
      <c r="M44" s="1325"/>
      <c r="N44" s="1325"/>
      <c r="O44" s="1325"/>
      <c r="P44" s="1325"/>
      <c r="Q44" s="1325"/>
      <c r="R44" s="1325"/>
      <c r="S44" s="1325"/>
      <c r="T44" s="1325"/>
      <c r="U44" s="1325"/>
      <c r="V44" s="1325"/>
      <c r="W44" s="1325"/>
      <c r="X44" s="1325"/>
      <c r="Y44" s="1325"/>
      <c r="Z44" s="1325"/>
      <c r="AA44" s="1325"/>
      <c r="AB44" s="1325"/>
      <c r="AC44" s="1325"/>
      <c r="AD44" s="1325"/>
      <c r="AE44" s="1325"/>
      <c r="AF44" s="1325"/>
      <c r="AG44" s="1325"/>
      <c r="AH44" s="1325"/>
      <c r="AI44" s="1325"/>
      <c r="AJ44" s="1325"/>
      <c r="AK44" s="1325"/>
      <c r="AL44" s="1325"/>
    </row>
    <row r="45" spans="1:38" s="118" customFormat="1" ht="13.2" customHeight="1">
      <c r="A45" s="4"/>
      <c r="B45"/>
      <c r="C45" s="2"/>
      <c r="D45" s="4"/>
      <c r="E45" s="4"/>
      <c r="F45" s="1325"/>
      <c r="G45" s="1325"/>
      <c r="H45" s="1325"/>
      <c r="I45" s="1325"/>
      <c r="J45" s="1325"/>
      <c r="K45" s="1325"/>
      <c r="L45" s="1325"/>
      <c r="M45" s="1325"/>
      <c r="N45" s="1325"/>
      <c r="O45" s="1325"/>
      <c r="P45" s="1325"/>
      <c r="Q45" s="1325"/>
      <c r="R45" s="1325"/>
      <c r="S45" s="1325"/>
      <c r="T45" s="1325"/>
      <c r="U45" s="1325"/>
      <c r="V45" s="1325"/>
      <c r="W45" s="1325"/>
      <c r="X45" s="1325"/>
      <c r="Y45" s="1325"/>
      <c r="Z45" s="1325"/>
      <c r="AA45" s="1325"/>
      <c r="AB45" s="1325"/>
      <c r="AC45" s="1325"/>
      <c r="AD45" s="1325"/>
      <c r="AE45" s="1325"/>
      <c r="AF45" s="1325"/>
      <c r="AG45" s="1325"/>
      <c r="AH45" s="1325"/>
      <c r="AI45" s="1325"/>
      <c r="AJ45" s="1325"/>
      <c r="AK45" s="1325"/>
      <c r="AL45" s="1325"/>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60" t="s">
        <v>1993</v>
      </c>
      <c r="G48" s="1460"/>
      <c r="H48" s="1460"/>
      <c r="I48" s="1460"/>
      <c r="J48" s="1460"/>
      <c r="K48" s="1460"/>
      <c r="L48" s="1460"/>
      <c r="M48" s="1460"/>
      <c r="N48" s="1460"/>
      <c r="O48" s="1460"/>
      <c r="P48" s="1460"/>
      <c r="Q48" s="1460"/>
      <c r="R48" s="1460"/>
      <c r="S48" s="1460"/>
      <c r="T48" s="1460"/>
      <c r="U48" s="1460"/>
      <c r="V48" s="1460"/>
      <c r="W48" s="1460"/>
      <c r="X48" s="1460"/>
      <c r="Y48" s="1460"/>
      <c r="Z48" s="1460"/>
      <c r="AA48" s="1460"/>
      <c r="AB48" s="1460"/>
      <c r="AC48" s="1460"/>
      <c r="AD48" s="1460"/>
      <c r="AE48" s="1460"/>
      <c r="AF48" s="1460"/>
      <c r="AG48" s="1460"/>
      <c r="AH48" s="1460"/>
      <c r="AI48" s="1460"/>
      <c r="AJ48" s="1460"/>
      <c r="AK48" s="1460"/>
    </row>
    <row r="49" spans="1:38">
      <c r="A49" s="4"/>
      <c r="C49" s="2"/>
      <c r="D49" s="4"/>
      <c r="E49" s="4"/>
      <c r="F49" s="1460"/>
      <c r="G49" s="1460"/>
      <c r="H49" s="1460"/>
      <c r="I49" s="1460"/>
      <c r="J49" s="1460"/>
      <c r="K49" s="1460"/>
      <c r="L49" s="1460"/>
      <c r="M49" s="1460"/>
      <c r="N49" s="1460"/>
      <c r="O49" s="1460"/>
      <c r="P49" s="1460"/>
      <c r="Q49" s="1460"/>
      <c r="R49" s="1460"/>
      <c r="S49" s="1460"/>
      <c r="T49" s="1460"/>
      <c r="U49" s="1460"/>
      <c r="V49" s="1460"/>
      <c r="W49" s="1460"/>
      <c r="X49" s="1460"/>
      <c r="Y49" s="1460"/>
      <c r="Z49" s="1460"/>
      <c r="AA49" s="1460"/>
      <c r="AB49" s="1460"/>
      <c r="AC49" s="1460"/>
      <c r="AD49" s="1460"/>
      <c r="AE49" s="1460"/>
      <c r="AF49" s="1460"/>
      <c r="AG49" s="1460"/>
      <c r="AH49" s="1460"/>
      <c r="AI49" s="1460"/>
      <c r="AJ49" s="1460"/>
      <c r="AK49" s="1460"/>
    </row>
    <row r="50" spans="1:38">
      <c r="A50" s="4"/>
      <c r="C50" s="2"/>
      <c r="D50" s="4"/>
      <c r="F50" s="1460"/>
      <c r="G50" s="1460"/>
      <c r="H50" s="1460"/>
      <c r="I50" s="1460"/>
      <c r="J50" s="1460"/>
      <c r="K50" s="1460"/>
      <c r="L50" s="1460"/>
      <c r="M50" s="1460"/>
      <c r="N50" s="1460"/>
      <c r="O50" s="1460"/>
      <c r="P50" s="1460"/>
      <c r="Q50" s="1460"/>
      <c r="R50" s="1460"/>
      <c r="S50" s="1460"/>
      <c r="T50" s="1460"/>
      <c r="U50" s="1460"/>
      <c r="V50" s="1460"/>
      <c r="W50" s="1460"/>
      <c r="X50" s="1460"/>
      <c r="Y50" s="1460"/>
      <c r="Z50" s="1460"/>
      <c r="AA50" s="1460"/>
      <c r="AB50" s="1460"/>
      <c r="AC50" s="1460"/>
      <c r="AD50" s="1460"/>
      <c r="AE50" s="1460"/>
      <c r="AF50" s="1460"/>
      <c r="AG50" s="1460"/>
      <c r="AH50" s="1460"/>
      <c r="AI50" s="1460"/>
      <c r="AJ50" s="1460"/>
      <c r="AK50" s="146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687</v>
      </c>
      <c r="G54" s="1823" t="s">
        <v>1190</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2"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3" t="s">
        <v>575</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509</v>
      </c>
      <c r="G57" s="1823" t="s">
        <v>1994</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60" t="s">
        <v>1165</v>
      </c>
      <c r="H64" s="1460"/>
      <c r="I64" s="1460"/>
      <c r="J64" s="1460"/>
      <c r="K64" s="1460"/>
      <c r="L64" s="1460"/>
      <c r="M64" s="1460"/>
      <c r="N64" s="1460"/>
      <c r="O64" s="1460"/>
      <c r="P64" s="1460"/>
      <c r="Q64" s="1460"/>
      <c r="R64" s="1460"/>
      <c r="S64" s="1460"/>
      <c r="T64" s="1460"/>
      <c r="U64" s="1460"/>
      <c r="V64" s="1460"/>
      <c r="W64" s="1460"/>
      <c r="X64" s="1460"/>
      <c r="Y64" s="1460"/>
      <c r="Z64" s="1460"/>
      <c r="AA64" s="1460"/>
      <c r="AB64" s="1460"/>
      <c r="AC64" s="1460"/>
      <c r="AD64" s="1460"/>
      <c r="AE64" s="1460"/>
      <c r="AF64" s="1460"/>
      <c r="AG64" s="1460"/>
      <c r="AH64" s="1460"/>
      <c r="AI64" s="1460"/>
      <c r="AJ64" s="1460"/>
      <c r="AK64" s="1460"/>
    </row>
    <row r="65" spans="1:37">
      <c r="A65" s="4"/>
      <c r="C65" s="2"/>
      <c r="D65" s="4"/>
      <c r="E65" s="4"/>
      <c r="G65" s="1460"/>
      <c r="H65" s="1460"/>
      <c r="I65" s="1460"/>
      <c r="J65" s="1460"/>
      <c r="K65" s="1460"/>
      <c r="L65" s="1460"/>
      <c r="M65" s="1460"/>
      <c r="N65" s="1460"/>
      <c r="O65" s="1460"/>
      <c r="P65" s="1460"/>
      <c r="Q65" s="1460"/>
      <c r="R65" s="1460"/>
      <c r="S65" s="1460"/>
      <c r="T65" s="1460"/>
      <c r="U65" s="1460"/>
      <c r="V65" s="1460"/>
      <c r="W65" s="1460"/>
      <c r="X65" s="1460"/>
      <c r="Y65" s="1460"/>
      <c r="Z65" s="1460"/>
      <c r="AA65" s="1460"/>
      <c r="AB65" s="1460"/>
      <c r="AC65" s="1460"/>
      <c r="AD65" s="1460"/>
      <c r="AE65" s="1460"/>
      <c r="AF65" s="1460"/>
      <c r="AG65" s="1460"/>
      <c r="AH65" s="1460"/>
      <c r="AI65" s="1460"/>
      <c r="AJ65" s="1460"/>
      <c r="AK65" s="1460"/>
    </row>
    <row r="66" spans="1:37">
      <c r="A66" s="4"/>
      <c r="C66" s="2"/>
      <c r="D66" s="4"/>
      <c r="E66" s="4"/>
      <c r="G66" s="1460"/>
      <c r="H66" s="1460"/>
      <c r="I66" s="1460"/>
      <c r="J66" s="1460"/>
      <c r="K66" s="1460"/>
      <c r="L66" s="1460"/>
      <c r="M66" s="1460"/>
      <c r="N66" s="1460"/>
      <c r="O66" s="1460"/>
      <c r="P66" s="1460"/>
      <c r="Q66" s="1460"/>
      <c r="R66" s="1460"/>
      <c r="S66" s="1460"/>
      <c r="T66" s="1460"/>
      <c r="U66" s="1460"/>
      <c r="V66" s="1460"/>
      <c r="W66" s="1460"/>
      <c r="X66" s="1460"/>
      <c r="Y66" s="1460"/>
      <c r="Z66" s="1460"/>
      <c r="AA66" s="1460"/>
      <c r="AB66" s="1460"/>
      <c r="AC66" s="1460"/>
      <c r="AD66" s="1460"/>
      <c r="AE66" s="1460"/>
      <c r="AF66" s="1460"/>
      <c r="AG66" s="1460"/>
      <c r="AH66" s="1460"/>
      <c r="AI66" s="1460"/>
      <c r="AJ66" s="1460"/>
      <c r="AK66" s="1460"/>
    </row>
    <row r="67" spans="1:37" ht="13.2" customHeight="1">
      <c r="A67" s="4"/>
      <c r="C67" s="2"/>
      <c r="D67" s="4"/>
      <c r="E67" s="4"/>
      <c r="F67" t="s">
        <v>509</v>
      </c>
      <c r="G67" s="1460" t="s">
        <v>1166</v>
      </c>
      <c r="H67" s="1460"/>
      <c r="I67" s="1460"/>
      <c r="J67" s="1460"/>
      <c r="K67" s="1460"/>
      <c r="L67" s="1460"/>
      <c r="M67" s="1460"/>
      <c r="N67" s="1460"/>
      <c r="O67" s="1460"/>
      <c r="P67" s="1460"/>
      <c r="Q67" s="1460"/>
      <c r="R67" s="1460"/>
      <c r="S67" s="1460"/>
      <c r="T67" s="1460"/>
      <c r="U67" s="1460"/>
      <c r="V67" s="1460"/>
      <c r="W67" s="1460"/>
      <c r="X67" s="1460"/>
      <c r="Y67" s="1460"/>
      <c r="Z67" s="1460"/>
      <c r="AA67" s="1460"/>
      <c r="AB67" s="1460"/>
      <c r="AC67" s="1460"/>
      <c r="AD67" s="1460"/>
      <c r="AE67" s="1460"/>
      <c r="AF67" s="1460"/>
      <c r="AG67" s="1460"/>
      <c r="AH67" s="1460"/>
      <c r="AI67" s="1460"/>
      <c r="AJ67" s="1460"/>
      <c r="AK67" s="1460"/>
    </row>
    <row r="68" spans="1:37">
      <c r="A68" s="4"/>
      <c r="C68" s="2"/>
      <c r="D68" s="4"/>
      <c r="E68" s="4"/>
      <c r="F68" s="27"/>
      <c r="G68" s="1460"/>
      <c r="H68" s="1460"/>
      <c r="I68" s="1460"/>
      <c r="J68" s="1460"/>
      <c r="K68" s="1460"/>
      <c r="L68" s="1460"/>
      <c r="M68" s="1460"/>
      <c r="N68" s="1460"/>
      <c r="O68" s="1460"/>
      <c r="P68" s="1460"/>
      <c r="Q68" s="1460"/>
      <c r="R68" s="1460"/>
      <c r="S68" s="1460"/>
      <c r="T68" s="1460"/>
      <c r="U68" s="1460"/>
      <c r="V68" s="1460"/>
      <c r="W68" s="1460"/>
      <c r="X68" s="1460"/>
      <c r="Y68" s="1460"/>
      <c r="Z68" s="1460"/>
      <c r="AA68" s="1460"/>
      <c r="AB68" s="1460"/>
      <c r="AC68" s="1460"/>
      <c r="AD68" s="1460"/>
      <c r="AE68" s="1460"/>
      <c r="AF68" s="1460"/>
      <c r="AG68" s="1460"/>
      <c r="AH68" s="1460"/>
      <c r="AI68" s="1460"/>
      <c r="AJ68" s="1460"/>
      <c r="AK68" s="1460"/>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60" t="s">
        <v>1167</v>
      </c>
      <c r="H70" s="1460"/>
      <c r="I70" s="1460"/>
      <c r="J70" s="1460"/>
      <c r="K70" s="1460"/>
      <c r="L70" s="1460"/>
      <c r="M70" s="1460"/>
      <c r="N70" s="1460"/>
      <c r="O70" s="1460"/>
      <c r="P70" s="1460"/>
      <c r="Q70" s="1460"/>
      <c r="R70" s="1460"/>
      <c r="S70" s="1460"/>
      <c r="T70" s="1460"/>
      <c r="U70" s="1460"/>
      <c r="V70" s="1460"/>
      <c r="W70" s="1460"/>
      <c r="X70" s="1460"/>
      <c r="Y70" s="1460"/>
      <c r="Z70" s="1460"/>
      <c r="AA70" s="1460"/>
      <c r="AB70" s="1460"/>
      <c r="AC70" s="1460"/>
      <c r="AD70" s="1460"/>
      <c r="AE70" s="1460"/>
      <c r="AF70" s="1460"/>
      <c r="AG70" s="1460"/>
      <c r="AH70" s="1460"/>
      <c r="AI70" s="1460"/>
      <c r="AJ70" s="1460"/>
      <c r="AK70" s="1460"/>
    </row>
    <row r="71" spans="1:37">
      <c r="A71" s="4"/>
      <c r="C71" s="2"/>
      <c r="D71" s="4"/>
      <c r="E71" s="4"/>
      <c r="F71" s="8"/>
      <c r="G71" s="1460"/>
      <c r="H71" s="1460"/>
      <c r="I71" s="1460"/>
      <c r="J71" s="1460"/>
      <c r="K71" s="1460"/>
      <c r="L71" s="1460"/>
      <c r="M71" s="1460"/>
      <c r="N71" s="1460"/>
      <c r="O71" s="1460"/>
      <c r="P71" s="1460"/>
      <c r="Q71" s="1460"/>
      <c r="R71" s="1460"/>
      <c r="S71" s="1460"/>
      <c r="T71" s="1460"/>
      <c r="U71" s="1460"/>
      <c r="V71" s="1460"/>
      <c r="W71" s="1460"/>
      <c r="X71" s="1460"/>
      <c r="Y71" s="1460"/>
      <c r="Z71" s="1460"/>
      <c r="AA71" s="1460"/>
      <c r="AB71" s="1460"/>
      <c r="AC71" s="1460"/>
      <c r="AD71" s="1460"/>
      <c r="AE71" s="1460"/>
      <c r="AF71" s="1460"/>
      <c r="AG71" s="1460"/>
      <c r="AH71" s="1460"/>
      <c r="AI71" s="1460"/>
      <c r="AJ71" s="1460"/>
      <c r="AK71" s="1460"/>
    </row>
    <row r="72" spans="1:37">
      <c r="A72" s="4"/>
      <c r="C72" s="2"/>
      <c r="D72" s="4"/>
      <c r="E72" s="4"/>
      <c r="F72" s="8" t="s">
        <v>509</v>
      </c>
      <c r="G72" s="1460" t="s">
        <v>1168</v>
      </c>
      <c r="H72" s="1460"/>
      <c r="I72" s="1460"/>
      <c r="J72" s="1460"/>
      <c r="K72" s="1460"/>
      <c r="L72" s="1460"/>
      <c r="M72" s="1460"/>
      <c r="N72" s="1460"/>
      <c r="O72" s="1460"/>
      <c r="P72" s="1460"/>
      <c r="Q72" s="1460"/>
      <c r="R72" s="1460"/>
      <c r="S72" s="1460"/>
      <c r="T72" s="1460"/>
      <c r="U72" s="1460"/>
      <c r="V72" s="1460"/>
      <c r="W72" s="1460"/>
      <c r="X72" s="1460"/>
      <c r="Y72" s="1460"/>
      <c r="Z72" s="1460"/>
      <c r="AA72" s="1460"/>
      <c r="AB72" s="1460"/>
      <c r="AC72" s="1460"/>
      <c r="AD72" s="1460"/>
      <c r="AE72" s="1460"/>
      <c r="AF72" s="1460"/>
      <c r="AG72" s="1460"/>
      <c r="AH72" s="1460"/>
      <c r="AI72" s="1460"/>
      <c r="AJ72" s="1460"/>
      <c r="AK72" s="1460"/>
    </row>
    <row r="73" spans="1:37">
      <c r="A73" s="4"/>
      <c r="C73" s="2"/>
      <c r="D73" s="4"/>
      <c r="E73" s="4"/>
      <c r="F73" s="8"/>
      <c r="G73" s="1460"/>
      <c r="H73" s="1460"/>
      <c r="I73" s="1460"/>
      <c r="J73" s="1460"/>
      <c r="K73" s="1460"/>
      <c r="L73" s="1460"/>
      <c r="M73" s="1460"/>
      <c r="N73" s="1460"/>
      <c r="O73" s="1460"/>
      <c r="P73" s="1460"/>
      <c r="Q73" s="1460"/>
      <c r="R73" s="1460"/>
      <c r="S73" s="1460"/>
      <c r="T73" s="1460"/>
      <c r="U73" s="1460"/>
      <c r="V73" s="1460"/>
      <c r="W73" s="1460"/>
      <c r="X73" s="1460"/>
      <c r="Y73" s="1460"/>
      <c r="Z73" s="1460"/>
      <c r="AA73" s="1460"/>
      <c r="AB73" s="1460"/>
      <c r="AC73" s="1460"/>
      <c r="AD73" s="1460"/>
      <c r="AE73" s="1460"/>
      <c r="AF73" s="1460"/>
      <c r="AG73" s="1460"/>
      <c r="AH73" s="1460"/>
      <c r="AI73" s="1460"/>
      <c r="AJ73" s="1460"/>
      <c r="AK73" s="1460"/>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60" t="s">
        <v>1169</v>
      </c>
      <c r="H80" s="1460"/>
      <c r="I80" s="1460"/>
      <c r="J80" s="1460"/>
      <c r="K80" s="1460"/>
      <c r="L80" s="1460"/>
      <c r="M80" s="1460"/>
      <c r="N80" s="1460"/>
      <c r="O80" s="1460"/>
      <c r="P80" s="1460"/>
      <c r="Q80" s="1460"/>
      <c r="R80" s="1460"/>
      <c r="S80" s="1460"/>
      <c r="T80" s="1460"/>
      <c r="U80" s="1460"/>
      <c r="V80" s="1460"/>
      <c r="W80" s="1460"/>
      <c r="X80" s="1460"/>
      <c r="Y80" s="1460"/>
      <c r="Z80" s="1460"/>
      <c r="AA80" s="1460"/>
      <c r="AB80" s="1460"/>
      <c r="AC80" s="1460"/>
      <c r="AD80" s="1460"/>
      <c r="AE80" s="1460"/>
      <c r="AF80" s="1460"/>
      <c r="AG80" s="1460"/>
      <c r="AH80" s="1460"/>
      <c r="AI80" s="1460"/>
      <c r="AJ80" s="1460"/>
      <c r="AK80" s="1460"/>
    </row>
    <row r="81" spans="1:37">
      <c r="A81" s="4"/>
      <c r="C81" s="2"/>
      <c r="D81" s="4"/>
      <c r="E81" s="4"/>
      <c r="F81" s="4"/>
      <c r="G81" s="1460"/>
      <c r="H81" s="1460"/>
      <c r="I81" s="1460"/>
      <c r="J81" s="1460"/>
      <c r="K81" s="1460"/>
      <c r="L81" s="1460"/>
      <c r="M81" s="1460"/>
      <c r="N81" s="1460"/>
      <c r="O81" s="1460"/>
      <c r="P81" s="1460"/>
      <c r="Q81" s="1460"/>
      <c r="R81" s="1460"/>
      <c r="S81" s="1460"/>
      <c r="T81" s="1460"/>
      <c r="U81" s="1460"/>
      <c r="V81" s="1460"/>
      <c r="W81" s="1460"/>
      <c r="X81" s="1460"/>
      <c r="Y81" s="1460"/>
      <c r="Z81" s="1460"/>
      <c r="AA81" s="1460"/>
      <c r="AB81" s="1460"/>
      <c r="AC81" s="1460"/>
      <c r="AD81" s="1460"/>
      <c r="AE81" s="1460"/>
      <c r="AF81" s="1460"/>
      <c r="AG81" s="1460"/>
      <c r="AH81" s="1460"/>
      <c r="AI81" s="1460"/>
      <c r="AJ81" s="1460"/>
      <c r="AK81" s="1460"/>
    </row>
    <row r="82" spans="1:37">
      <c r="A82" s="4"/>
      <c r="C82" s="2"/>
      <c r="D82" s="4"/>
      <c r="E82" s="4"/>
      <c r="F82" s="4"/>
      <c r="G82" s="1460"/>
      <c r="H82" s="1460"/>
      <c r="I82" s="1460"/>
      <c r="J82" s="1460"/>
      <c r="K82" s="1460"/>
      <c r="L82" s="1460"/>
      <c r="M82" s="1460"/>
      <c r="N82" s="1460"/>
      <c r="O82" s="1460"/>
      <c r="P82" s="1460"/>
      <c r="Q82" s="1460"/>
      <c r="R82" s="1460"/>
      <c r="S82" s="1460"/>
      <c r="T82" s="1460"/>
      <c r="U82" s="1460"/>
      <c r="V82" s="1460"/>
      <c r="W82" s="1460"/>
      <c r="X82" s="1460"/>
      <c r="Y82" s="1460"/>
      <c r="Z82" s="1460"/>
      <c r="AA82" s="1460"/>
      <c r="AB82" s="1460"/>
      <c r="AC82" s="1460"/>
      <c r="AD82" s="1460"/>
      <c r="AE82" s="1460"/>
      <c r="AF82" s="1460"/>
      <c r="AG82" s="1460"/>
      <c r="AH82" s="1460"/>
      <c r="AI82" s="1460"/>
      <c r="AJ82" s="1460"/>
      <c r="AK82" s="1460"/>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60" t="s">
        <v>1170</v>
      </c>
      <c r="H84" s="1460"/>
      <c r="I84" s="1460"/>
      <c r="J84" s="1460"/>
      <c r="K84" s="1460"/>
      <c r="L84" s="1460"/>
      <c r="M84" s="1460"/>
      <c r="N84" s="1460"/>
      <c r="O84" s="1460"/>
      <c r="P84" s="1460"/>
      <c r="Q84" s="1460"/>
      <c r="R84" s="1460"/>
      <c r="S84" s="1460"/>
      <c r="T84" s="1460"/>
      <c r="U84" s="1460"/>
      <c r="V84" s="1460"/>
      <c r="W84" s="1460"/>
      <c r="X84" s="1460"/>
      <c r="Y84" s="1460"/>
      <c r="Z84" s="1460"/>
      <c r="AA84" s="1460"/>
      <c r="AB84" s="1460"/>
      <c r="AC84" s="1460"/>
      <c r="AD84" s="1460"/>
      <c r="AE84" s="1460"/>
      <c r="AF84" s="1460"/>
      <c r="AG84" s="1460"/>
      <c r="AH84" s="1460"/>
      <c r="AI84" s="1460"/>
      <c r="AJ84" s="1460"/>
      <c r="AK84" s="1460"/>
    </row>
    <row r="85" spans="1:37">
      <c r="A85" s="4"/>
      <c r="C85" s="2"/>
      <c r="D85" s="4"/>
      <c r="E85" s="4"/>
      <c r="F85" s="4"/>
      <c r="G85" s="1460"/>
      <c r="H85" s="1460"/>
      <c r="I85" s="1460"/>
      <c r="J85" s="1460"/>
      <c r="K85" s="1460"/>
      <c r="L85" s="1460"/>
      <c r="M85" s="1460"/>
      <c r="N85" s="1460"/>
      <c r="O85" s="1460"/>
      <c r="P85" s="1460"/>
      <c r="Q85" s="1460"/>
      <c r="R85" s="1460"/>
      <c r="S85" s="1460"/>
      <c r="T85" s="1460"/>
      <c r="U85" s="1460"/>
      <c r="V85" s="1460"/>
      <c r="W85" s="1460"/>
      <c r="X85" s="1460"/>
      <c r="Y85" s="1460"/>
      <c r="Z85" s="1460"/>
      <c r="AA85" s="1460"/>
      <c r="AB85" s="1460"/>
      <c r="AC85" s="1460"/>
      <c r="AD85" s="1460"/>
      <c r="AE85" s="1460"/>
      <c r="AF85" s="1460"/>
      <c r="AG85" s="1460"/>
      <c r="AH85" s="1460"/>
      <c r="AI85" s="1460"/>
      <c r="AJ85" s="1460"/>
      <c r="AK85" s="1460"/>
    </row>
    <row r="86" spans="1:37">
      <c r="A86" s="4"/>
      <c r="C86" s="2"/>
      <c r="D86" s="4"/>
      <c r="E86" s="4"/>
      <c r="G86" s="1460"/>
      <c r="H86" s="1460"/>
      <c r="I86" s="1460"/>
      <c r="J86" s="1460"/>
      <c r="K86" s="1460"/>
      <c r="L86" s="1460"/>
      <c r="M86" s="1460"/>
      <c r="N86" s="1460"/>
      <c r="O86" s="1460"/>
      <c r="P86" s="1460"/>
      <c r="Q86" s="1460"/>
      <c r="R86" s="1460"/>
      <c r="S86" s="1460"/>
      <c r="T86" s="1460"/>
      <c r="U86" s="1460"/>
      <c r="V86" s="1460"/>
      <c r="W86" s="1460"/>
      <c r="X86" s="1460"/>
      <c r="Y86" s="1460"/>
      <c r="Z86" s="1460"/>
      <c r="AA86" s="1460"/>
      <c r="AB86" s="1460"/>
      <c r="AC86" s="1460"/>
      <c r="AD86" s="1460"/>
      <c r="AE86" s="1460"/>
      <c r="AF86" s="1460"/>
      <c r="AG86" s="1460"/>
      <c r="AH86" s="1460"/>
      <c r="AI86" s="1460"/>
      <c r="AJ86" s="1460"/>
      <c r="AK86" s="1460"/>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9" t="s">
        <v>1171</v>
      </c>
      <c r="H88" s="1829"/>
      <c r="I88" s="1829"/>
      <c r="J88" s="1829"/>
      <c r="K88" s="1829"/>
      <c r="L88" s="1829"/>
      <c r="M88" s="1829"/>
      <c r="N88" s="1829"/>
      <c r="O88" s="1829"/>
      <c r="P88" s="1829"/>
      <c r="Q88" s="1829"/>
      <c r="R88" s="1829"/>
      <c r="S88" s="1829"/>
      <c r="T88" s="1829"/>
      <c r="U88" s="1829"/>
      <c r="V88" s="1829"/>
      <c r="W88" s="1829"/>
      <c r="X88" s="1829"/>
      <c r="Y88" s="1829"/>
      <c r="Z88" s="1829"/>
      <c r="AA88" s="1829"/>
      <c r="AB88" s="1829"/>
      <c r="AC88" s="1829"/>
      <c r="AD88" s="1829"/>
      <c r="AE88" s="1829"/>
      <c r="AF88" s="1829"/>
      <c r="AG88" s="1829"/>
      <c r="AH88" s="1829"/>
      <c r="AI88" s="1829"/>
      <c r="AJ88" s="1829"/>
      <c r="AK88" s="1829"/>
    </row>
    <row r="89" spans="1:37">
      <c r="A89" s="4"/>
      <c r="C89" s="2"/>
      <c r="D89" s="4"/>
      <c r="E89" s="4"/>
      <c r="G89" s="1829"/>
      <c r="H89" s="1829"/>
      <c r="I89" s="1829"/>
      <c r="J89" s="1829"/>
      <c r="K89" s="1829"/>
      <c r="L89" s="1829"/>
      <c r="M89" s="1829"/>
      <c r="N89" s="1829"/>
      <c r="O89" s="1829"/>
      <c r="P89" s="1829"/>
      <c r="Q89" s="1829"/>
      <c r="R89" s="1829"/>
      <c r="S89" s="1829"/>
      <c r="T89" s="1829"/>
      <c r="U89" s="1829"/>
      <c r="V89" s="1829"/>
      <c r="W89" s="1829"/>
      <c r="X89" s="1829"/>
      <c r="Y89" s="1829"/>
      <c r="Z89" s="1829"/>
      <c r="AA89" s="1829"/>
      <c r="AB89" s="1829"/>
      <c r="AC89" s="1829"/>
      <c r="AD89" s="1829"/>
      <c r="AE89" s="1829"/>
      <c r="AF89" s="1829"/>
      <c r="AG89" s="1829"/>
      <c r="AH89" s="1829"/>
      <c r="AI89" s="1829"/>
      <c r="AJ89" s="1829"/>
      <c r="AK89" s="1829"/>
    </row>
    <row r="90" spans="1:37">
      <c r="A90" s="4"/>
      <c r="C90" s="2"/>
      <c r="D90" s="4"/>
      <c r="E90" s="4"/>
      <c r="G90" s="1829"/>
      <c r="H90" s="1829"/>
      <c r="I90" s="1829"/>
      <c r="J90" s="1829"/>
      <c r="K90" s="1829"/>
      <c r="L90" s="1829"/>
      <c r="M90" s="1829"/>
      <c r="N90" s="1829"/>
      <c r="O90" s="1829"/>
      <c r="P90" s="1829"/>
      <c r="Q90" s="1829"/>
      <c r="R90" s="1829"/>
      <c r="S90" s="1829"/>
      <c r="T90" s="1829"/>
      <c r="U90" s="1829"/>
      <c r="V90" s="1829"/>
      <c r="W90" s="1829"/>
      <c r="X90" s="1829"/>
      <c r="Y90" s="1829"/>
      <c r="Z90" s="1829"/>
      <c r="AA90" s="1829"/>
      <c r="AB90" s="1829"/>
      <c r="AC90" s="1829"/>
      <c r="AD90" s="1829"/>
      <c r="AE90" s="1829"/>
      <c r="AF90" s="1829"/>
      <c r="AG90" s="1829"/>
      <c r="AH90" s="1829"/>
      <c r="AI90" s="1829"/>
      <c r="AJ90" s="1829"/>
      <c r="AK90" s="182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60" t="s">
        <v>1172</v>
      </c>
      <c r="H92" s="1460"/>
      <c r="I92" s="1460"/>
      <c r="J92" s="1460"/>
      <c r="K92" s="1460"/>
      <c r="L92" s="1460"/>
      <c r="M92" s="1460"/>
      <c r="N92" s="1460"/>
      <c r="O92" s="1460"/>
      <c r="P92" s="1460"/>
      <c r="Q92" s="1460"/>
      <c r="R92" s="1460"/>
      <c r="S92" s="1460"/>
      <c r="T92" s="1460"/>
      <c r="U92" s="1460"/>
      <c r="V92" s="1460"/>
      <c r="W92" s="1460"/>
      <c r="X92" s="1460"/>
      <c r="Y92" s="1460"/>
      <c r="Z92" s="1460"/>
      <c r="AA92" s="1460"/>
      <c r="AB92" s="1460"/>
      <c r="AC92" s="1460"/>
      <c r="AD92" s="1460"/>
      <c r="AE92" s="1460"/>
      <c r="AF92" s="1460"/>
      <c r="AG92" s="1460"/>
      <c r="AH92" s="1460"/>
      <c r="AI92" s="1460"/>
      <c r="AJ92" s="1460"/>
      <c r="AK92" s="1460"/>
    </row>
    <row r="93" spans="1:37">
      <c r="A93" s="4"/>
      <c r="C93" s="2"/>
      <c r="D93" s="4"/>
      <c r="E93" s="4"/>
      <c r="G93" s="1460"/>
      <c r="H93" s="1460"/>
      <c r="I93" s="1460"/>
      <c r="J93" s="1460"/>
      <c r="K93" s="1460"/>
      <c r="L93" s="1460"/>
      <c r="M93" s="1460"/>
      <c r="N93" s="1460"/>
      <c r="O93" s="1460"/>
      <c r="P93" s="1460"/>
      <c r="Q93" s="1460"/>
      <c r="R93" s="1460"/>
      <c r="S93" s="1460"/>
      <c r="T93" s="1460"/>
      <c r="U93" s="1460"/>
      <c r="V93" s="1460"/>
      <c r="W93" s="1460"/>
      <c r="X93" s="1460"/>
      <c r="Y93" s="1460"/>
      <c r="Z93" s="1460"/>
      <c r="AA93" s="1460"/>
      <c r="AB93" s="1460"/>
      <c r="AC93" s="1460"/>
      <c r="AD93" s="1460"/>
      <c r="AE93" s="1460"/>
      <c r="AF93" s="1460"/>
      <c r="AG93" s="1460"/>
      <c r="AH93" s="1460"/>
      <c r="AI93" s="1460"/>
      <c r="AJ93" s="1460"/>
      <c r="AK93" s="1460"/>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60" t="s">
        <v>1173</v>
      </c>
      <c r="H95" s="1460"/>
      <c r="I95" s="1460"/>
      <c r="J95" s="1460"/>
      <c r="K95" s="1460"/>
      <c r="L95" s="1460"/>
      <c r="M95" s="1460"/>
      <c r="N95" s="1460"/>
      <c r="O95" s="1460"/>
      <c r="P95" s="1460"/>
      <c r="Q95" s="1460"/>
      <c r="R95" s="1460"/>
      <c r="S95" s="1460"/>
      <c r="T95" s="1460"/>
      <c r="U95" s="1460"/>
      <c r="V95" s="1460"/>
      <c r="W95" s="1460"/>
      <c r="X95" s="1460"/>
      <c r="Y95" s="1460"/>
      <c r="Z95" s="1460"/>
      <c r="AA95" s="1460"/>
      <c r="AB95" s="1460"/>
      <c r="AC95" s="1460"/>
      <c r="AD95" s="1460"/>
      <c r="AE95" s="1460"/>
      <c r="AF95" s="1460"/>
      <c r="AG95" s="1460"/>
      <c r="AH95" s="1460"/>
      <c r="AI95" s="1460"/>
      <c r="AJ95" s="1460"/>
      <c r="AK95" s="1460"/>
    </row>
    <row r="96" spans="1:37">
      <c r="A96" s="4"/>
      <c r="C96" s="2"/>
      <c r="D96" s="4"/>
      <c r="E96" s="4"/>
      <c r="G96" s="1460"/>
      <c r="H96" s="1460"/>
      <c r="I96" s="1460"/>
      <c r="J96" s="1460"/>
      <c r="K96" s="1460"/>
      <c r="L96" s="1460"/>
      <c r="M96" s="1460"/>
      <c r="N96" s="1460"/>
      <c r="O96" s="1460"/>
      <c r="P96" s="1460"/>
      <c r="Q96" s="1460"/>
      <c r="R96" s="1460"/>
      <c r="S96" s="1460"/>
      <c r="T96" s="1460"/>
      <c r="U96" s="1460"/>
      <c r="V96" s="1460"/>
      <c r="W96" s="1460"/>
      <c r="X96" s="1460"/>
      <c r="Y96" s="1460"/>
      <c r="Z96" s="1460"/>
      <c r="AA96" s="1460"/>
      <c r="AB96" s="1460"/>
      <c r="AC96" s="1460"/>
      <c r="AD96" s="1460"/>
      <c r="AE96" s="1460"/>
      <c r="AF96" s="1460"/>
      <c r="AG96" s="1460"/>
      <c r="AH96" s="1460"/>
      <c r="AI96" s="1460"/>
      <c r="AJ96" s="1460"/>
      <c r="AK96" s="1460"/>
    </row>
    <row r="97" spans="1:38">
      <c r="A97" s="4"/>
      <c r="C97" s="2"/>
      <c r="D97" s="4"/>
      <c r="E97" s="4"/>
      <c r="G97" s="1460"/>
      <c r="H97" s="1460"/>
      <c r="I97" s="1460"/>
      <c r="J97" s="1460"/>
      <c r="K97" s="1460"/>
      <c r="L97" s="1460"/>
      <c r="M97" s="1460"/>
      <c r="N97" s="1460"/>
      <c r="O97" s="1460"/>
      <c r="P97" s="1460"/>
      <c r="Q97" s="1460"/>
      <c r="R97" s="1460"/>
      <c r="S97" s="1460"/>
      <c r="T97" s="1460"/>
      <c r="U97" s="1460"/>
      <c r="V97" s="1460"/>
      <c r="W97" s="1460"/>
      <c r="X97" s="1460"/>
      <c r="Y97" s="1460"/>
      <c r="Z97" s="1460"/>
      <c r="AA97" s="1460"/>
      <c r="AB97" s="1460"/>
      <c r="AC97" s="1460"/>
      <c r="AD97" s="1460"/>
      <c r="AE97" s="1460"/>
      <c r="AF97" s="1460"/>
      <c r="AG97" s="1460"/>
      <c r="AH97" s="1460"/>
      <c r="AI97" s="1460"/>
      <c r="AJ97" s="1460"/>
      <c r="AK97" s="1460"/>
    </row>
    <row r="98" spans="1:38">
      <c r="A98" s="4"/>
      <c r="D98" s="99"/>
      <c r="E98" s="1830" t="s">
        <v>1174</v>
      </c>
      <c r="F98" s="1830"/>
      <c r="G98" s="1830"/>
      <c r="H98" s="1830"/>
      <c r="I98" s="1830"/>
      <c r="J98" s="1830"/>
      <c r="K98" s="1830"/>
      <c r="L98" s="1830"/>
      <c r="M98" s="1830"/>
      <c r="N98" s="1830"/>
      <c r="O98" s="1830"/>
      <c r="P98" s="1830"/>
      <c r="Q98" s="1830"/>
      <c r="R98" s="1830"/>
      <c r="S98" s="1830"/>
      <c r="T98" s="1830"/>
      <c r="U98" s="1830"/>
      <c r="V98" s="1830"/>
      <c r="W98" s="1830"/>
      <c r="X98" s="1830"/>
      <c r="Y98" s="1830"/>
      <c r="Z98" s="1830"/>
      <c r="AA98" s="1830"/>
      <c r="AB98" s="1830"/>
      <c r="AC98" s="1830"/>
      <c r="AD98" s="1830"/>
      <c r="AE98" s="1830"/>
      <c r="AF98" s="1830"/>
      <c r="AG98" s="1830"/>
      <c r="AH98" s="1830"/>
      <c r="AI98" s="1830"/>
      <c r="AJ98" s="1830"/>
      <c r="AK98" s="1830"/>
    </row>
    <row r="99" spans="1:38">
      <c r="A99" s="4"/>
      <c r="D99" s="99"/>
      <c r="E99" s="1830"/>
      <c r="F99" s="1830"/>
      <c r="G99" s="1830"/>
      <c r="H99" s="1830"/>
      <c r="I99" s="1830"/>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60" t="s">
        <v>1175</v>
      </c>
      <c r="H205" s="1460"/>
      <c r="I205" s="1460"/>
      <c r="J205" s="1460"/>
      <c r="K205" s="1460"/>
      <c r="L205" s="1460"/>
      <c r="M205" s="1460"/>
      <c r="N205" s="1460"/>
      <c r="O205" s="1460"/>
      <c r="P205" s="1460"/>
      <c r="Q205" s="1460"/>
      <c r="R205" s="1460"/>
      <c r="S205" s="1460"/>
      <c r="T205" s="1460"/>
      <c r="U205" s="1460"/>
      <c r="V205" s="1460"/>
      <c r="W205" s="1460"/>
      <c r="X205" s="1460"/>
      <c r="Y205" s="1460"/>
      <c r="Z205" s="1460"/>
      <c r="AA205" s="1460"/>
      <c r="AB205" s="1460"/>
      <c r="AC205" s="1460"/>
      <c r="AD205" s="1460"/>
      <c r="AE205" s="1460"/>
      <c r="AF205" s="1460"/>
      <c r="AG205" s="1460"/>
      <c r="AH205" s="1460"/>
      <c r="AI205" s="1460"/>
      <c r="AJ205" s="1460"/>
      <c r="AK205" s="1460"/>
    </row>
    <row r="206" spans="2:37">
      <c r="B206" s="4"/>
      <c r="C206" s="4"/>
      <c r="D206" s="2"/>
      <c r="G206" s="1460"/>
      <c r="H206" s="1460"/>
      <c r="I206" s="1460"/>
      <c r="J206" s="1460"/>
      <c r="K206" s="1460"/>
      <c r="L206" s="1460"/>
      <c r="M206" s="1460"/>
      <c r="N206" s="1460"/>
      <c r="O206" s="1460"/>
      <c r="P206" s="1460"/>
      <c r="Q206" s="1460"/>
      <c r="R206" s="1460"/>
      <c r="S206" s="1460"/>
      <c r="T206" s="1460"/>
      <c r="U206" s="1460"/>
      <c r="V206" s="1460"/>
      <c r="W206" s="1460"/>
      <c r="X206" s="1460"/>
      <c r="Y206" s="1460"/>
      <c r="Z206" s="1460"/>
      <c r="AA206" s="1460"/>
      <c r="AB206" s="1460"/>
      <c r="AC206" s="1460"/>
      <c r="AD206" s="1460"/>
      <c r="AE206" s="1460"/>
      <c r="AF206" s="1460"/>
      <c r="AG206" s="1460"/>
      <c r="AH206" s="1460"/>
      <c r="AI206" s="1460"/>
      <c r="AJ206" s="1460"/>
      <c r="AK206" s="1460"/>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60" t="s">
        <v>1154</v>
      </c>
      <c r="G336" s="1460"/>
      <c r="H336" s="1460"/>
      <c r="I336" s="1460"/>
      <c r="J336" s="1460"/>
      <c r="K336" s="1460"/>
      <c r="L336" s="1460"/>
      <c r="M336" s="1460"/>
      <c r="N336" s="1460"/>
      <c r="O336" s="1460"/>
      <c r="P336" s="1460"/>
      <c r="Q336" s="1460"/>
      <c r="R336" s="1460"/>
      <c r="S336" s="1460"/>
      <c r="T336" s="1460"/>
      <c r="U336" s="1460"/>
      <c r="V336" s="1460"/>
      <c r="W336" s="1460"/>
      <c r="X336" s="1460"/>
      <c r="Y336" s="1460"/>
      <c r="Z336" s="1460"/>
      <c r="AA336" s="1460"/>
      <c r="AB336" s="1460"/>
      <c r="AC336" s="1460"/>
      <c r="AD336" s="1460"/>
      <c r="AE336" s="1460"/>
      <c r="AF336" s="1460"/>
      <c r="AG336" s="1460"/>
      <c r="AH336" s="1460"/>
      <c r="AI336" s="1460"/>
      <c r="AJ336" s="1460"/>
      <c r="AK336" s="1460"/>
    </row>
    <row r="337" spans="2:37">
      <c r="B337" s="2"/>
      <c r="E337" s="4"/>
      <c r="F337" s="1460"/>
      <c r="G337" s="1460"/>
      <c r="H337" s="1460"/>
      <c r="I337" s="1460"/>
      <c r="J337" s="1460"/>
      <c r="K337" s="1460"/>
      <c r="L337" s="1460"/>
      <c r="M337" s="1460"/>
      <c r="N337" s="1460"/>
      <c r="O337" s="1460"/>
      <c r="P337" s="1460"/>
      <c r="Q337" s="1460"/>
      <c r="R337" s="1460"/>
      <c r="S337" s="1460"/>
      <c r="T337" s="1460"/>
      <c r="U337" s="1460"/>
      <c r="V337" s="1460"/>
      <c r="W337" s="1460"/>
      <c r="X337" s="1460"/>
      <c r="Y337" s="1460"/>
      <c r="Z337" s="1460"/>
      <c r="AA337" s="1460"/>
      <c r="AB337" s="1460"/>
      <c r="AC337" s="1460"/>
      <c r="AD337" s="1460"/>
      <c r="AE337" s="1460"/>
      <c r="AF337" s="1460"/>
      <c r="AG337" s="1460"/>
      <c r="AH337" s="1460"/>
      <c r="AI337" s="1460"/>
      <c r="AJ337" s="1460"/>
      <c r="AK337" s="1460"/>
    </row>
    <row r="338" spans="2:37">
      <c r="B338" s="2"/>
      <c r="E338" s="4"/>
      <c r="F338" s="1460"/>
      <c r="G338" s="1460"/>
      <c r="H338" s="1460"/>
      <c r="I338" s="1460"/>
      <c r="J338" s="1460"/>
      <c r="K338" s="1460"/>
      <c r="L338" s="1460"/>
      <c r="M338" s="1460"/>
      <c r="N338" s="1460"/>
      <c r="O338" s="1460"/>
      <c r="P338" s="1460"/>
      <c r="Q338" s="1460"/>
      <c r="R338" s="1460"/>
      <c r="S338" s="1460"/>
      <c r="T338" s="1460"/>
      <c r="U338" s="1460"/>
      <c r="V338" s="1460"/>
      <c r="W338" s="1460"/>
      <c r="X338" s="1460"/>
      <c r="Y338" s="1460"/>
      <c r="Z338" s="1460"/>
      <c r="AA338" s="1460"/>
      <c r="AB338" s="1460"/>
      <c r="AC338" s="1460"/>
      <c r="AD338" s="1460"/>
      <c r="AE338" s="1460"/>
      <c r="AF338" s="1460"/>
      <c r="AG338" s="1460"/>
      <c r="AH338" s="1460"/>
      <c r="AI338" s="1460"/>
      <c r="AJ338" s="1460"/>
      <c r="AK338" s="1460"/>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2" customHeight="1">
      <c r="B341" s="2"/>
      <c r="E341" s="1823" t="s">
        <v>1234</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c r="B346" s="2"/>
      <c r="E346" s="3" t="s">
        <v>112</v>
      </c>
      <c r="F346" s="1460" t="s">
        <v>1236</v>
      </c>
      <c r="G346" s="1460"/>
      <c r="H346" s="1460"/>
      <c r="I346" s="1460"/>
      <c r="J346" s="1460"/>
      <c r="K346" s="1460"/>
      <c r="L346" s="1460"/>
      <c r="M346" s="1460"/>
      <c r="N346" s="1460"/>
      <c r="O346" s="1460"/>
      <c r="P346" s="1460"/>
      <c r="Q346" s="1460"/>
      <c r="R346" s="1460"/>
      <c r="S346" s="1460"/>
      <c r="T346" s="1460"/>
      <c r="U346" s="1460"/>
      <c r="V346" s="1460"/>
      <c r="W346" s="1460"/>
      <c r="X346" s="1460"/>
      <c r="Y346" s="1460"/>
      <c r="Z346" s="1460"/>
      <c r="AA346" s="1460"/>
      <c r="AB346" s="1460"/>
      <c r="AC346" s="1460"/>
      <c r="AD346" s="1460"/>
      <c r="AE346" s="1460"/>
      <c r="AF346" s="1460"/>
      <c r="AG346" s="1460"/>
      <c r="AH346" s="1460"/>
      <c r="AI346" s="1460"/>
      <c r="AJ346" s="1460"/>
      <c r="AK346" s="1460"/>
    </row>
    <row r="347" spans="2:37">
      <c r="B347" s="2"/>
      <c r="E347" s="3"/>
      <c r="F347" s="1460"/>
      <c r="G347" s="1460"/>
      <c r="H347" s="1460"/>
      <c r="I347" s="1460"/>
      <c r="J347" s="1460"/>
      <c r="K347" s="1460"/>
      <c r="L347" s="1460"/>
      <c r="M347" s="1460"/>
      <c r="N347" s="1460"/>
      <c r="O347" s="1460"/>
      <c r="P347" s="1460"/>
      <c r="Q347" s="1460"/>
      <c r="R347" s="1460"/>
      <c r="S347" s="1460"/>
      <c r="T347" s="1460"/>
      <c r="U347" s="1460"/>
      <c r="V347" s="1460"/>
      <c r="W347" s="1460"/>
      <c r="X347" s="1460"/>
      <c r="Y347" s="1460"/>
      <c r="Z347" s="1460"/>
      <c r="AA347" s="1460"/>
      <c r="AB347" s="1460"/>
      <c r="AC347" s="1460"/>
      <c r="AD347" s="1460"/>
      <c r="AE347" s="1460"/>
      <c r="AF347" s="1460"/>
      <c r="AG347" s="1460"/>
      <c r="AH347" s="1460"/>
      <c r="AI347" s="1460"/>
      <c r="AJ347" s="1460"/>
      <c r="AK347" s="1460"/>
    </row>
    <row r="348" spans="2:37">
      <c r="B348" s="2"/>
      <c r="E348" s="3"/>
      <c r="F348" s="1460"/>
      <c r="G348" s="1460"/>
      <c r="H348" s="1460"/>
      <c r="I348" s="1460"/>
      <c r="J348" s="1460"/>
      <c r="K348" s="1460"/>
      <c r="L348" s="1460"/>
      <c r="M348" s="1460"/>
      <c r="N348" s="1460"/>
      <c r="O348" s="1460"/>
      <c r="P348" s="1460"/>
      <c r="Q348" s="1460"/>
      <c r="R348" s="1460"/>
      <c r="S348" s="1460"/>
      <c r="T348" s="1460"/>
      <c r="U348" s="1460"/>
      <c r="V348" s="1460"/>
      <c r="W348" s="1460"/>
      <c r="X348" s="1460"/>
      <c r="Y348" s="1460"/>
      <c r="Z348" s="1460"/>
      <c r="AA348" s="1460"/>
      <c r="AB348" s="1460"/>
      <c r="AC348" s="1460"/>
      <c r="AD348" s="1460"/>
      <c r="AE348" s="1460"/>
      <c r="AF348" s="1460"/>
      <c r="AG348" s="1460"/>
      <c r="AH348" s="1460"/>
      <c r="AI348" s="1460"/>
      <c r="AJ348" s="1460"/>
      <c r="AK348" s="1460"/>
    </row>
    <row r="349" spans="2:37">
      <c r="B349" s="2"/>
      <c r="E349" s="3"/>
      <c r="F349" s="1460"/>
      <c r="G349" s="1460"/>
      <c r="H349" s="1460"/>
      <c r="I349" s="1460"/>
      <c r="J349" s="1460"/>
      <c r="K349" s="1460"/>
      <c r="L349" s="1460"/>
      <c r="M349" s="1460"/>
      <c r="N349" s="1460"/>
      <c r="O349" s="1460"/>
      <c r="P349" s="1460"/>
      <c r="Q349" s="1460"/>
      <c r="R349" s="1460"/>
      <c r="S349" s="1460"/>
      <c r="T349" s="1460"/>
      <c r="U349" s="1460"/>
      <c r="V349" s="1460"/>
      <c r="W349" s="1460"/>
      <c r="X349" s="1460"/>
      <c r="Y349" s="1460"/>
      <c r="Z349" s="1460"/>
      <c r="AA349" s="1460"/>
      <c r="AB349" s="1460"/>
      <c r="AC349" s="1460"/>
      <c r="AD349" s="1460"/>
      <c r="AE349" s="1460"/>
      <c r="AF349" s="1460"/>
      <c r="AG349" s="1460"/>
      <c r="AH349" s="1460"/>
      <c r="AI349" s="1460"/>
      <c r="AJ349" s="1460"/>
      <c r="AK349" s="1460"/>
    </row>
    <row r="350" spans="2:37">
      <c r="B350" s="2"/>
      <c r="E350" s="3" t="s">
        <v>113</v>
      </c>
      <c r="F350" s="1460" t="s">
        <v>1235</v>
      </c>
      <c r="G350" s="1460"/>
      <c r="H350" s="1460"/>
      <c r="I350" s="1460"/>
      <c r="J350" s="1460"/>
      <c r="K350" s="1460"/>
      <c r="L350" s="1460"/>
      <c r="M350" s="1460"/>
      <c r="N350" s="1460"/>
      <c r="O350" s="1460"/>
      <c r="P350" s="1460"/>
      <c r="Q350" s="1460"/>
      <c r="R350" s="1460"/>
      <c r="S350" s="1460"/>
      <c r="T350" s="1460"/>
      <c r="U350" s="1460"/>
      <c r="V350" s="1460"/>
      <c r="W350" s="1460"/>
      <c r="X350" s="1460"/>
      <c r="Y350" s="1460"/>
      <c r="Z350" s="1460"/>
      <c r="AA350" s="1460"/>
      <c r="AB350" s="1460"/>
      <c r="AC350" s="1460"/>
      <c r="AD350" s="1460"/>
      <c r="AE350" s="1460"/>
      <c r="AF350" s="1460"/>
      <c r="AG350" s="1460"/>
      <c r="AH350" s="1460"/>
      <c r="AI350" s="1460"/>
      <c r="AJ350" s="1460"/>
      <c r="AK350" s="1460"/>
    </row>
    <row r="351" spans="2:37">
      <c r="B351" s="2"/>
      <c r="F351" s="1460"/>
      <c r="G351" s="1460"/>
      <c r="H351" s="1460"/>
      <c r="I351" s="1460"/>
      <c r="J351" s="1460"/>
      <c r="K351" s="1460"/>
      <c r="L351" s="1460"/>
      <c r="M351" s="1460"/>
      <c r="N351" s="1460"/>
      <c r="O351" s="1460"/>
      <c r="P351" s="1460"/>
      <c r="Q351" s="1460"/>
      <c r="R351" s="1460"/>
      <c r="S351" s="1460"/>
      <c r="T351" s="1460"/>
      <c r="U351" s="1460"/>
      <c r="V351" s="1460"/>
      <c r="W351" s="1460"/>
      <c r="X351" s="1460"/>
      <c r="Y351" s="1460"/>
      <c r="Z351" s="1460"/>
      <c r="AA351" s="1460"/>
      <c r="AB351" s="1460"/>
      <c r="AC351" s="1460"/>
      <c r="AD351" s="1460"/>
      <c r="AE351" s="1460"/>
      <c r="AF351" s="1460"/>
      <c r="AG351" s="1460"/>
      <c r="AH351" s="1460"/>
      <c r="AI351" s="1460"/>
      <c r="AJ351" s="1460"/>
      <c r="AK351" s="1460"/>
    </row>
    <row r="352" spans="2:37">
      <c r="B352" s="2"/>
      <c r="F352" s="1460"/>
      <c r="G352" s="1460"/>
      <c r="H352" s="1460"/>
      <c r="I352" s="1460"/>
      <c r="J352" s="1460"/>
      <c r="K352" s="1460"/>
      <c r="L352" s="1460"/>
      <c r="M352" s="1460"/>
      <c r="N352" s="1460"/>
      <c r="O352" s="1460"/>
      <c r="P352" s="1460"/>
      <c r="Q352" s="1460"/>
      <c r="R352" s="1460"/>
      <c r="S352" s="1460"/>
      <c r="T352" s="1460"/>
      <c r="U352" s="1460"/>
      <c r="V352" s="1460"/>
      <c r="W352" s="1460"/>
      <c r="X352" s="1460"/>
      <c r="Y352" s="1460"/>
      <c r="Z352" s="1460"/>
      <c r="AA352" s="1460"/>
      <c r="AB352" s="1460"/>
      <c r="AC352" s="1460"/>
      <c r="AD352" s="1460"/>
      <c r="AE352" s="1460"/>
      <c r="AF352" s="1460"/>
      <c r="AG352" s="1460"/>
      <c r="AH352" s="1460"/>
      <c r="AI352" s="1460"/>
      <c r="AJ352" s="1460"/>
      <c r="AK352" s="1460"/>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4" t="s">
        <v>1225</v>
      </c>
      <c r="F365" s="1824"/>
      <c r="G365" s="1824"/>
      <c r="H365" s="1824"/>
      <c r="I365" s="1824"/>
      <c r="J365" s="1824"/>
      <c r="K365" s="1824"/>
      <c r="L365" s="1824"/>
      <c r="M365" s="1824"/>
      <c r="N365" s="1824"/>
      <c r="O365" s="1824"/>
      <c r="P365" s="1824"/>
      <c r="Q365" s="1824"/>
      <c r="R365" s="1824"/>
      <c r="S365" s="1824"/>
      <c r="T365" s="1824"/>
      <c r="U365" s="1824"/>
      <c r="V365" s="1824"/>
      <c r="W365" s="1824"/>
      <c r="X365" s="1824"/>
      <c r="Y365" s="1824"/>
      <c r="Z365" s="1824"/>
      <c r="AA365" s="1824"/>
      <c r="AB365" s="1824"/>
      <c r="AC365" s="1824"/>
      <c r="AD365" s="1824"/>
      <c r="AE365" s="1824"/>
      <c r="AF365" s="1824"/>
      <c r="AG365" s="1824"/>
      <c r="AH365" s="1824"/>
      <c r="AI365" s="1824"/>
      <c r="AJ365" s="1824"/>
      <c r="AK365" s="1824"/>
      <c r="AL365" s="1824"/>
    </row>
    <row r="366" spans="1:38">
      <c r="B366" s="2"/>
      <c r="E366" s="1824"/>
      <c r="F366" s="1824"/>
      <c r="G366" s="1824"/>
      <c r="H366" s="1824"/>
      <c r="I366" s="1824"/>
      <c r="J366" s="1824"/>
      <c r="K366" s="1824"/>
      <c r="L366" s="1824"/>
      <c r="M366" s="1824"/>
      <c r="N366" s="1824"/>
      <c r="O366" s="1824"/>
      <c r="P366" s="1824"/>
      <c r="Q366" s="1824"/>
      <c r="R366" s="1824"/>
      <c r="S366" s="1824"/>
      <c r="T366" s="1824"/>
      <c r="U366" s="1824"/>
      <c r="V366" s="1824"/>
      <c r="W366" s="1824"/>
      <c r="X366" s="1824"/>
      <c r="Y366" s="1824"/>
      <c r="Z366" s="1824"/>
      <c r="AA366" s="1824"/>
      <c r="AB366" s="1824"/>
      <c r="AC366" s="1824"/>
      <c r="AD366" s="1824"/>
      <c r="AE366" s="1824"/>
      <c r="AF366" s="1824"/>
      <c r="AG366" s="1824"/>
      <c r="AH366" s="1824"/>
      <c r="AI366" s="1824"/>
      <c r="AJ366" s="1824"/>
      <c r="AK366" s="1824"/>
      <c r="AL366" s="1824"/>
    </row>
    <row r="367" spans="1:38" s="1825" customFormat="1">
      <c r="A367"/>
      <c r="B367" s="2"/>
      <c r="C367"/>
      <c r="D367"/>
      <c r="E367" s="1325" t="s">
        <v>1257</v>
      </c>
    </row>
    <row r="368" spans="1:38" s="182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60" t="s">
        <v>1268</v>
      </c>
      <c r="G386" s="1460"/>
      <c r="H386" s="1460"/>
      <c r="I386" s="1460"/>
      <c r="J386" s="1460"/>
      <c r="K386" s="1460"/>
      <c r="L386" s="1460"/>
      <c r="M386" s="1460"/>
      <c r="N386" s="1460"/>
      <c r="O386" s="1460"/>
      <c r="P386" s="1460"/>
      <c r="Q386" s="1460"/>
      <c r="R386" s="1460"/>
      <c r="S386" s="1460"/>
      <c r="T386" s="1460"/>
      <c r="U386" s="1460"/>
      <c r="V386" s="1460"/>
      <c r="W386" s="1460"/>
      <c r="X386" s="1460"/>
      <c r="Y386" s="1460"/>
      <c r="Z386" s="1460"/>
      <c r="AA386" s="1460"/>
      <c r="AB386" s="1460"/>
      <c r="AC386" s="1460"/>
      <c r="AD386" s="1460"/>
      <c r="AE386" s="1460"/>
      <c r="AF386" s="1460"/>
      <c r="AG386" s="1460"/>
      <c r="AH386" s="1460"/>
      <c r="AI386" s="1460"/>
      <c r="AJ386" s="1460"/>
      <c r="AK386" s="1460"/>
    </row>
    <row r="387" spans="1:38">
      <c r="B387" s="2"/>
      <c r="E387" s="3"/>
      <c r="F387" s="1460"/>
      <c r="G387" s="1460"/>
      <c r="H387" s="1460"/>
      <c r="I387" s="1460"/>
      <c r="J387" s="1460"/>
      <c r="K387" s="1460"/>
      <c r="L387" s="1460"/>
      <c r="M387" s="1460"/>
      <c r="N387" s="1460"/>
      <c r="O387" s="1460"/>
      <c r="P387" s="1460"/>
      <c r="Q387" s="1460"/>
      <c r="R387" s="1460"/>
      <c r="S387" s="1460"/>
      <c r="T387" s="1460"/>
      <c r="U387" s="1460"/>
      <c r="V387" s="1460"/>
      <c r="W387" s="1460"/>
      <c r="X387" s="1460"/>
      <c r="Y387" s="1460"/>
      <c r="Z387" s="1460"/>
      <c r="AA387" s="1460"/>
      <c r="AB387" s="1460"/>
      <c r="AC387" s="1460"/>
      <c r="AD387" s="1460"/>
      <c r="AE387" s="1460"/>
      <c r="AF387" s="1460"/>
      <c r="AG387" s="1460"/>
      <c r="AH387" s="1460"/>
      <c r="AI387" s="1460"/>
      <c r="AJ387" s="1460"/>
      <c r="AK387" s="1460"/>
    </row>
    <row r="388" spans="1:38">
      <c r="B388" s="2"/>
      <c r="E388" s="3"/>
      <c r="F388" s="1460"/>
      <c r="G388" s="1460"/>
      <c r="H388" s="1460"/>
      <c r="I388" s="1460"/>
      <c r="J388" s="1460"/>
      <c r="K388" s="1460"/>
      <c r="L388" s="1460"/>
      <c r="M388" s="1460"/>
      <c r="N388" s="1460"/>
      <c r="O388" s="1460"/>
      <c r="P388" s="1460"/>
      <c r="Q388" s="1460"/>
      <c r="R388" s="1460"/>
      <c r="S388" s="1460"/>
      <c r="T388" s="1460"/>
      <c r="U388" s="1460"/>
      <c r="V388" s="1460"/>
      <c r="W388" s="1460"/>
      <c r="X388" s="1460"/>
      <c r="Y388" s="1460"/>
      <c r="Z388" s="1460"/>
      <c r="AA388" s="1460"/>
      <c r="AB388" s="1460"/>
      <c r="AC388" s="1460"/>
      <c r="AD388" s="1460"/>
      <c r="AE388" s="1460"/>
      <c r="AF388" s="1460"/>
      <c r="AG388" s="1460"/>
      <c r="AH388" s="1460"/>
      <c r="AI388" s="1460"/>
      <c r="AJ388" s="1460"/>
      <c r="AK388" s="146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2"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8" customWidth="1"/>
    <col min="11" max="16384" width="8.88671875" style="398" hidden="1"/>
  </cols>
  <sheetData>
    <row r="1" spans="1:10" ht="15.6">
      <c r="A1" s="1831" t="s">
        <v>1837</v>
      </c>
      <c r="B1" s="1832"/>
      <c r="C1" s="1832"/>
      <c r="D1" s="1832"/>
      <c r="E1" s="1832"/>
      <c r="F1" s="1832"/>
      <c r="G1" s="1832"/>
      <c r="H1" s="1832"/>
      <c r="I1" s="1832"/>
      <c r="J1" s="1832"/>
    </row>
    <row r="2" spans="1:10" ht="15">
      <c r="A2" s="1835" t="s">
        <v>1267</v>
      </c>
      <c r="B2" s="1836"/>
      <c r="C2" s="1836"/>
      <c r="D2" s="1836"/>
      <c r="E2" s="1836"/>
      <c r="F2" s="1836"/>
      <c r="G2" s="1836"/>
      <c r="H2" s="1836"/>
      <c r="I2" s="1836"/>
      <c r="J2" s="1836"/>
    </row>
    <row r="3" spans="1:10" ht="13.2"/>
    <row r="4" spans="1:10" ht="12.75" customHeight="1">
      <c r="A4" s="1833" t="s">
        <v>2000</v>
      </c>
      <c r="B4" s="1833"/>
      <c r="C4" s="1833"/>
      <c r="D4" s="1833"/>
      <c r="E4" s="1833"/>
      <c r="F4" s="1833"/>
      <c r="G4" s="1833"/>
      <c r="H4" s="1833"/>
      <c r="I4" s="1833"/>
      <c r="J4" s="1833"/>
    </row>
    <row r="5" spans="1:10" ht="13.2">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3.2">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3.2"/>
    <row r="10" spans="1:10" ht="12.75" customHeight="1">
      <c r="A10" s="1837" t="s">
        <v>1842</v>
      </c>
      <c r="B10" s="1837"/>
      <c r="C10" s="1837"/>
      <c r="D10" s="1837"/>
      <c r="E10" s="1837"/>
      <c r="F10" s="1837"/>
      <c r="G10" s="1837"/>
      <c r="H10" s="1837"/>
      <c r="I10" s="1837"/>
      <c r="J10" s="1837"/>
    </row>
    <row r="11" spans="1:10" ht="13.2">
      <c r="A11" s="1837"/>
      <c r="B11" s="1837"/>
      <c r="C11" s="1837"/>
      <c r="D11" s="1837"/>
      <c r="E11" s="1837"/>
      <c r="F11" s="1837"/>
      <c r="G11" s="1837"/>
      <c r="H11" s="1837"/>
      <c r="I11" s="1837"/>
      <c r="J11" s="1837"/>
    </row>
    <row r="12" spans="1:10" ht="13.2">
      <c r="A12" s="1837"/>
      <c r="B12" s="1837"/>
      <c r="C12" s="1837"/>
      <c r="D12" s="1837"/>
      <c r="E12" s="1837"/>
      <c r="F12" s="1837"/>
      <c r="G12" s="1837"/>
      <c r="H12" s="1837"/>
      <c r="I12" s="1837"/>
      <c r="J12" s="1837"/>
    </row>
    <row r="13" spans="1:10" ht="13.2">
      <c r="A13" s="1837"/>
      <c r="B13" s="1837"/>
      <c r="C13" s="1837"/>
      <c r="D13" s="1837"/>
      <c r="E13" s="1837"/>
      <c r="F13" s="1837"/>
      <c r="G13" s="1837"/>
      <c r="H13" s="1837"/>
      <c r="I13" s="1837"/>
      <c r="J13" s="1837"/>
    </row>
    <row r="14" spans="1:10" ht="13.2">
      <c r="A14" s="1837"/>
      <c r="B14" s="1837"/>
      <c r="C14" s="1837"/>
      <c r="D14" s="1837"/>
      <c r="E14" s="1837"/>
      <c r="F14" s="1837"/>
      <c r="G14" s="1837"/>
      <c r="H14" s="1837"/>
      <c r="I14" s="1837"/>
      <c r="J14" s="1837"/>
    </row>
    <row r="15" spans="1:10" ht="13.2">
      <c r="A15" s="1837"/>
      <c r="B15" s="1837"/>
      <c r="C15" s="1837"/>
      <c r="D15" s="1837"/>
      <c r="E15" s="1837"/>
      <c r="F15" s="1837"/>
      <c r="G15" s="1837"/>
      <c r="H15" s="1837"/>
      <c r="I15" s="1837"/>
      <c r="J15" s="1837"/>
    </row>
    <row r="16" spans="1:10" ht="13.2">
      <c r="A16" s="520"/>
      <c r="B16" s="520"/>
      <c r="C16" s="520"/>
      <c r="D16" s="520"/>
      <c r="E16" s="520"/>
      <c r="F16" s="520"/>
      <c r="G16" s="520"/>
      <c r="H16" s="520"/>
      <c r="I16" s="520"/>
      <c r="J16" s="520"/>
    </row>
    <row r="17" spans="1:10" ht="13.2">
      <c r="A17" s="472" t="s">
        <v>1841</v>
      </c>
      <c r="B17" s="412"/>
      <c r="C17" s="412"/>
      <c r="D17" s="412"/>
      <c r="E17" s="412"/>
      <c r="F17" s="412"/>
      <c r="G17" s="412"/>
      <c r="H17" s="412"/>
      <c r="I17" s="412"/>
      <c r="J17" s="412"/>
    </row>
    <row r="18" spans="1:10" ht="13.2">
      <c r="A18" s="412" t="s">
        <v>250</v>
      </c>
      <c r="B18" s="412"/>
      <c r="C18" s="412"/>
      <c r="D18" s="412"/>
      <c r="E18" s="412"/>
      <c r="F18" s="412"/>
      <c r="G18" s="412"/>
      <c r="H18" s="412"/>
      <c r="I18" s="412"/>
      <c r="J18" s="412"/>
    </row>
    <row r="19" spans="1:10" ht="13.2">
      <c r="A19" s="1836" t="s">
        <v>1188</v>
      </c>
      <c r="B19" s="1836"/>
      <c r="C19" s="1836"/>
      <c r="D19" s="1836"/>
      <c r="E19" s="1836"/>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833" t="s">
        <v>1189</v>
      </c>
      <c r="B76" s="1833"/>
      <c r="C76" s="1833"/>
      <c r="D76" s="1833"/>
      <c r="E76" s="1833"/>
      <c r="F76" s="1833"/>
      <c r="G76" s="1833"/>
      <c r="H76" s="1833"/>
      <c r="I76" s="1833"/>
      <c r="J76" s="1833"/>
    </row>
    <row r="77" spans="1:10" ht="13.2">
      <c r="A77" s="1833"/>
      <c r="B77" s="1833"/>
      <c r="C77" s="1833"/>
      <c r="D77" s="1833"/>
      <c r="E77" s="1833"/>
      <c r="F77" s="1833"/>
      <c r="G77" s="1833"/>
      <c r="H77" s="1833"/>
      <c r="I77" s="1833"/>
      <c r="J77" s="1833"/>
    </row>
    <row r="78" spans="1:10" ht="13.2">
      <c r="A78" s="1833"/>
      <c r="B78" s="1833"/>
      <c r="C78" s="1833"/>
      <c r="D78" s="1833"/>
      <c r="E78" s="1833"/>
      <c r="F78" s="1833"/>
      <c r="G78" s="1833"/>
      <c r="H78" s="1833"/>
      <c r="I78" s="1833"/>
      <c r="J78" s="1833"/>
    </row>
    <row r="79" spans="1:10" ht="13.2"/>
    <row r="80" spans="1:10" ht="13.2">
      <c r="A80" s="398" t="s">
        <v>1188</v>
      </c>
    </row>
    <row r="81" spans="1:9" ht="13.2"/>
    <row r="82" spans="1:9" ht="13.2"/>
    <row r="83" spans="1:9" ht="13.2"/>
    <row r="84" spans="1:9" ht="13.2"/>
    <row r="85" spans="1:9" ht="13.2"/>
    <row r="86" spans="1:9" ht="13.2"/>
    <row r="87" spans="1:9" ht="13.2"/>
    <row r="88" spans="1:9" ht="13.2"/>
    <row r="89" spans="1:9" ht="13.2">
      <c r="A89" s="1834" t="s">
        <v>1838</v>
      </c>
      <c r="B89" s="1834"/>
      <c r="C89" s="1834"/>
      <c r="D89" s="1834"/>
      <c r="E89" s="1834"/>
      <c r="F89" s="1834"/>
      <c r="G89" s="1834"/>
      <c r="H89" s="1834"/>
      <c r="I89" s="1834"/>
    </row>
    <row r="90" spans="1:9" ht="13.2">
      <c r="A90" s="1826" t="s">
        <v>1998</v>
      </c>
      <c r="B90" s="1826"/>
      <c r="C90" s="1826"/>
      <c r="D90" s="1826"/>
      <c r="E90" s="1826"/>
    </row>
    <row r="91" spans="1:9" ht="13.2">
      <c r="A91" s="1826" t="s">
        <v>1999</v>
      </c>
      <c r="B91" s="1826"/>
      <c r="C91" s="1826"/>
      <c r="D91" s="1826"/>
      <c r="E91" s="1826"/>
    </row>
    <row r="92" spans="1:9" ht="13.2">
      <c r="A92" s="1826" t="s">
        <v>1839</v>
      </c>
      <c r="B92" s="1826"/>
      <c r="C92" s="1826"/>
      <c r="D92" s="1826"/>
      <c r="E92" s="1826"/>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95" workbookViewId="0">
      <selection activeCell="B800" sqref="B800"/>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1" spans="1:13"/>
    <row r="2" spans="1:13">
      <c r="A2" s="1887" t="s">
        <v>2595</v>
      </c>
      <c r="B2" s="1887"/>
      <c r="C2" s="1887"/>
      <c r="D2" s="1887"/>
      <c r="E2" s="1887"/>
      <c r="F2" s="1887"/>
      <c r="G2" s="1887"/>
      <c r="H2" s="1887"/>
      <c r="I2" s="1887"/>
    </row>
    <row r="3" spans="1:13">
      <c r="A3" s="1878" t="s">
        <v>2167</v>
      </c>
      <c r="B3" s="1878"/>
      <c r="C3" s="1878"/>
      <c r="D3" s="1878"/>
      <c r="E3" s="1878"/>
      <c r="F3" s="1878"/>
      <c r="G3" s="1878"/>
      <c r="H3" s="1878"/>
      <c r="I3" s="1878"/>
    </row>
    <row r="4" spans="1:13">
      <c r="A4" s="1878"/>
      <c r="B4" s="1878"/>
      <c r="C4" s="1836"/>
      <c r="D4" s="1836"/>
      <c r="E4" s="1836"/>
      <c r="F4" s="1836"/>
      <c r="G4" s="1836"/>
    </row>
    <row r="5" spans="1:13">
      <c r="A5" s="1878"/>
      <c r="B5" s="1878"/>
      <c r="C5" s="1836"/>
      <c r="D5" s="1836"/>
      <c r="E5" s="1836"/>
      <c r="F5" s="1836"/>
      <c r="G5" s="1836"/>
    </row>
    <row r="6" spans="1:13" ht="12.75" customHeight="1">
      <c r="A6" s="1881" t="s">
        <v>2166</v>
      </c>
      <c r="B6" s="1881"/>
      <c r="C6" s="1881"/>
      <c r="D6" s="1881"/>
      <c r="E6" s="1881"/>
      <c r="F6" s="1881"/>
      <c r="G6" s="1881"/>
      <c r="I6" s="486"/>
    </row>
    <row r="7" spans="1:13">
      <c r="A7" s="1881"/>
      <c r="B7" s="1881"/>
      <c r="C7" s="1881"/>
      <c r="D7" s="1881"/>
      <c r="E7" s="1881"/>
      <c r="F7" s="1881"/>
      <c r="G7" s="1881"/>
      <c r="I7" s="486"/>
    </row>
    <row r="8" spans="1:13">
      <c r="A8" s="477"/>
      <c r="B8" s="477"/>
      <c r="C8" s="478"/>
      <c r="D8" s="478"/>
      <c r="E8" s="478"/>
      <c r="F8" s="478"/>
    </row>
    <row r="9" spans="1:13">
      <c r="A9" s="1858" t="s">
        <v>1101</v>
      </c>
      <c r="B9" s="1858"/>
      <c r="C9" s="1858"/>
      <c r="D9" s="1858"/>
      <c r="E9" s="1858"/>
      <c r="F9" s="1858"/>
      <c r="G9" s="1858"/>
      <c r="H9" s="1018"/>
      <c r="I9" s="1019"/>
    </row>
    <row r="10" spans="1:13">
      <c r="A10" s="478"/>
      <c r="B10" s="478"/>
      <c r="E10" s="400"/>
    </row>
    <row r="11" spans="1:13" ht="13.65" customHeight="1">
      <c r="C11" s="478"/>
      <c r="D11" s="1880" t="s">
        <v>1100</v>
      </c>
      <c r="E11" s="1880"/>
      <c r="F11" s="1880"/>
    </row>
    <row r="12" spans="1:13">
      <c r="C12" s="478"/>
      <c r="D12" s="1880"/>
      <c r="E12" s="1880"/>
      <c r="F12" s="1880"/>
    </row>
    <row r="13" spans="1:13">
      <c r="A13" s="479"/>
      <c r="B13" s="479"/>
      <c r="C13" s="479"/>
      <c r="D13" s="1859" t="s">
        <v>1090</v>
      </c>
      <c r="E13" s="1859"/>
      <c r="F13" s="1859"/>
      <c r="M13" s="96"/>
    </row>
    <row r="14" spans="1:13">
      <c r="A14" s="479"/>
      <c r="B14" s="479"/>
      <c r="C14" s="479"/>
      <c r="D14" s="472"/>
      <c r="L14" s="312"/>
    </row>
    <row r="15" spans="1:13" ht="14.4">
      <c r="A15" s="480"/>
      <c r="B15" s="481" t="s">
        <v>2830</v>
      </c>
      <c r="C15" s="479"/>
      <c r="D15" s="1857" t="s">
        <v>1889</v>
      </c>
      <c r="E15" s="1857"/>
      <c r="F15" s="1857"/>
      <c r="I15" s="486"/>
    </row>
    <row r="16" spans="1:13">
      <c r="A16" s="479"/>
      <c r="B16" s="479"/>
      <c r="C16" s="479"/>
      <c r="D16" s="1857"/>
      <c r="E16" s="1857"/>
      <c r="F16" s="1857"/>
      <c r="I16" s="486"/>
    </row>
    <row r="17" spans="1:9">
      <c r="A17" s="479"/>
      <c r="B17" s="479"/>
      <c r="C17" s="479"/>
      <c r="D17" s="1857"/>
      <c r="E17" s="1857"/>
      <c r="F17" s="1857"/>
      <c r="I17" s="486"/>
    </row>
    <row r="18" spans="1:9">
      <c r="A18" s="479"/>
      <c r="B18" s="479"/>
      <c r="C18" s="479"/>
      <c r="D18" s="441"/>
      <c r="E18" s="312" t="s">
        <v>1887</v>
      </c>
      <c r="F18" s="441"/>
      <c r="I18" s="486"/>
    </row>
    <row r="19" spans="1:9">
      <c r="A19" s="479"/>
      <c r="B19" s="479"/>
      <c r="C19" s="479"/>
      <c r="I19" s="486"/>
    </row>
    <row r="20" spans="1:9" ht="14.4">
      <c r="A20" s="480"/>
      <c r="B20" s="481" t="s">
        <v>2830</v>
      </c>
      <c r="D20" s="1857" t="s">
        <v>1890</v>
      </c>
      <c r="E20" s="1857"/>
      <c r="F20" s="1857"/>
      <c r="I20" s="486"/>
    </row>
    <row r="21" spans="1:9" ht="14.4">
      <c r="A21" s="480"/>
      <c r="D21" s="1857"/>
      <c r="E21" s="1857"/>
      <c r="F21" s="1857"/>
      <c r="I21" s="486"/>
    </row>
    <row r="22" spans="1:9" ht="14.4">
      <c r="A22" s="480"/>
      <c r="D22" s="388"/>
      <c r="E22" s="96" t="s">
        <v>1886</v>
      </c>
      <c r="F22" s="388"/>
      <c r="I22" s="486"/>
    </row>
    <row r="23" spans="1:9" ht="14.4">
      <c r="A23" s="480"/>
      <c r="B23" s="480"/>
      <c r="D23" s="442"/>
      <c r="I23" s="486"/>
    </row>
    <row r="24" spans="1:9" ht="14.4">
      <c r="A24" s="480"/>
      <c r="B24" s="481" t="s">
        <v>2831</v>
      </c>
      <c r="D24" s="1857" t="s">
        <v>1091</v>
      </c>
      <c r="E24" s="1857"/>
      <c r="F24" s="1857"/>
      <c r="I24" s="486"/>
    </row>
    <row r="25" spans="1:9" ht="14.4">
      <c r="A25" s="480"/>
      <c r="B25" s="480"/>
      <c r="D25" s="1857"/>
      <c r="E25" s="1857"/>
      <c r="F25" s="1857"/>
      <c r="I25" s="486"/>
    </row>
    <row r="26" spans="1:9">
      <c r="I26" s="486"/>
    </row>
    <row r="27" spans="1:9" ht="14.4">
      <c r="A27" s="480"/>
      <c r="B27" s="481" t="s">
        <v>2830</v>
      </c>
      <c r="D27" s="1857" t="s">
        <v>2001</v>
      </c>
      <c r="E27" s="1857"/>
      <c r="F27" s="1857"/>
      <c r="I27" s="486"/>
    </row>
    <row r="28" spans="1:9">
      <c r="D28" s="1857"/>
      <c r="E28" s="1857"/>
      <c r="F28" s="1857"/>
      <c r="I28" s="486"/>
    </row>
    <row r="29" spans="1:9">
      <c r="D29" s="1857"/>
      <c r="E29" s="1857"/>
      <c r="F29" s="1857"/>
      <c r="I29" s="486"/>
    </row>
    <row r="30" spans="1:9">
      <c r="D30" s="1857"/>
      <c r="E30" s="1857"/>
      <c r="F30" s="1857"/>
      <c r="I30" s="486"/>
    </row>
    <row r="31" spans="1:9">
      <c r="D31" s="1857"/>
      <c r="E31" s="1857"/>
      <c r="F31" s="1857"/>
      <c r="I31" s="486"/>
    </row>
    <row r="32" spans="1:9">
      <c r="D32" s="443"/>
      <c r="I32" s="486"/>
    </row>
    <row r="33" spans="1:9">
      <c r="B33" s="481" t="s">
        <v>2831</v>
      </c>
      <c r="D33" s="1857" t="s">
        <v>2002</v>
      </c>
      <c r="E33" s="1857"/>
      <c r="F33" s="1857"/>
      <c r="I33" s="486"/>
    </row>
    <row r="34" spans="1:9">
      <c r="D34" s="1857"/>
      <c r="E34" s="1857"/>
      <c r="F34" s="1857"/>
      <c r="I34" s="486"/>
    </row>
    <row r="35" spans="1:9" ht="14.4">
      <c r="A35" s="480"/>
      <c r="B35" s="480"/>
      <c r="D35" s="443"/>
      <c r="I35" s="486"/>
    </row>
    <row r="36" spans="1:9" ht="14.4" customHeight="1">
      <c r="A36" s="480"/>
      <c r="B36" s="481" t="s">
        <v>2830</v>
      </c>
      <c r="D36" s="1857" t="s">
        <v>1213</v>
      </c>
      <c r="E36" s="1857"/>
      <c r="F36" s="1857"/>
      <c r="I36" s="486"/>
    </row>
    <row r="37" spans="1:9" ht="14.4">
      <c r="A37" s="480"/>
      <c r="B37" s="480"/>
      <c r="D37" s="1857"/>
      <c r="E37" s="1857"/>
      <c r="F37" s="1857"/>
      <c r="I37" s="486"/>
    </row>
    <row r="38" spans="1:9" ht="14.4">
      <c r="A38" s="480"/>
      <c r="B38" s="480"/>
      <c r="D38" s="1857"/>
      <c r="E38" s="1857"/>
      <c r="F38" s="1857"/>
      <c r="I38" s="486"/>
    </row>
    <row r="39" spans="1:9" ht="14.4">
      <c r="A39" s="480"/>
      <c r="B39" s="480"/>
      <c r="D39" s="1857"/>
      <c r="E39" s="1857"/>
      <c r="F39" s="1857"/>
      <c r="I39" s="486"/>
    </row>
    <row r="40" spans="1:9" ht="14.4">
      <c r="A40" s="480"/>
      <c r="B40" s="480"/>
      <c r="I40" s="486"/>
    </row>
    <row r="41" spans="1:9" ht="14.4">
      <c r="A41" s="480"/>
      <c r="B41" s="481" t="s">
        <v>2831</v>
      </c>
      <c r="D41" s="1857" t="s">
        <v>1092</v>
      </c>
      <c r="E41" s="1857"/>
      <c r="F41" s="1857"/>
      <c r="I41" s="486"/>
    </row>
    <row r="42" spans="1:9" ht="14.4">
      <c r="A42" s="480"/>
      <c r="B42" s="480"/>
      <c r="D42" s="1857"/>
      <c r="E42" s="1857"/>
      <c r="F42" s="1857"/>
      <c r="I42" s="486"/>
    </row>
    <row r="43" spans="1:9" ht="14.4">
      <c r="A43" s="480"/>
      <c r="B43" s="480"/>
      <c r="D43" s="1857"/>
      <c r="E43" s="1857"/>
      <c r="F43" s="1857"/>
      <c r="I43" s="486"/>
    </row>
    <row r="44" spans="1:9" ht="14.4">
      <c r="A44" s="480"/>
      <c r="B44" s="480"/>
      <c r="D44" s="1857"/>
      <c r="E44" s="1857"/>
      <c r="F44" s="1857"/>
      <c r="I44" s="486"/>
    </row>
    <row r="45" spans="1:9" ht="14.4">
      <c r="A45" s="480"/>
      <c r="B45" s="480"/>
      <c r="D45" s="1857"/>
      <c r="E45" s="1857"/>
      <c r="F45" s="1857"/>
      <c r="I45" s="486"/>
    </row>
    <row r="46" spans="1:9" ht="14.4">
      <c r="A46" s="480"/>
      <c r="B46" s="480"/>
      <c r="D46" s="441"/>
      <c r="E46" s="441"/>
      <c r="F46" s="441"/>
      <c r="I46" s="486"/>
    </row>
    <row r="47" spans="1:9" ht="14.4">
      <c r="A47" s="480"/>
      <c r="B47" s="481" t="s">
        <v>2830</v>
      </c>
      <c r="D47" s="1857" t="s">
        <v>1093</v>
      </c>
      <c r="E47" s="1857"/>
      <c r="F47" s="1857"/>
      <c r="I47" s="486"/>
    </row>
    <row r="48" spans="1:9" ht="14.4">
      <c r="A48" s="480"/>
      <c r="B48" s="480"/>
      <c r="D48" s="1857"/>
      <c r="E48" s="1857"/>
      <c r="F48" s="1857"/>
      <c r="I48" s="486"/>
    </row>
    <row r="49" spans="1:9" ht="14.4">
      <c r="A49" s="480"/>
      <c r="B49" s="480"/>
      <c r="D49" s="1857"/>
      <c r="E49" s="1857"/>
      <c r="F49" s="1857"/>
      <c r="I49" s="486"/>
    </row>
    <row r="50" spans="1:9" ht="23.25" customHeight="1">
      <c r="A50" s="480"/>
      <c r="B50" s="480"/>
      <c r="D50" s="1857"/>
      <c r="E50" s="1857"/>
      <c r="F50" s="1857"/>
      <c r="I50" s="486"/>
    </row>
    <row r="51" spans="1:9" ht="14.4">
      <c r="A51" s="480"/>
      <c r="B51" s="480"/>
      <c r="D51" s="442"/>
      <c r="I51" s="486"/>
    </row>
    <row r="52" spans="1:9" ht="14.4" customHeight="1">
      <c r="A52" s="480"/>
      <c r="B52" s="481" t="s">
        <v>2831</v>
      </c>
      <c r="D52" s="1857" t="s">
        <v>1094</v>
      </c>
      <c r="E52" s="1857"/>
      <c r="F52" s="1857"/>
      <c r="I52" s="486"/>
    </row>
    <row r="53" spans="1:9" ht="14.4">
      <c r="A53" s="480"/>
      <c r="B53" s="480"/>
      <c r="D53" s="1857"/>
      <c r="E53" s="1857"/>
      <c r="F53" s="1857"/>
      <c r="I53" s="486"/>
    </row>
    <row r="54" spans="1:9" ht="14.4">
      <c r="A54" s="480"/>
      <c r="B54" s="480"/>
      <c r="D54" s="1857"/>
      <c r="E54" s="1857"/>
      <c r="F54" s="1857"/>
      <c r="I54" s="486"/>
    </row>
    <row r="55" spans="1:9" ht="14.4">
      <c r="A55" s="480"/>
      <c r="B55" s="480"/>
      <c r="I55" s="486"/>
    </row>
    <row r="56" spans="1:9" ht="14.4">
      <c r="A56" s="480"/>
      <c r="B56" s="481" t="s">
        <v>2830</v>
      </c>
      <c r="D56" s="1882" t="s">
        <v>1095</v>
      </c>
      <c r="E56" s="1882"/>
      <c r="F56" s="1882"/>
      <c r="I56" s="486"/>
    </row>
    <row r="57" spans="1:9" ht="14.4">
      <c r="A57" s="480"/>
      <c r="B57" s="480"/>
      <c r="D57" s="1882"/>
      <c r="E57" s="1882"/>
      <c r="F57" s="1882"/>
      <c r="I57" s="486"/>
    </row>
    <row r="58" spans="1:9" ht="14.4">
      <c r="A58" s="480"/>
      <c r="B58" s="480"/>
      <c r="D58" s="388" t="s">
        <v>1888</v>
      </c>
      <c r="E58" s="441"/>
      <c r="F58" s="441"/>
      <c r="I58" s="486"/>
    </row>
    <row r="59" spans="1:9" ht="14.4">
      <c r="A59" s="480"/>
      <c r="B59" s="480"/>
      <c r="D59" s="441"/>
      <c r="E59" s="312" t="s">
        <v>1887</v>
      </c>
      <c r="F59" s="441"/>
      <c r="I59" s="486"/>
    </row>
    <row r="60" spans="1:9">
      <c r="D60" s="443"/>
      <c r="I60" s="486"/>
    </row>
    <row r="61" spans="1:9" ht="14.4">
      <c r="A61" s="480"/>
      <c r="B61" s="481" t="s">
        <v>2831</v>
      </c>
      <c r="D61" s="1857" t="s">
        <v>1096</v>
      </c>
      <c r="E61" s="1857"/>
      <c r="F61" s="1857"/>
      <c r="I61" s="486"/>
    </row>
    <row r="62" spans="1:9">
      <c r="D62" s="1857"/>
      <c r="E62" s="1857"/>
      <c r="F62" s="1857"/>
      <c r="I62" s="486"/>
    </row>
    <row r="63" spans="1:9">
      <c r="D63" s="1857"/>
      <c r="E63" s="1857"/>
      <c r="F63" s="1857"/>
      <c r="I63" s="486"/>
    </row>
    <row r="64" spans="1:9">
      <c r="I64" s="486"/>
    </row>
    <row r="65" spans="1:9" ht="14.4">
      <c r="A65" s="480"/>
      <c r="B65" s="481" t="s">
        <v>2831</v>
      </c>
      <c r="D65" s="1857" t="s">
        <v>1097</v>
      </c>
      <c r="E65" s="1857"/>
      <c r="F65" s="1857"/>
      <c r="I65" s="486"/>
    </row>
    <row r="66" spans="1:9">
      <c r="D66" s="1857"/>
      <c r="E66" s="1857"/>
      <c r="F66" s="1857"/>
      <c r="I66" s="486"/>
    </row>
    <row r="67" spans="1:9">
      <c r="I67" s="486"/>
    </row>
    <row r="68" spans="1:9" ht="14.4">
      <c r="A68" s="480"/>
      <c r="B68" s="481" t="s">
        <v>2830</v>
      </c>
      <c r="D68" s="1857" t="s">
        <v>1098</v>
      </c>
      <c r="E68" s="1857"/>
      <c r="F68" s="1857"/>
      <c r="I68" s="486"/>
    </row>
    <row r="69" spans="1:9">
      <c r="D69" s="1857"/>
      <c r="E69" s="1857"/>
      <c r="F69" s="1857"/>
      <c r="I69" s="486"/>
    </row>
    <row r="70" spans="1:9">
      <c r="D70" s="1857"/>
      <c r="E70" s="1857"/>
      <c r="F70" s="1857"/>
      <c r="I70" s="486"/>
    </row>
    <row r="71" spans="1:9">
      <c r="I71" s="486"/>
    </row>
    <row r="72" spans="1:9" ht="14.4">
      <c r="A72" s="480"/>
      <c r="B72" s="481" t="s">
        <v>2831</v>
      </c>
      <c r="D72" s="1857" t="s">
        <v>1099</v>
      </c>
      <c r="E72" s="1857"/>
      <c r="F72" s="1857"/>
      <c r="I72" s="486"/>
    </row>
    <row r="73" spans="1:9">
      <c r="D73" s="1857"/>
      <c r="E73" s="1857"/>
      <c r="F73" s="1857"/>
      <c r="I73" s="486"/>
    </row>
    <row r="74" spans="1:9" ht="14.4">
      <c r="A74" s="480"/>
      <c r="B74" s="480"/>
      <c r="D74" s="442"/>
      <c r="I74" s="486"/>
    </row>
    <row r="75" spans="1:9">
      <c r="A75" s="1858" t="s">
        <v>1044</v>
      </c>
      <c r="B75" s="1858"/>
      <c r="C75" s="1858"/>
      <c r="D75" s="1858"/>
      <c r="E75" s="1858"/>
      <c r="F75" s="1858"/>
      <c r="G75" s="1858"/>
      <c r="H75" s="1018"/>
      <c r="I75" s="1142"/>
    </row>
    <row r="76" spans="1:9">
      <c r="I76" s="486"/>
    </row>
    <row r="77" spans="1:9">
      <c r="C77" s="482"/>
      <c r="D77" s="1876" t="s">
        <v>1102</v>
      </c>
      <c r="E77" s="1876"/>
      <c r="F77" s="1876"/>
      <c r="I77" s="486"/>
    </row>
    <row r="78" spans="1:9">
      <c r="A78" s="442"/>
      <c r="B78" s="442"/>
      <c r="D78" s="1857" t="s">
        <v>1117</v>
      </c>
      <c r="E78" s="1857"/>
      <c r="F78" s="1857"/>
      <c r="I78" s="486"/>
    </row>
    <row r="79" spans="1:9">
      <c r="A79" s="442"/>
      <c r="B79" s="442"/>
      <c r="I79" s="486"/>
    </row>
    <row r="80" spans="1:9" ht="13.65" customHeight="1">
      <c r="A80" s="480"/>
      <c r="B80" s="481" t="s">
        <v>2830</v>
      </c>
      <c r="D80" s="1857" t="s">
        <v>1244</v>
      </c>
      <c r="E80" s="1857"/>
      <c r="F80" s="1857"/>
      <c r="I80" s="486"/>
    </row>
    <row r="81" spans="1:9" ht="14.4">
      <c r="A81" s="480"/>
      <c r="B81" s="480"/>
      <c r="D81" s="1857"/>
      <c r="E81" s="1857"/>
      <c r="F81" s="1857"/>
      <c r="I81" s="486"/>
    </row>
    <row r="82" spans="1:9" ht="14.4">
      <c r="A82" s="480"/>
      <c r="B82" s="480"/>
      <c r="D82" s="1857"/>
      <c r="E82" s="1857"/>
      <c r="F82" s="1857"/>
      <c r="I82" s="486"/>
    </row>
    <row r="83" spans="1:9" ht="14.4">
      <c r="A83" s="480"/>
      <c r="B83" s="480"/>
      <c r="D83" s="1857"/>
      <c r="E83" s="1857"/>
      <c r="F83" s="1857"/>
      <c r="I83" s="486"/>
    </row>
    <row r="84" spans="1:9" ht="14.4">
      <c r="A84" s="480"/>
      <c r="B84" s="480"/>
      <c r="D84" s="1857"/>
      <c r="E84" s="1857"/>
      <c r="F84" s="1857"/>
      <c r="I84" s="486"/>
    </row>
    <row r="85" spans="1:9" ht="14.4">
      <c r="A85" s="480"/>
      <c r="B85" s="480"/>
      <c r="D85" s="1857"/>
      <c r="E85" s="1857"/>
      <c r="F85" s="1857"/>
      <c r="I85" s="486"/>
    </row>
    <row r="86" spans="1:9" ht="14.4">
      <c r="A86" s="480"/>
      <c r="B86" s="480"/>
      <c r="D86" s="1857"/>
      <c r="E86" s="1857"/>
      <c r="F86" s="1857"/>
      <c r="I86" s="486"/>
    </row>
    <row r="87" spans="1:9" ht="14.4">
      <c r="A87" s="480"/>
      <c r="B87" s="480"/>
      <c r="D87" s="1857"/>
      <c r="E87" s="1857"/>
      <c r="F87" s="1857"/>
      <c r="I87" s="486"/>
    </row>
    <row r="88" spans="1:9" ht="14.4">
      <c r="A88" s="480"/>
      <c r="B88" s="480"/>
      <c r="D88" s="381"/>
      <c r="E88" s="381"/>
      <c r="F88" s="381"/>
      <c r="I88" s="486"/>
    </row>
    <row r="89" spans="1:9" ht="15" customHeight="1">
      <c r="A89" s="480"/>
      <c r="B89" s="481" t="s">
        <v>2830</v>
      </c>
      <c r="D89" s="1857" t="s">
        <v>1729</v>
      </c>
      <c r="E89" s="1857"/>
      <c r="F89" s="1857"/>
      <c r="I89" s="486"/>
    </row>
    <row r="90" spans="1:9" ht="14.4">
      <c r="A90" s="480"/>
      <c r="B90" s="480"/>
      <c r="D90" s="1857"/>
      <c r="E90" s="1857"/>
      <c r="F90" s="1857"/>
      <c r="I90" s="486"/>
    </row>
    <row r="91" spans="1:9" ht="14.4">
      <c r="A91" s="480"/>
      <c r="B91" s="480"/>
      <c r="D91" s="441"/>
      <c r="E91" s="441"/>
      <c r="F91" s="441"/>
      <c r="I91" s="486"/>
    </row>
    <row r="92" spans="1:9" ht="14.4">
      <c r="A92" s="480"/>
      <c r="B92" s="481" t="s">
        <v>2830</v>
      </c>
      <c r="D92" s="1857" t="s">
        <v>1732</v>
      </c>
      <c r="E92" s="1857"/>
      <c r="F92" s="1857"/>
      <c r="I92" s="486"/>
    </row>
    <row r="93" spans="1:9" ht="14.4">
      <c r="A93" s="480"/>
      <c r="B93" s="480"/>
      <c r="D93" s="1857"/>
      <c r="E93" s="1857"/>
      <c r="F93" s="1857"/>
      <c r="I93" s="486"/>
    </row>
    <row r="94" spans="1:9" ht="14.4">
      <c r="A94" s="480"/>
      <c r="B94" s="480"/>
      <c r="D94" s="1857"/>
      <c r="E94" s="1857"/>
      <c r="F94" s="1857"/>
      <c r="I94" s="486"/>
    </row>
    <row r="95" spans="1:9" ht="14.4">
      <c r="A95" s="480"/>
      <c r="B95" s="480"/>
      <c r="D95" s="441"/>
      <c r="E95" s="441"/>
      <c r="F95" s="441"/>
      <c r="I95" s="486"/>
    </row>
    <row r="96" spans="1:9" ht="14.4">
      <c r="A96" s="480"/>
      <c r="B96" s="481" t="s">
        <v>2830</v>
      </c>
      <c r="D96" s="1857" t="s">
        <v>1731</v>
      </c>
      <c r="E96" s="1857"/>
      <c r="F96" s="1857"/>
      <c r="I96" s="486"/>
    </row>
    <row r="97" spans="1:9" s="977" customFormat="1" ht="14.4">
      <c r="A97" s="975"/>
      <c r="B97" s="975"/>
      <c r="C97" s="976"/>
      <c r="D97" s="1857"/>
      <c r="E97" s="1857"/>
      <c r="F97" s="1857"/>
      <c r="I97" s="1143"/>
    </row>
    <row r="98" spans="1:9" ht="14.4">
      <c r="A98" s="480"/>
      <c r="B98" s="480"/>
      <c r="D98" s="388"/>
      <c r="E98" s="312" t="s">
        <v>1891</v>
      </c>
      <c r="F98" s="441"/>
      <c r="I98" s="486"/>
    </row>
    <row r="99" spans="1:9" ht="14.4">
      <c r="A99" s="480"/>
      <c r="B99" s="480"/>
      <c r="D99" s="381"/>
      <c r="E99" s="381"/>
      <c r="F99" s="381"/>
      <c r="I99" s="486"/>
    </row>
    <row r="100" spans="1:9" ht="14.4">
      <c r="A100" s="480"/>
      <c r="B100" s="481" t="s">
        <v>2831</v>
      </c>
      <c r="D100" s="1857" t="s">
        <v>1730</v>
      </c>
      <c r="E100" s="1857"/>
      <c r="F100" s="1857"/>
      <c r="I100" s="486"/>
    </row>
    <row r="101" spans="1:9" ht="14.4">
      <c r="A101" s="480"/>
      <c r="B101" s="480"/>
      <c r="D101" s="1857"/>
      <c r="E101" s="1857"/>
      <c r="F101" s="1857"/>
      <c r="I101" s="486"/>
    </row>
    <row r="102" spans="1:9" ht="14.4">
      <c r="A102" s="480"/>
      <c r="B102" s="480"/>
      <c r="D102" s="441"/>
      <c r="E102" s="441"/>
      <c r="F102" s="441"/>
      <c r="I102" s="486"/>
    </row>
    <row r="103" spans="1:9" ht="14.4" customHeight="1">
      <c r="A103" s="480"/>
      <c r="B103" s="481" t="s">
        <v>2831</v>
      </c>
      <c r="D103" s="1857" t="s">
        <v>1193</v>
      </c>
      <c r="E103" s="1857"/>
      <c r="F103" s="1857"/>
      <c r="I103" s="486"/>
    </row>
    <row r="104" spans="1:9" ht="14.4">
      <c r="A104" s="480"/>
      <c r="B104" s="480"/>
      <c r="D104" s="1857"/>
      <c r="E104" s="1857"/>
      <c r="F104" s="1857"/>
      <c r="I104" s="486"/>
    </row>
    <row r="105" spans="1:9" ht="14.4">
      <c r="A105" s="480"/>
      <c r="B105" s="480"/>
      <c r="D105" s="1857"/>
      <c r="E105" s="1857"/>
      <c r="F105" s="1857"/>
      <c r="I105" s="486"/>
    </row>
    <row r="106" spans="1:9" ht="14.4">
      <c r="A106" s="480"/>
      <c r="B106" s="480"/>
      <c r="D106" s="1857"/>
      <c r="E106" s="1857"/>
      <c r="F106" s="1857"/>
      <c r="I106" s="486"/>
    </row>
    <row r="107" spans="1:9" ht="14.4">
      <c r="A107" s="480"/>
      <c r="B107" s="480"/>
      <c r="D107" s="1857"/>
      <c r="E107" s="1857"/>
      <c r="F107" s="1857"/>
      <c r="I107" s="486"/>
    </row>
    <row r="108" spans="1:9" ht="14.4">
      <c r="A108" s="480"/>
      <c r="B108" s="480"/>
      <c r="D108" s="1857"/>
      <c r="E108" s="1857"/>
      <c r="F108" s="1857"/>
      <c r="I108" s="486"/>
    </row>
    <row r="109" spans="1:9" ht="14.4">
      <c r="A109" s="480"/>
      <c r="B109" s="480"/>
      <c r="D109" s="1857"/>
      <c r="E109" s="1857"/>
      <c r="F109" s="1857"/>
      <c r="I109" s="486"/>
    </row>
    <row r="110" spans="1:9" ht="14.4">
      <c r="A110" s="480"/>
      <c r="B110" s="480"/>
      <c r="D110" s="1857"/>
      <c r="E110" s="1857"/>
      <c r="F110" s="1857"/>
      <c r="I110" s="486"/>
    </row>
    <row r="111" spans="1:9" ht="14.4">
      <c r="A111" s="480"/>
      <c r="B111" s="480"/>
      <c r="D111" s="1857"/>
      <c r="E111" s="1857"/>
      <c r="F111" s="1857"/>
      <c r="I111" s="486"/>
    </row>
    <row r="112" spans="1:9" ht="14.4">
      <c r="A112" s="480"/>
      <c r="B112" s="480"/>
      <c r="D112" s="1857"/>
      <c r="E112" s="1857"/>
      <c r="F112" s="1857"/>
      <c r="I112" s="486"/>
    </row>
    <row r="113" spans="1:9" ht="14.4">
      <c r="A113" s="480"/>
      <c r="B113" s="480"/>
      <c r="D113" s="1857"/>
      <c r="E113" s="1857"/>
      <c r="F113" s="1857"/>
      <c r="I113" s="486"/>
    </row>
    <row r="114" spans="1:9" ht="14.4">
      <c r="A114" s="480"/>
      <c r="B114" s="480"/>
      <c r="D114" s="1857"/>
      <c r="E114" s="1857"/>
      <c r="F114" s="1857"/>
      <c r="I114" s="486"/>
    </row>
    <row r="115" spans="1:9" ht="14.4">
      <c r="A115" s="480"/>
      <c r="B115" s="480"/>
      <c r="D115" s="1857"/>
      <c r="E115" s="1857"/>
      <c r="F115" s="1857"/>
      <c r="I115" s="486"/>
    </row>
    <row r="116" spans="1:9" ht="14.4">
      <c r="A116" s="480"/>
      <c r="B116" s="480"/>
      <c r="D116" s="1857"/>
      <c r="E116" s="1857"/>
      <c r="F116" s="1857"/>
      <c r="I116" s="486"/>
    </row>
    <row r="117" spans="1:9" ht="14.4">
      <c r="A117" s="480"/>
      <c r="B117" s="480"/>
      <c r="D117" s="1857"/>
      <c r="E117" s="1857"/>
      <c r="F117" s="1857"/>
      <c r="I117" s="486"/>
    </row>
    <row r="118" spans="1:9" ht="14.4">
      <c r="A118" s="480"/>
      <c r="B118" s="480"/>
      <c r="D118" s="520"/>
      <c r="E118" s="520"/>
      <c r="F118" s="520"/>
      <c r="I118" s="486"/>
    </row>
    <row r="119" spans="1:9" ht="14.25" customHeight="1">
      <c r="A119" s="480"/>
      <c r="B119" s="481" t="s">
        <v>2831</v>
      </c>
      <c r="D119" s="1843" t="s">
        <v>1103</v>
      </c>
      <c r="E119" s="1843"/>
      <c r="F119" s="1843"/>
      <c r="I119" s="486"/>
    </row>
    <row r="120" spans="1:9" ht="14.4">
      <c r="A120" s="480"/>
      <c r="B120" s="480"/>
      <c r="D120" s="1843"/>
      <c r="E120" s="1843"/>
      <c r="F120" s="1843"/>
      <c r="I120" s="486"/>
    </row>
    <row r="121" spans="1:9" ht="14.4">
      <c r="A121" s="480"/>
      <c r="B121" s="480"/>
      <c r="D121" s="1843"/>
      <c r="E121" s="1843"/>
      <c r="F121" s="1843"/>
      <c r="I121" s="486"/>
    </row>
    <row r="122" spans="1:9" ht="14.4">
      <c r="A122" s="480"/>
      <c r="B122" s="480"/>
      <c r="D122" s="1843"/>
      <c r="E122" s="1843"/>
      <c r="F122" s="1843"/>
      <c r="I122" s="486"/>
    </row>
    <row r="123" spans="1:9" ht="14.4">
      <c r="A123" s="480"/>
      <c r="B123" s="480"/>
      <c r="D123" s="1843"/>
      <c r="E123" s="1843"/>
      <c r="F123" s="1843"/>
      <c r="I123" s="486"/>
    </row>
    <row r="124" spans="1:9" ht="14.4">
      <c r="A124" s="480"/>
      <c r="B124" s="480"/>
      <c r="D124" s="1843"/>
      <c r="E124" s="1843"/>
      <c r="F124" s="1843"/>
      <c r="I124" s="486"/>
    </row>
    <row r="125" spans="1:9" ht="14.4">
      <c r="A125" s="480"/>
      <c r="B125" s="480"/>
      <c r="D125" s="1843"/>
      <c r="E125" s="1843"/>
      <c r="F125" s="1843"/>
      <c r="I125" s="486"/>
    </row>
    <row r="126" spans="1:9" ht="14.4">
      <c r="A126" s="480"/>
      <c r="B126" s="480"/>
      <c r="D126" s="1843"/>
      <c r="E126" s="1843"/>
      <c r="F126" s="1843"/>
      <c r="I126" s="486"/>
    </row>
    <row r="127" spans="1:9">
      <c r="C127" s="398"/>
      <c r="D127" s="521"/>
      <c r="E127" s="521"/>
      <c r="F127" s="521"/>
      <c r="I127" s="486"/>
    </row>
    <row r="128" spans="1:9" ht="14.4">
      <c r="A128" s="480"/>
      <c r="B128" s="481" t="s">
        <v>2830</v>
      </c>
      <c r="C128" s="398"/>
      <c r="D128" s="1843" t="s">
        <v>2003</v>
      </c>
      <c r="E128" s="1843"/>
      <c r="F128" s="1843"/>
      <c r="I128" s="486"/>
    </row>
    <row r="129" spans="1:9" ht="14.4">
      <c r="A129" s="480"/>
      <c r="B129" s="480"/>
      <c r="C129" s="398"/>
      <c r="D129" s="1843"/>
      <c r="E129" s="1843"/>
      <c r="F129" s="1843"/>
      <c r="I129" s="486"/>
    </row>
    <row r="130" spans="1:9">
      <c r="I130" s="486"/>
    </row>
    <row r="131" spans="1:9" ht="14.4">
      <c r="A131" s="480"/>
      <c r="B131" s="481" t="s">
        <v>2831</v>
      </c>
      <c r="D131" s="1857" t="s">
        <v>1104</v>
      </c>
      <c r="E131" s="1857"/>
      <c r="F131" s="1857"/>
      <c r="I131" s="486"/>
    </row>
    <row r="132" spans="1:9">
      <c r="D132" s="1857"/>
      <c r="E132" s="1857"/>
      <c r="F132" s="1857"/>
      <c r="I132" s="486"/>
    </row>
    <row r="133" spans="1:9">
      <c r="D133" s="1857"/>
      <c r="E133" s="1857"/>
      <c r="F133" s="1857"/>
      <c r="I133" s="486"/>
    </row>
    <row r="134" spans="1:9">
      <c r="D134" s="1857"/>
      <c r="E134" s="1857"/>
      <c r="F134" s="1857"/>
      <c r="I134" s="486"/>
    </row>
    <row r="135" spans="1:9">
      <c r="D135" s="1857"/>
      <c r="E135" s="1857"/>
      <c r="F135" s="1857"/>
      <c r="I135" s="486"/>
    </row>
    <row r="136" spans="1:9">
      <c r="I136" s="486"/>
    </row>
    <row r="137" spans="1:9" ht="14.4">
      <c r="A137" s="480"/>
      <c r="B137" s="481" t="s">
        <v>2830</v>
      </c>
      <c r="D137" s="1857" t="s">
        <v>1105</v>
      </c>
      <c r="E137" s="1857"/>
      <c r="F137" s="1857"/>
      <c r="I137" s="486"/>
    </row>
    <row r="138" spans="1:9" s="413" customFormat="1" ht="13.65" customHeight="1">
      <c r="A138" s="484"/>
      <c r="B138" s="484"/>
      <c r="C138" s="484"/>
      <c r="D138" s="1857"/>
      <c r="E138" s="1857"/>
      <c r="F138" s="1857"/>
      <c r="I138" s="1144"/>
    </row>
    <row r="139" spans="1:9" ht="13.65" customHeight="1">
      <c r="D139" s="1857"/>
      <c r="E139" s="1857"/>
      <c r="F139" s="1857"/>
      <c r="I139" s="486"/>
    </row>
    <row r="140" spans="1:9" ht="13.65" customHeight="1">
      <c r="D140" s="1857"/>
      <c r="E140" s="1857"/>
      <c r="F140" s="1857"/>
      <c r="I140" s="486"/>
    </row>
    <row r="141" spans="1:9" ht="13.65" customHeight="1">
      <c r="D141" s="1857"/>
      <c r="E141" s="1857"/>
      <c r="F141" s="1857"/>
      <c r="I141" s="486"/>
    </row>
    <row r="142" spans="1:9" ht="13.65" customHeight="1">
      <c r="A142" s="485"/>
      <c r="B142" s="485"/>
      <c r="D142" s="1857"/>
      <c r="E142" s="1857"/>
      <c r="F142" s="1857"/>
      <c r="I142" s="486"/>
    </row>
    <row r="143" spans="1:9" ht="13.65" customHeight="1">
      <c r="D143" s="1857"/>
      <c r="E143" s="1857"/>
      <c r="F143" s="1857"/>
      <c r="I143" s="486"/>
    </row>
    <row r="144" spans="1:9" ht="13.65" customHeight="1">
      <c r="D144" s="1857"/>
      <c r="E144" s="1857"/>
      <c r="F144" s="1857"/>
      <c r="I144" s="486"/>
    </row>
    <row r="145" spans="2:9" ht="13.65" customHeight="1">
      <c r="D145" s="1857"/>
      <c r="E145" s="1857"/>
      <c r="F145" s="1857"/>
      <c r="I145" s="486"/>
    </row>
    <row r="146" spans="2:9" ht="13.65" customHeight="1">
      <c r="D146" s="1857"/>
      <c r="E146" s="1857"/>
      <c r="F146" s="1857"/>
      <c r="I146" s="486"/>
    </row>
    <row r="147" spans="2:9" ht="13.65" customHeight="1">
      <c r="D147" s="1857"/>
      <c r="E147" s="1857"/>
      <c r="F147" s="1857"/>
      <c r="I147" s="486"/>
    </row>
    <row r="148" spans="2:9" ht="13.65" customHeight="1">
      <c r="D148" s="1857"/>
      <c r="E148" s="1857"/>
      <c r="F148" s="1857"/>
      <c r="I148" s="486"/>
    </row>
    <row r="149" spans="2:9" ht="13.65" customHeight="1">
      <c r="D149" s="1857"/>
      <c r="E149" s="1857"/>
      <c r="F149" s="1857"/>
      <c r="I149" s="486"/>
    </row>
    <row r="150" spans="2:9" ht="13.65" customHeight="1">
      <c r="D150" s="472"/>
      <c r="E150" s="442"/>
      <c r="F150" s="442"/>
      <c r="I150" s="486"/>
    </row>
    <row r="151" spans="2:9" ht="13.65" customHeight="1">
      <c r="B151" s="481" t="s">
        <v>2831</v>
      </c>
      <c r="D151" s="1857" t="s">
        <v>1176</v>
      </c>
      <c r="E151" s="1857"/>
      <c r="F151" s="1857"/>
      <c r="I151" s="486"/>
    </row>
    <row r="152" spans="2:9" ht="13.65" customHeight="1">
      <c r="D152" s="1857"/>
      <c r="E152" s="1857"/>
      <c r="F152" s="1857"/>
      <c r="I152" s="486"/>
    </row>
    <row r="153" spans="2:9" ht="13.65" customHeight="1">
      <c r="D153" s="1857"/>
      <c r="E153" s="1857"/>
      <c r="F153" s="1857"/>
      <c r="I153" s="486"/>
    </row>
    <row r="154" spans="2:9" ht="13.65" customHeight="1">
      <c r="D154" s="1857"/>
      <c r="E154" s="1857"/>
      <c r="F154" s="1857"/>
      <c r="I154" s="486"/>
    </row>
    <row r="155" spans="2:9" ht="13.65" customHeight="1">
      <c r="D155" s="1857"/>
      <c r="E155" s="1857"/>
      <c r="F155" s="1857"/>
      <c r="I155" s="486"/>
    </row>
    <row r="156" spans="2:9" ht="13.65" customHeight="1">
      <c r="D156" s="1857"/>
      <c r="E156" s="1857"/>
      <c r="F156" s="1857"/>
      <c r="I156" s="486"/>
    </row>
    <row r="157" spans="2:9" ht="13.65" customHeight="1">
      <c r="D157" s="1857"/>
      <c r="E157" s="1857"/>
      <c r="F157" s="1857"/>
      <c r="I157" s="486"/>
    </row>
    <row r="158" spans="2:9" ht="13.65" customHeight="1">
      <c r="D158" s="1857"/>
      <c r="E158" s="1857"/>
      <c r="F158" s="1857"/>
      <c r="I158" s="486"/>
    </row>
    <row r="159" spans="2:9" ht="13.65" customHeight="1">
      <c r="D159" s="1857"/>
      <c r="E159" s="1857"/>
      <c r="F159" s="1857"/>
      <c r="I159" s="486"/>
    </row>
    <row r="160" spans="2:9" ht="13.65" customHeight="1">
      <c r="D160" s="1857"/>
      <c r="E160" s="1857"/>
      <c r="F160" s="1857"/>
      <c r="I160" s="486"/>
    </row>
    <row r="161" spans="1:9" ht="13.65" customHeight="1">
      <c r="D161" s="1857"/>
      <c r="E161" s="1857"/>
      <c r="F161" s="1857"/>
      <c r="I161" s="486"/>
    </row>
    <row r="162" spans="1:9" ht="13.65" customHeight="1">
      <c r="D162" s="1857"/>
      <c r="E162" s="1857"/>
      <c r="F162" s="1857"/>
      <c r="I162" s="486"/>
    </row>
    <row r="163" spans="1:9" ht="13.65" customHeight="1">
      <c r="D163" s="1857"/>
      <c r="E163" s="1857"/>
      <c r="F163" s="1857"/>
      <c r="I163" s="486"/>
    </row>
    <row r="164" spans="1:9" ht="13.65" customHeight="1">
      <c r="D164" s="1857"/>
      <c r="E164" s="1857"/>
      <c r="F164" s="1857"/>
      <c r="I164" s="486"/>
    </row>
    <row r="165" spans="1:9" ht="13.65" customHeight="1">
      <c r="D165" s="1857"/>
      <c r="E165" s="1857"/>
      <c r="F165" s="1857"/>
      <c r="I165" s="486"/>
    </row>
    <row r="166" spans="1:9" ht="13.65" customHeight="1">
      <c r="D166" s="1857"/>
      <c r="E166" s="1857"/>
      <c r="F166" s="1857"/>
      <c r="I166" s="486"/>
    </row>
    <row r="167" spans="1:9" ht="13.65" customHeight="1">
      <c r="D167" s="1857"/>
      <c r="E167" s="1857"/>
      <c r="F167" s="1857"/>
      <c r="I167" s="486"/>
    </row>
    <row r="168" spans="1:9" ht="13.65" customHeight="1">
      <c r="D168" s="1857"/>
      <c r="E168" s="1857"/>
      <c r="F168" s="1857"/>
      <c r="I168" s="486"/>
    </row>
    <row r="169" spans="1:9" ht="13.65" customHeight="1">
      <c r="D169" s="1879" t="s">
        <v>2025</v>
      </c>
      <c r="E169" s="1879"/>
      <c r="F169" s="1879"/>
      <c r="G169" s="503"/>
      <c r="I169" s="486"/>
    </row>
    <row r="170" spans="1:9" ht="13.65" customHeight="1">
      <c r="D170" s="1867"/>
      <c r="E170" s="1867"/>
      <c r="F170" s="1867"/>
      <c r="G170" s="1867"/>
      <c r="I170" s="486"/>
    </row>
    <row r="171" spans="1:9" ht="14.4" customHeight="1">
      <c r="A171" s="485"/>
      <c r="B171" s="481" t="s">
        <v>2831</v>
      </c>
      <c r="C171" s="472"/>
      <c r="D171" s="1829" t="s">
        <v>2161</v>
      </c>
      <c r="E171" s="1829"/>
      <c r="F171" s="1829"/>
      <c r="G171" s="472"/>
      <c r="I171" s="486"/>
    </row>
    <row r="172" spans="1:9" ht="14.4" customHeight="1">
      <c r="A172" s="485"/>
      <c r="B172" s="485"/>
      <c r="C172" s="472"/>
      <c r="D172" s="1829"/>
      <c r="E172" s="1829"/>
      <c r="F172" s="1829"/>
      <c r="G172" s="472"/>
      <c r="I172" s="486"/>
    </row>
    <row r="173" spans="1:9" ht="14.4" customHeight="1">
      <c r="A173" s="485"/>
      <c r="B173" s="485"/>
      <c r="C173" s="472"/>
      <c r="D173" s="1829"/>
      <c r="E173" s="1829"/>
      <c r="F173" s="1829"/>
      <c r="G173" s="472"/>
      <c r="I173" s="486"/>
    </row>
    <row r="174" spans="1:9" ht="14.4" customHeight="1">
      <c r="A174" s="485"/>
      <c r="B174" s="485"/>
      <c r="C174" s="472"/>
      <c r="D174" s="1829"/>
      <c r="E174" s="1829"/>
      <c r="F174" s="1829"/>
      <c r="G174" s="472"/>
      <c r="I174" s="486"/>
    </row>
    <row r="175" spans="1:9" ht="13.65" customHeight="1">
      <c r="A175" s="485"/>
      <c r="B175" s="485"/>
      <c r="C175" s="472"/>
      <c r="D175" s="1829"/>
      <c r="E175" s="1829"/>
      <c r="F175" s="1829"/>
      <c r="G175" s="472"/>
      <c r="I175" s="486"/>
    </row>
    <row r="176" spans="1:9" ht="13.65" customHeight="1">
      <c r="A176" s="485"/>
      <c r="B176" s="485"/>
      <c r="C176" s="472"/>
      <c r="D176" s="472"/>
      <c r="E176" s="472"/>
      <c r="F176" s="472"/>
      <c r="G176" s="472"/>
      <c r="I176" s="486"/>
    </row>
    <row r="177" spans="1:9" ht="13.65" customHeight="1">
      <c r="A177" s="485"/>
      <c r="B177" s="481" t="s">
        <v>2831</v>
      </c>
      <c r="C177" s="472"/>
      <c r="D177" s="1829" t="s">
        <v>1106</v>
      </c>
      <c r="E177" s="1829"/>
      <c r="F177" s="1829"/>
      <c r="G177" s="472"/>
      <c r="I177" s="486"/>
    </row>
    <row r="178" spans="1:9" ht="13.65" customHeight="1">
      <c r="A178" s="485"/>
      <c r="B178" s="485"/>
      <c r="C178" s="472"/>
      <c r="D178" s="1829"/>
      <c r="E178" s="1829"/>
      <c r="F178" s="1829"/>
      <c r="G178" s="472"/>
      <c r="I178" s="486"/>
    </row>
    <row r="179" spans="1:9" ht="13.65" customHeight="1">
      <c r="A179" s="485"/>
      <c r="B179" s="485"/>
      <c r="C179" s="472"/>
      <c r="D179" s="1829"/>
      <c r="E179" s="1829"/>
      <c r="F179" s="1829"/>
      <c r="G179" s="472"/>
      <c r="I179" s="486"/>
    </row>
    <row r="180" spans="1:9" ht="13.65" customHeight="1">
      <c r="A180" s="485"/>
      <c r="B180" s="485"/>
      <c r="C180" s="472"/>
      <c r="D180" s="1829"/>
      <c r="E180" s="1829"/>
      <c r="F180" s="1829"/>
      <c r="G180" s="472"/>
      <c r="I180" s="486"/>
    </row>
    <row r="181" spans="1:9" ht="13.65" customHeight="1">
      <c r="D181" s="442"/>
      <c r="E181" s="442"/>
      <c r="F181" s="442"/>
      <c r="I181" s="486"/>
    </row>
    <row r="182" spans="1:9" ht="13.65" hidden="1" customHeight="1">
      <c r="B182" s="481" t="s">
        <v>307</v>
      </c>
      <c r="D182" s="1873" t="s">
        <v>2004</v>
      </c>
      <c r="E182" s="1873"/>
      <c r="F182" s="1873"/>
      <c r="I182" s="486"/>
    </row>
    <row r="183" spans="1:9" ht="13.65" hidden="1" customHeight="1">
      <c r="D183" s="1873"/>
      <c r="E183" s="1873"/>
      <c r="F183" s="1873"/>
      <c r="I183" s="486"/>
    </row>
    <row r="184" spans="1:9" ht="13.65" hidden="1" customHeight="1">
      <c r="D184" s="1873"/>
      <c r="E184" s="1873"/>
      <c r="F184" s="1873"/>
      <c r="I184" s="486"/>
    </row>
    <row r="185" spans="1:9" ht="13.65" customHeight="1">
      <c r="A185" s="486"/>
      <c r="B185" s="486"/>
      <c r="E185" s="442"/>
      <c r="F185" s="442"/>
      <c r="I185" s="486"/>
    </row>
    <row r="186" spans="1:9">
      <c r="A186" s="1858" t="s">
        <v>2005</v>
      </c>
      <c r="B186" s="1858"/>
      <c r="C186" s="1858"/>
      <c r="D186" s="1858"/>
      <c r="E186" s="1858"/>
      <c r="F186" s="1858"/>
      <c r="G186" s="1858"/>
      <c r="H186" s="1018"/>
      <c r="I186" s="1142"/>
    </row>
    <row r="187" spans="1:9" ht="12" customHeight="1">
      <c r="D187" s="442"/>
      <c r="E187" s="442"/>
      <c r="F187" s="442"/>
      <c r="I187" s="486"/>
    </row>
    <row r="188" spans="1:9">
      <c r="B188" s="1863" t="s">
        <v>446</v>
      </c>
      <c r="C188" s="1863"/>
      <c r="D188" s="1863"/>
      <c r="E188" s="1863"/>
      <c r="F188" s="1863"/>
      <c r="I188" s="486"/>
    </row>
    <row r="189" spans="1:9">
      <c r="B189" s="388" t="s">
        <v>1843</v>
      </c>
      <c r="C189" s="388"/>
      <c r="D189" s="388"/>
      <c r="E189" s="388"/>
      <c r="F189" s="388"/>
      <c r="I189" s="486"/>
    </row>
    <row r="190" spans="1:9" ht="12" customHeight="1">
      <c r="A190" s="478"/>
      <c r="B190" s="478"/>
      <c r="C190" s="478"/>
      <c r="I190" s="486"/>
    </row>
    <row r="191" spans="1:9">
      <c r="A191" s="1858" t="s">
        <v>1045</v>
      </c>
      <c r="B191" s="1858"/>
      <c r="C191" s="1858"/>
      <c r="D191" s="1858"/>
      <c r="E191" s="1858"/>
      <c r="F191" s="1858"/>
      <c r="G191" s="1858"/>
      <c r="H191" s="1018"/>
      <c r="I191" s="1142"/>
    </row>
    <row r="192" spans="1:9" ht="12" customHeight="1">
      <c r="A192" s="400"/>
      <c r="B192" s="400"/>
      <c r="E192" s="400"/>
      <c r="I192" s="486"/>
    </row>
    <row r="193" spans="1:9" ht="13.65" customHeight="1">
      <c r="A193" s="400"/>
      <c r="B193" s="400"/>
      <c r="D193" s="1876" t="s">
        <v>1733</v>
      </c>
      <c r="E193" s="1876"/>
      <c r="F193" s="1876"/>
      <c r="I193" s="486"/>
    </row>
    <row r="194" spans="1:9">
      <c r="A194" s="400"/>
      <c r="B194" s="400"/>
      <c r="D194" s="1876"/>
      <c r="E194" s="1876"/>
      <c r="F194" s="1876"/>
      <c r="I194" s="486"/>
    </row>
    <row r="195" spans="1:9">
      <c r="A195" s="400"/>
      <c r="B195" s="400"/>
      <c r="D195" s="1863" t="s">
        <v>1194</v>
      </c>
      <c r="E195" s="1863"/>
      <c r="F195" s="1863"/>
      <c r="I195" s="486"/>
    </row>
    <row r="196" spans="1:9">
      <c r="A196" s="400"/>
      <c r="B196" s="400"/>
      <c r="D196" s="388"/>
      <c r="E196" s="388"/>
      <c r="F196" s="388"/>
      <c r="I196" s="486"/>
    </row>
    <row r="197" spans="1:9">
      <c r="A197" s="400"/>
      <c r="B197" s="400"/>
      <c r="D197" s="1857" t="s">
        <v>2637</v>
      </c>
      <c r="E197" s="1857"/>
      <c r="F197" s="1857"/>
      <c r="I197" s="486"/>
    </row>
    <row r="198" spans="1:9">
      <c r="A198" s="400"/>
      <c r="B198" s="400"/>
      <c r="D198" s="1857"/>
      <c r="E198" s="1857"/>
      <c r="F198" s="1857"/>
      <c r="I198" s="486"/>
    </row>
    <row r="199" spans="1:9">
      <c r="A199" s="400"/>
      <c r="B199" s="400"/>
      <c r="D199" s="1857"/>
      <c r="E199" s="1857"/>
      <c r="F199" s="1857"/>
      <c r="I199" s="486"/>
    </row>
    <row r="200" spans="1:9">
      <c r="A200" s="400"/>
      <c r="B200" s="400"/>
      <c r="D200" s="1857"/>
      <c r="E200" s="1857"/>
      <c r="F200" s="1857"/>
      <c r="I200" s="486"/>
    </row>
    <row r="201" spans="1:9">
      <c r="A201" s="400"/>
      <c r="B201" s="400"/>
      <c r="D201" s="1857"/>
      <c r="E201" s="1857"/>
      <c r="F201" s="1857"/>
      <c r="I201" s="486"/>
    </row>
    <row r="202" spans="1:9">
      <c r="A202" s="400"/>
      <c r="B202" s="400"/>
      <c r="D202" s="388"/>
      <c r="E202" s="388"/>
      <c r="F202" s="388"/>
      <c r="I202" s="486"/>
    </row>
    <row r="203" spans="1:9">
      <c r="A203" s="400"/>
      <c r="B203" s="481" t="s">
        <v>2831</v>
      </c>
      <c r="D203" s="1838" t="s">
        <v>1734</v>
      </c>
      <c r="E203" s="1838"/>
      <c r="F203" s="1838"/>
      <c r="I203" s="486"/>
    </row>
    <row r="204" spans="1:9">
      <c r="A204" s="400"/>
      <c r="B204" s="400"/>
      <c r="D204" s="1840" t="s">
        <v>1869</v>
      </c>
      <c r="E204" s="1840"/>
      <c r="F204" s="1840"/>
      <c r="I204" s="486"/>
    </row>
    <row r="205" spans="1:9">
      <c r="A205" s="400"/>
      <c r="B205" s="400"/>
      <c r="D205" s="96" t="s">
        <v>1735</v>
      </c>
      <c r="E205" s="1883" t="s">
        <v>1892</v>
      </c>
      <c r="F205" s="1883"/>
      <c r="I205" s="486"/>
    </row>
    <row r="206" spans="1:9">
      <c r="A206" s="400"/>
      <c r="B206" s="400"/>
      <c r="D206" s="3"/>
      <c r="E206" s="3"/>
      <c r="F206" s="3"/>
      <c r="I206" s="486"/>
    </row>
    <row r="207" spans="1:9" customFormat="1">
      <c r="A207" s="350"/>
      <c r="B207" s="481" t="s">
        <v>2831</v>
      </c>
      <c r="C207" s="350"/>
      <c r="D207" s="1325" t="s">
        <v>2638</v>
      </c>
      <c r="E207" s="1325"/>
      <c r="F207" s="1325"/>
      <c r="G207" s="3"/>
    </row>
    <row r="208" spans="1:9" customFormat="1">
      <c r="A208" s="350"/>
      <c r="B208" s="350"/>
      <c r="C208" s="350"/>
      <c r="D208" s="1325"/>
      <c r="E208" s="1325"/>
      <c r="F208" s="1325"/>
      <c r="G208" s="3"/>
    </row>
    <row r="209" spans="1:9" customFormat="1">
      <c r="A209" s="350"/>
      <c r="B209" s="350"/>
      <c r="C209" s="350"/>
      <c r="D209" s="1325"/>
      <c r="E209" s="1325"/>
      <c r="F209" s="1325"/>
      <c r="G209" s="3"/>
    </row>
    <row r="210" spans="1:9" customFormat="1">
      <c r="A210" s="350"/>
      <c r="B210" s="350"/>
      <c r="C210" s="350"/>
      <c r="D210" s="1325"/>
      <c r="E210" s="1325"/>
      <c r="F210" s="1325"/>
      <c r="G210" s="3"/>
    </row>
    <row r="211" spans="1:9" customFormat="1">
      <c r="A211" s="350"/>
      <c r="B211" s="350"/>
      <c r="C211" s="350"/>
      <c r="D211" s="3"/>
      <c r="E211" s="3"/>
      <c r="F211" s="3"/>
      <c r="G211" s="3"/>
    </row>
    <row r="212" spans="1:9">
      <c r="A212" s="400"/>
      <c r="B212" s="481" t="s">
        <v>2831</v>
      </c>
      <c r="D212" s="1840" t="s">
        <v>1736</v>
      </c>
      <c r="E212" s="1840"/>
      <c r="F212" s="1840"/>
      <c r="I212" s="486"/>
    </row>
    <row r="213" spans="1:9">
      <c r="A213" s="400"/>
      <c r="B213" s="400"/>
      <c r="D213" s="1838" t="s">
        <v>1869</v>
      </c>
      <c r="E213" s="1838"/>
      <c r="F213" s="1838"/>
      <c r="I213" s="486"/>
    </row>
    <row r="214" spans="1:9">
      <c r="A214" s="400"/>
      <c r="B214" s="400"/>
      <c r="D214" s="57" t="s">
        <v>1737</v>
      </c>
      <c r="E214" s="1883" t="s">
        <v>1893</v>
      </c>
      <c r="F214" s="1883"/>
      <c r="I214" s="486"/>
    </row>
    <row r="215" spans="1:9">
      <c r="A215" s="400"/>
      <c r="B215" s="400"/>
      <c r="D215" s="3"/>
      <c r="E215" s="3"/>
      <c r="F215" s="3"/>
      <c r="I215" s="486"/>
    </row>
    <row r="216" spans="1:9">
      <c r="A216" s="400"/>
      <c r="B216" s="481" t="s">
        <v>2831</v>
      </c>
      <c r="D216" s="1840" t="s">
        <v>1738</v>
      </c>
      <c r="E216" s="1840"/>
      <c r="F216" s="1840"/>
      <c r="I216" s="486"/>
    </row>
    <row r="217" spans="1:9">
      <c r="A217" s="400"/>
      <c r="B217" s="400"/>
      <c r="D217" s="1838" t="s">
        <v>1869</v>
      </c>
      <c r="E217" s="1838"/>
      <c r="F217" s="1838"/>
      <c r="I217" s="486"/>
    </row>
    <row r="218" spans="1:9">
      <c r="A218" s="400"/>
      <c r="B218" s="400"/>
      <c r="D218" s="57" t="s">
        <v>1735</v>
      </c>
      <c r="E218" s="1883" t="s">
        <v>1894</v>
      </c>
      <c r="F218" s="1883"/>
      <c r="I218" s="486"/>
    </row>
    <row r="219" spans="1:9" customFormat="1" ht="14.4">
      <c r="A219" s="175"/>
      <c r="B219" s="175"/>
      <c r="C219" s="350"/>
      <c r="D219" s="1460" t="s">
        <v>2639</v>
      </c>
      <c r="E219" s="1460"/>
      <c r="F219" s="1460"/>
      <c r="G219" s="3"/>
    </row>
    <row r="220" spans="1:9" customFormat="1">
      <c r="A220" s="350"/>
      <c r="B220" s="350"/>
      <c r="C220" s="350"/>
      <c r="D220" s="1460"/>
      <c r="E220" s="1460"/>
      <c r="F220" s="1460"/>
      <c r="G220" s="3"/>
    </row>
    <row r="221" spans="1:9" customFormat="1">
      <c r="A221" s="350"/>
      <c r="B221" s="350"/>
      <c r="C221" s="350"/>
      <c r="D221" s="1460"/>
      <c r="E221" s="1460"/>
      <c r="F221" s="1460"/>
      <c r="G221" s="3"/>
    </row>
    <row r="222" spans="1:9" customFormat="1">
      <c r="A222" s="350"/>
      <c r="B222" s="350"/>
      <c r="C222" s="350"/>
      <c r="D222" s="1460"/>
      <c r="E222" s="1460"/>
      <c r="F222" s="1460"/>
      <c r="G222" s="3"/>
    </row>
    <row r="223" spans="1:9" customFormat="1">
      <c r="A223" s="350"/>
      <c r="B223" s="350"/>
      <c r="C223" s="350"/>
      <c r="D223" s="1460"/>
      <c r="E223" s="1460"/>
      <c r="F223" s="1460"/>
      <c r="G223" s="3"/>
    </row>
    <row r="224" spans="1:9">
      <c r="A224" s="400"/>
      <c r="B224" s="400"/>
      <c r="D224" s="388"/>
      <c r="E224" s="388"/>
      <c r="F224" s="388"/>
      <c r="I224" s="486"/>
    </row>
    <row r="225" spans="1:9" ht="14.25" customHeight="1">
      <c r="A225" s="480"/>
      <c r="B225" s="481" t="s">
        <v>2831</v>
      </c>
      <c r="D225" s="382" t="s">
        <v>1862</v>
      </c>
      <c r="E225" s="381"/>
      <c r="F225" s="381"/>
      <c r="I225" s="486"/>
    </row>
    <row r="226" spans="1:9" ht="14.4">
      <c r="A226" s="480"/>
      <c r="B226" s="480"/>
      <c r="D226" s="1838" t="s">
        <v>1869</v>
      </c>
      <c r="E226" s="1838"/>
      <c r="F226" s="1838"/>
      <c r="I226" s="486"/>
    </row>
    <row r="227" spans="1:9">
      <c r="D227" s="381"/>
      <c r="E227" s="1883" t="s">
        <v>1895</v>
      </c>
      <c r="F227" s="1883"/>
      <c r="I227" s="486"/>
    </row>
    <row r="228" spans="1:9">
      <c r="D228" s="443"/>
      <c r="I228" s="486"/>
    </row>
    <row r="229" spans="1:9">
      <c r="B229" s="481" t="s">
        <v>2831</v>
      </c>
      <c r="D229" s="1840" t="s">
        <v>1739</v>
      </c>
      <c r="E229" s="1840"/>
      <c r="F229" s="1840"/>
      <c r="I229" s="486"/>
    </row>
    <row r="230" spans="1:9">
      <c r="D230" s="1838" t="s">
        <v>1869</v>
      </c>
      <c r="E230" s="1838"/>
      <c r="F230" s="1838"/>
      <c r="I230" s="486"/>
    </row>
    <row r="231" spans="1:9">
      <c r="D231" s="57" t="s">
        <v>1735</v>
      </c>
      <c r="E231" s="1883" t="s">
        <v>1896</v>
      </c>
      <c r="F231" s="1883"/>
      <c r="I231" s="486"/>
    </row>
    <row r="232" spans="1:9">
      <c r="D232" s="447"/>
      <c r="E232" s="447"/>
      <c r="F232" s="447"/>
      <c r="I232" s="486"/>
    </row>
    <row r="233" spans="1:9" ht="14.4">
      <c r="A233" s="480"/>
      <c r="B233" s="481" t="s">
        <v>2831</v>
      </c>
      <c r="D233" s="1857" t="s">
        <v>1215</v>
      </c>
      <c r="E233" s="1857"/>
      <c r="F233" s="1857"/>
      <c r="I233" s="486"/>
    </row>
    <row r="234" spans="1:9" ht="14.4" customHeight="1">
      <c r="A234" s="480"/>
      <c r="B234" s="398"/>
      <c r="D234" s="1857"/>
      <c r="E234" s="1857"/>
      <c r="F234" s="1857"/>
      <c r="I234" s="486"/>
    </row>
    <row r="235" spans="1:9" ht="14.4">
      <c r="A235" s="480"/>
      <c r="D235" s="1857"/>
      <c r="E235" s="1857"/>
      <c r="F235" s="1857"/>
      <c r="I235" s="486"/>
    </row>
    <row r="236" spans="1:9" ht="14.4">
      <c r="A236" s="480"/>
      <c r="D236" s="1857"/>
      <c r="E236" s="1857"/>
      <c r="F236" s="1857"/>
      <c r="I236" s="486"/>
    </row>
    <row r="237" spans="1:9">
      <c r="D237" s="447"/>
      <c r="E237" s="447"/>
      <c r="F237" s="447"/>
      <c r="I237" s="486"/>
    </row>
    <row r="238" spans="1:9" customFormat="1" ht="14.4">
      <c r="A238" s="175"/>
      <c r="B238" s="481" t="s">
        <v>2831</v>
      </c>
      <c r="C238" s="350"/>
      <c r="D238" s="1840" t="s">
        <v>2640</v>
      </c>
      <c r="E238" s="1840"/>
      <c r="F238" s="1840"/>
      <c r="G238" s="3"/>
    </row>
    <row r="239" spans="1:9" customFormat="1" ht="14.4">
      <c r="A239" s="175"/>
      <c r="B239" s="350"/>
      <c r="C239" s="350"/>
      <c r="D239" s="515"/>
      <c r="E239" s="515"/>
      <c r="F239" s="515"/>
      <c r="G239" s="3"/>
    </row>
    <row r="240" spans="1:9">
      <c r="A240" s="1858" t="s">
        <v>1046</v>
      </c>
      <c r="B240" s="1858"/>
      <c r="C240" s="1858"/>
      <c r="D240" s="1858"/>
      <c r="E240" s="1858"/>
      <c r="F240" s="1858"/>
      <c r="G240" s="1858"/>
      <c r="H240" s="1018"/>
      <c r="I240" s="1142"/>
    </row>
    <row r="241" spans="1:9" ht="12" customHeight="1">
      <c r="D241" s="442"/>
      <c r="E241" s="442"/>
      <c r="F241" s="442"/>
      <c r="I241" s="486"/>
    </row>
    <row r="242" spans="1:9">
      <c r="C242" s="482"/>
      <c r="D242" s="1860" t="s">
        <v>208</v>
      </c>
      <c r="E242" s="1860"/>
      <c r="F242" s="1860"/>
      <c r="I242" s="486"/>
    </row>
    <row r="243" spans="1:9">
      <c r="A243" s="478"/>
      <c r="B243" s="478"/>
      <c r="C243" s="478"/>
      <c r="D243" s="1859" t="s">
        <v>1120</v>
      </c>
      <c r="E243" s="1859"/>
      <c r="F243" s="1859"/>
      <c r="I243" s="486"/>
    </row>
    <row r="244" spans="1:9" ht="12" customHeight="1">
      <c r="A244" s="486"/>
      <c r="B244" s="486"/>
      <c r="C244" s="486"/>
      <c r="I244" s="486"/>
    </row>
    <row r="245" spans="1:9" ht="13.65" customHeight="1">
      <c r="A245" s="486"/>
      <c r="C245" s="486"/>
      <c r="D245" s="1860" t="s">
        <v>546</v>
      </c>
      <c r="E245" s="1860"/>
      <c r="F245" s="1860"/>
      <c r="I245" s="486"/>
    </row>
    <row r="246" spans="1:9" ht="14.4">
      <c r="A246" s="480"/>
      <c r="B246" s="481" t="s">
        <v>2830</v>
      </c>
      <c r="D246" s="1857" t="s">
        <v>1740</v>
      </c>
      <c r="E246" s="1857"/>
      <c r="F246" s="1857"/>
      <c r="I246" s="486"/>
    </row>
    <row r="247" spans="1:9" ht="14.25" customHeight="1">
      <c r="A247" s="480"/>
      <c r="B247" s="480"/>
      <c r="D247" s="1857"/>
      <c r="E247" s="1857"/>
      <c r="F247" s="1857"/>
      <c r="I247" s="486"/>
    </row>
    <row r="248" spans="1:9" ht="14.25" customHeight="1">
      <c r="A248" s="480"/>
      <c r="B248" s="480"/>
      <c r="D248" s="1857"/>
      <c r="E248" s="1857"/>
      <c r="F248" s="1857"/>
      <c r="I248" s="486"/>
    </row>
    <row r="249" spans="1:9" ht="14.4">
      <c r="A249" s="480"/>
      <c r="B249" s="480"/>
      <c r="D249" s="1857"/>
      <c r="E249" s="1857"/>
      <c r="F249" s="1857"/>
      <c r="I249" s="486"/>
    </row>
    <row r="250" spans="1:9" ht="14.4">
      <c r="A250" s="480"/>
      <c r="B250" s="480"/>
      <c r="D250" s="441"/>
      <c r="E250" s="441"/>
      <c r="F250" s="441"/>
      <c r="I250" s="486"/>
    </row>
    <row r="251" spans="1:9" ht="14.4">
      <c r="A251" s="480"/>
      <c r="B251" s="481" t="s">
        <v>2830</v>
      </c>
      <c r="D251" s="1857" t="s">
        <v>1741</v>
      </c>
      <c r="E251" s="1857"/>
      <c r="F251" s="1857"/>
      <c r="I251" s="486"/>
    </row>
    <row r="252" spans="1:9" ht="14.4">
      <c r="A252" s="480"/>
      <c r="B252" s="480"/>
      <c r="D252" s="1857"/>
      <c r="E252" s="1857"/>
      <c r="F252" s="1857"/>
      <c r="I252" s="486"/>
    </row>
    <row r="253" spans="1:9" ht="14.4">
      <c r="A253" s="480"/>
      <c r="B253" s="480"/>
      <c r="D253" s="1857"/>
      <c r="E253" s="1857"/>
      <c r="F253" s="1857"/>
      <c r="I253" s="486"/>
    </row>
    <row r="254" spans="1:9" ht="14.4">
      <c r="A254" s="480"/>
      <c r="B254" s="480"/>
      <c r="D254" s="1857"/>
      <c r="E254" s="1857"/>
      <c r="F254" s="1857"/>
      <c r="I254" s="486"/>
    </row>
    <row r="255" spans="1:9" ht="14.25" customHeight="1">
      <c r="A255" s="480"/>
      <c r="B255" s="480"/>
      <c r="D255" s="1857"/>
      <c r="E255" s="1857"/>
      <c r="F255" s="1857"/>
      <c r="I255" s="486"/>
    </row>
    <row r="256" spans="1:9" ht="14.25" customHeight="1">
      <c r="A256" s="480"/>
      <c r="B256" s="480"/>
      <c r="D256" s="441"/>
      <c r="E256" s="441"/>
      <c r="F256" s="441"/>
      <c r="I256" s="486"/>
    </row>
    <row r="257" spans="1:9" ht="14.4">
      <c r="A257" s="480"/>
      <c r="B257" s="480"/>
      <c r="D257" s="1857" t="s">
        <v>1118</v>
      </c>
      <c r="E257" s="1857"/>
      <c r="F257" s="1857"/>
      <c r="I257" s="486"/>
    </row>
    <row r="258" spans="1:9" ht="14.4">
      <c r="A258" s="480"/>
      <c r="B258" s="480"/>
      <c r="D258" s="1857"/>
      <c r="E258" s="1857"/>
      <c r="F258" s="1857"/>
      <c r="I258" s="486"/>
    </row>
    <row r="259" spans="1:9" ht="14.4">
      <c r="A259" s="480"/>
      <c r="B259" s="480"/>
      <c r="D259" s="1857"/>
      <c r="E259" s="1857"/>
      <c r="F259" s="1857"/>
      <c r="I259" s="486"/>
    </row>
    <row r="260" spans="1:9" ht="14.4">
      <c r="A260" s="480"/>
      <c r="B260" s="480"/>
      <c r="D260" s="1857"/>
      <c r="E260" s="1857"/>
      <c r="F260" s="1857"/>
      <c r="I260" s="486"/>
    </row>
    <row r="261" spans="1:9" ht="14.4">
      <c r="A261" s="480"/>
      <c r="B261" s="480"/>
      <c r="D261" s="1857"/>
      <c r="E261" s="1857"/>
      <c r="F261" s="1857"/>
      <c r="I261" s="486"/>
    </row>
    <row r="262" spans="1:9" ht="14.4">
      <c r="A262" s="480"/>
      <c r="B262" s="480"/>
      <c r="D262" s="442"/>
      <c r="E262" s="442"/>
      <c r="F262" s="442"/>
      <c r="I262" s="486"/>
    </row>
    <row r="263" spans="1:9" ht="14.4">
      <c r="A263" s="480"/>
      <c r="B263" s="481" t="s">
        <v>2830</v>
      </c>
      <c r="D263" s="1857" t="s">
        <v>2006</v>
      </c>
      <c r="E263" s="1857"/>
      <c r="F263" s="1857"/>
      <c r="I263" s="486"/>
    </row>
    <row r="264" spans="1:9" ht="14.4">
      <c r="A264" s="480"/>
      <c r="B264" s="480"/>
      <c r="D264" s="1857"/>
      <c r="E264" s="1857"/>
      <c r="F264" s="1857"/>
      <c r="I264" s="486"/>
    </row>
    <row r="265" spans="1:9" ht="14.4">
      <c r="A265" s="480"/>
      <c r="B265" s="480"/>
      <c r="D265" s="1857"/>
      <c r="E265" s="1857"/>
      <c r="F265" s="1857"/>
      <c r="I265" s="486"/>
    </row>
    <row r="266" spans="1:9" ht="14.4">
      <c r="A266" s="480"/>
      <c r="B266" s="480"/>
      <c r="E266" s="1026" t="s">
        <v>1863</v>
      </c>
      <c r="I266" s="486"/>
    </row>
    <row r="267" spans="1:9" ht="14.4">
      <c r="A267" s="480"/>
      <c r="B267" s="480"/>
      <c r="D267" s="442"/>
      <c r="E267" s="442"/>
      <c r="F267" s="442"/>
      <c r="I267" s="486"/>
    </row>
    <row r="268" spans="1:9" ht="14.4" customHeight="1">
      <c r="A268" s="480"/>
      <c r="B268" s="481" t="s">
        <v>2831</v>
      </c>
      <c r="D268" s="1857" t="s">
        <v>2007</v>
      </c>
      <c r="E268" s="1857"/>
      <c r="F268" s="1857"/>
      <c r="I268" s="486"/>
    </row>
    <row r="269" spans="1:9" ht="12.75" customHeight="1">
      <c r="A269" s="480"/>
      <c r="B269" s="480"/>
      <c r="D269" s="1857"/>
      <c r="E269" s="1857"/>
      <c r="F269" s="1857"/>
      <c r="I269" s="486"/>
    </row>
    <row r="270" spans="1:9" ht="14.4">
      <c r="A270" s="480"/>
      <c r="B270" s="480"/>
      <c r="D270" s="1857"/>
      <c r="E270" s="1857"/>
      <c r="F270" s="1857"/>
      <c r="I270" s="486"/>
    </row>
    <row r="271" spans="1:9" ht="14.4">
      <c r="A271" s="480"/>
      <c r="B271" s="480"/>
      <c r="D271" s="1857"/>
      <c r="E271" s="1857"/>
      <c r="F271" s="1857"/>
      <c r="I271" s="486"/>
    </row>
    <row r="272" spans="1:9" ht="14.4">
      <c r="A272" s="480"/>
      <c r="B272" s="480"/>
      <c r="D272" s="1857"/>
      <c r="E272" s="1857"/>
      <c r="F272" s="1857"/>
      <c r="I272" s="486"/>
    </row>
    <row r="273" spans="1:9" ht="14.4">
      <c r="A273" s="480"/>
      <c r="B273" s="480"/>
      <c r="D273" s="441"/>
      <c r="E273" s="441"/>
      <c r="F273" s="441"/>
      <c r="I273" s="486"/>
    </row>
    <row r="274" spans="1:9" ht="14.4">
      <c r="A274" s="480"/>
      <c r="B274" s="481" t="s">
        <v>2830</v>
      </c>
      <c r="D274" s="388" t="s">
        <v>2008</v>
      </c>
      <c r="E274" s="441"/>
      <c r="F274" s="441"/>
      <c r="I274" s="486"/>
    </row>
    <row r="275" spans="1:9" ht="14.4">
      <c r="A275" s="480"/>
      <c r="B275" s="480"/>
      <c r="E275" s="1026" t="s">
        <v>1864</v>
      </c>
      <c r="I275" s="486"/>
    </row>
    <row r="276" spans="1:9">
      <c r="D276" s="442"/>
      <c r="E276" s="442"/>
      <c r="F276" s="442"/>
      <c r="I276" s="486"/>
    </row>
    <row r="277" spans="1:9" ht="14.4">
      <c r="A277" s="480"/>
      <c r="B277" s="481" t="s">
        <v>2830</v>
      </c>
      <c r="D277" s="1857" t="s">
        <v>1119</v>
      </c>
      <c r="E277" s="1857"/>
      <c r="F277" s="1857"/>
      <c r="I277" s="486"/>
    </row>
    <row r="278" spans="1:9" ht="14.4">
      <c r="A278" s="480"/>
      <c r="B278" s="480"/>
      <c r="D278" s="1857"/>
      <c r="E278" s="1857"/>
      <c r="F278" s="1857"/>
      <c r="I278" s="486"/>
    </row>
    <row r="279" spans="1:9">
      <c r="D279" s="487"/>
      <c r="I279" s="486"/>
    </row>
    <row r="280" spans="1:9">
      <c r="A280" s="1858" t="s">
        <v>1047</v>
      </c>
      <c r="B280" s="1858"/>
      <c r="C280" s="1858"/>
      <c r="D280" s="1858"/>
      <c r="E280" s="1858"/>
      <c r="F280" s="1858"/>
      <c r="G280" s="1858"/>
      <c r="H280" s="1018"/>
      <c r="I280" s="1142"/>
    </row>
    <row r="281" spans="1:9">
      <c r="D281" s="487"/>
      <c r="I281" s="486"/>
    </row>
    <row r="282" spans="1:9">
      <c r="C282" s="482"/>
      <c r="D282" s="1860" t="s">
        <v>1121</v>
      </c>
      <c r="E282" s="1860"/>
      <c r="F282" s="1860"/>
      <c r="I282" s="486"/>
    </row>
    <row r="283" spans="1:9">
      <c r="A283" s="478"/>
      <c r="B283" s="478"/>
      <c r="C283" s="478"/>
      <c r="D283" s="442"/>
      <c r="E283" s="442"/>
      <c r="F283" s="442"/>
      <c r="I283" s="486"/>
    </row>
    <row r="284" spans="1:9">
      <c r="A284" s="479"/>
      <c r="B284" s="479"/>
      <c r="C284" s="479"/>
      <c r="D284" s="1860" t="s">
        <v>269</v>
      </c>
      <c r="E284" s="1860"/>
      <c r="F284" s="1860"/>
      <c r="I284" s="486"/>
    </row>
    <row r="285" spans="1:9" ht="14.4" customHeight="1">
      <c r="A285" s="480"/>
      <c r="B285" s="481" t="s">
        <v>2830</v>
      </c>
      <c r="D285" s="1857" t="s">
        <v>1195</v>
      </c>
      <c r="E285" s="1857"/>
      <c r="F285" s="1857"/>
      <c r="I285" s="486"/>
    </row>
    <row r="286" spans="1:9">
      <c r="D286" s="1857"/>
      <c r="E286" s="1857"/>
      <c r="F286" s="1857"/>
      <c r="I286" s="486"/>
    </row>
    <row r="287" spans="1:9">
      <c r="E287" s="1026" t="s">
        <v>1865</v>
      </c>
      <c r="I287" s="486"/>
    </row>
    <row r="288" spans="1:9">
      <c r="D288" s="442"/>
      <c r="E288" s="442"/>
      <c r="F288" s="442"/>
      <c r="I288" s="486"/>
    </row>
    <row r="289" spans="1:9" ht="14.4" customHeight="1">
      <c r="A289" s="480"/>
      <c r="B289" s="481" t="s">
        <v>2831</v>
      </c>
      <c r="D289" s="1857" t="s">
        <v>2009</v>
      </c>
      <c r="E289" s="1857"/>
      <c r="F289" s="1857"/>
      <c r="I289" s="486"/>
    </row>
    <row r="290" spans="1:9">
      <c r="D290" s="1857"/>
      <c r="E290" s="1857"/>
      <c r="F290" s="1857"/>
      <c r="I290" s="486"/>
    </row>
    <row r="291" spans="1:9">
      <c r="D291" s="1857"/>
      <c r="E291" s="1857"/>
      <c r="F291" s="1857"/>
      <c r="I291" s="486"/>
    </row>
    <row r="292" spans="1:9">
      <c r="D292" s="1857"/>
      <c r="E292" s="1857"/>
      <c r="F292" s="1857"/>
      <c r="I292" s="486"/>
    </row>
    <row r="293" spans="1:9">
      <c r="D293" s="1857"/>
      <c r="E293" s="1857"/>
      <c r="F293" s="1857"/>
      <c r="I293" s="486"/>
    </row>
    <row r="294" spans="1:9">
      <c r="D294" s="1857"/>
      <c r="E294" s="1857"/>
      <c r="F294" s="1857"/>
      <c r="I294" s="486"/>
    </row>
    <row r="295" spans="1:9">
      <c r="D295" s="442"/>
      <c r="E295" s="442"/>
      <c r="F295" s="442"/>
      <c r="I295" s="486"/>
    </row>
    <row r="296" spans="1:9" ht="14.4">
      <c r="A296" s="480"/>
      <c r="B296" s="481" t="s">
        <v>2831</v>
      </c>
      <c r="D296" s="1857" t="s">
        <v>1122</v>
      </c>
      <c r="E296" s="1857"/>
      <c r="F296" s="1857"/>
      <c r="I296" s="486"/>
    </row>
    <row r="297" spans="1:9">
      <c r="D297" s="1857"/>
      <c r="E297" s="1857"/>
      <c r="F297" s="1857"/>
      <c r="I297" s="486"/>
    </row>
    <row r="298" spans="1:9">
      <c r="D298" s="1857"/>
      <c r="E298" s="1857"/>
      <c r="F298" s="1857"/>
      <c r="I298" s="486"/>
    </row>
    <row r="299" spans="1:9">
      <c r="D299" s="488"/>
      <c r="E299" s="442"/>
      <c r="F299" s="442"/>
      <c r="I299" s="486"/>
    </row>
    <row r="300" spans="1:9">
      <c r="A300" s="1858" t="s">
        <v>1048</v>
      </c>
      <c r="B300" s="1858"/>
      <c r="C300" s="1858"/>
      <c r="D300" s="1858"/>
      <c r="E300" s="1858"/>
      <c r="F300" s="1858"/>
      <c r="G300" s="1858"/>
      <c r="H300" s="1018"/>
      <c r="I300" s="1142"/>
    </row>
    <row r="301" spans="1:9">
      <c r="D301" s="488"/>
      <c r="E301" s="442"/>
      <c r="F301" s="442"/>
      <c r="I301" s="486"/>
    </row>
    <row r="302" spans="1:9">
      <c r="C302" s="478"/>
      <c r="D302" s="1876" t="s">
        <v>1123</v>
      </c>
      <c r="E302" s="1876"/>
      <c r="F302" s="1876"/>
      <c r="I302" s="486"/>
    </row>
    <row r="303" spans="1:9">
      <c r="C303" s="478"/>
      <c r="D303" s="1876"/>
      <c r="E303" s="1876"/>
      <c r="F303" s="1876"/>
      <c r="I303" s="486"/>
    </row>
    <row r="304" spans="1:9">
      <c r="A304" s="479"/>
      <c r="B304" s="479"/>
      <c r="C304" s="479"/>
      <c r="D304" s="400"/>
      <c r="I304" s="486"/>
    </row>
    <row r="305" spans="1:9">
      <c r="C305" s="479"/>
      <c r="D305" s="1860" t="s">
        <v>209</v>
      </c>
      <c r="E305" s="1860"/>
      <c r="F305" s="1860"/>
      <c r="I305" s="486"/>
    </row>
    <row r="306" spans="1:9" ht="15.75" customHeight="1">
      <c r="A306" s="480"/>
      <c r="B306" s="480"/>
      <c r="D306" s="1884" t="s">
        <v>1124</v>
      </c>
      <c r="E306" s="1884"/>
      <c r="F306" s="1884"/>
      <c r="I306" s="486"/>
    </row>
    <row r="307" spans="1:9">
      <c r="E307" s="442"/>
      <c r="F307" s="442"/>
      <c r="I307" s="486"/>
    </row>
    <row r="308" spans="1:9" ht="14.4">
      <c r="A308" s="480"/>
      <c r="B308" s="481" t="s">
        <v>2830</v>
      </c>
      <c r="D308" s="1857" t="s">
        <v>1125</v>
      </c>
      <c r="E308" s="1857"/>
      <c r="F308" s="1857"/>
      <c r="I308" s="486"/>
    </row>
    <row r="309" spans="1:9" ht="14.4">
      <c r="A309" s="480"/>
      <c r="B309" s="480"/>
      <c r="D309" s="1857"/>
      <c r="E309" s="1857"/>
      <c r="F309" s="1857"/>
      <c r="I309" s="486"/>
    </row>
    <row r="310" spans="1:9">
      <c r="D310" s="442"/>
      <c r="E310" s="442"/>
      <c r="F310" s="442"/>
      <c r="I310" s="486"/>
    </row>
    <row r="311" spans="1:9" ht="14.4">
      <c r="A311" s="480"/>
      <c r="B311" s="481" t="s">
        <v>2830</v>
      </c>
      <c r="D311" s="1857" t="s">
        <v>2641</v>
      </c>
      <c r="E311" s="1857"/>
      <c r="F311" s="1857"/>
      <c r="I311" s="486"/>
    </row>
    <row r="312" spans="1:9" ht="14.4">
      <c r="A312" s="480"/>
      <c r="B312" s="480"/>
      <c r="D312" s="1857"/>
      <c r="E312" s="1857"/>
      <c r="F312" s="1857"/>
      <c r="I312" s="486"/>
    </row>
    <row r="313" spans="1:9" ht="14.4">
      <c r="A313" s="480"/>
      <c r="B313" s="480"/>
      <c r="D313" s="1857"/>
      <c r="E313" s="1857"/>
      <c r="F313" s="1857"/>
      <c r="I313" s="486"/>
    </row>
    <row r="314" spans="1:9">
      <c r="D314" s="442"/>
      <c r="E314" s="442"/>
      <c r="F314" s="442"/>
      <c r="I314" s="486"/>
    </row>
    <row r="315" spans="1:9" ht="14.4">
      <c r="A315" s="480"/>
      <c r="B315" s="481" t="s">
        <v>2831</v>
      </c>
      <c r="D315" s="1857" t="s">
        <v>1126</v>
      </c>
      <c r="E315" s="1857"/>
      <c r="F315" s="1857"/>
      <c r="I315" s="486"/>
    </row>
    <row r="316" spans="1:9" ht="14.4">
      <c r="A316" s="480"/>
      <c r="B316" s="480"/>
      <c r="D316" s="1857"/>
      <c r="E316" s="1857"/>
      <c r="F316" s="1857"/>
      <c r="I316" s="486"/>
    </row>
    <row r="317" spans="1:9">
      <c r="A317" s="486"/>
      <c r="B317" s="486"/>
      <c r="E317" s="442"/>
      <c r="F317" s="442"/>
      <c r="I317" s="486"/>
    </row>
    <row r="318" spans="1:9">
      <c r="A318" s="1858" t="s">
        <v>1049</v>
      </c>
      <c r="B318" s="1858"/>
      <c r="C318" s="1858"/>
      <c r="D318" s="1858"/>
      <c r="E318" s="1858"/>
      <c r="F318" s="1858"/>
      <c r="G318" s="1858"/>
      <c r="H318" s="1018"/>
      <c r="I318" s="1142"/>
    </row>
    <row r="319" spans="1:9">
      <c r="A319" s="486"/>
      <c r="B319" s="486"/>
      <c r="D319" s="442"/>
      <c r="E319" s="442"/>
      <c r="F319" s="442"/>
      <c r="I319" s="486"/>
    </row>
    <row r="320" spans="1:9">
      <c r="C320" s="486"/>
      <c r="D320" s="1860" t="s">
        <v>682</v>
      </c>
      <c r="E320" s="1860"/>
      <c r="F320" s="1860"/>
      <c r="I320" s="486"/>
    </row>
    <row r="321" spans="1:9">
      <c r="C321" s="486"/>
      <c r="D321" s="1859" t="s">
        <v>1127</v>
      </c>
      <c r="E321" s="1859"/>
      <c r="F321" s="1859"/>
      <c r="I321" s="486"/>
    </row>
    <row r="322" spans="1:9">
      <c r="C322" s="486"/>
      <c r="D322" s="489"/>
      <c r="I322" s="486"/>
    </row>
    <row r="323" spans="1:9">
      <c r="B323" s="481" t="s">
        <v>2831</v>
      </c>
      <c r="D323" s="1859" t="s">
        <v>1128</v>
      </c>
      <c r="E323" s="1859"/>
      <c r="F323" s="1859"/>
      <c r="I323" s="486"/>
    </row>
    <row r="324" spans="1:9" ht="14.4">
      <c r="A324" s="480"/>
      <c r="B324" s="480"/>
      <c r="D324" s="490"/>
      <c r="E324" s="491"/>
      <c r="F324" s="491"/>
      <c r="I324" s="486"/>
    </row>
    <row r="325" spans="1:9" ht="13.65" customHeight="1">
      <c r="B325" s="481" t="s">
        <v>2831</v>
      </c>
      <c r="D325" s="1870" t="s">
        <v>1218</v>
      </c>
      <c r="E325" s="1870"/>
      <c r="F325" s="1870"/>
      <c r="I325" s="486"/>
    </row>
    <row r="326" spans="1:9" ht="14.4">
      <c r="A326" s="480"/>
      <c r="B326" s="480"/>
      <c r="D326" s="1870"/>
      <c r="E326" s="1870"/>
      <c r="F326" s="1870"/>
      <c r="I326" s="486"/>
    </row>
    <row r="327" spans="1:9" ht="14.4">
      <c r="A327" s="480"/>
      <c r="B327" s="480"/>
      <c r="D327" s="1870"/>
      <c r="E327" s="1870"/>
      <c r="F327" s="1870"/>
      <c r="I327" s="486"/>
    </row>
    <row r="328" spans="1:9" ht="14.4">
      <c r="A328" s="480"/>
      <c r="B328" s="480"/>
      <c r="D328" s="1870"/>
      <c r="E328" s="1870"/>
      <c r="F328" s="1870"/>
      <c r="I328" s="486"/>
    </row>
    <row r="329" spans="1:9" ht="14.4">
      <c r="A329" s="480"/>
      <c r="B329" s="480"/>
      <c r="D329" s="1870"/>
      <c r="E329" s="1870"/>
      <c r="F329" s="1870"/>
      <c r="I329" s="486"/>
    </row>
    <row r="330" spans="1:9" ht="14.4">
      <c r="A330" s="480"/>
      <c r="B330" s="480"/>
      <c r="D330" s="490"/>
      <c r="E330" s="491"/>
      <c r="F330" s="491"/>
      <c r="I330" s="486"/>
    </row>
    <row r="331" spans="1:9" ht="13.65" customHeight="1">
      <c r="B331" s="481" t="s">
        <v>2831</v>
      </c>
      <c r="D331" s="1870" t="s">
        <v>1129</v>
      </c>
      <c r="E331" s="1870"/>
      <c r="F331" s="1870"/>
      <c r="I331" s="486"/>
    </row>
    <row r="332" spans="1:9">
      <c r="D332" s="1870"/>
      <c r="E332" s="1870"/>
      <c r="F332" s="1870"/>
      <c r="I332" s="486"/>
    </row>
    <row r="333" spans="1:9" ht="14.4">
      <c r="A333" s="480"/>
      <c r="B333" s="480"/>
      <c r="D333" s="490"/>
      <c r="E333" s="491"/>
      <c r="F333" s="491"/>
      <c r="I333" s="486"/>
    </row>
    <row r="334" spans="1:9">
      <c r="B334" s="481" t="s">
        <v>2831</v>
      </c>
      <c r="D334" s="1859" t="s">
        <v>1130</v>
      </c>
      <c r="E334" s="1859"/>
      <c r="F334" s="1859"/>
      <c r="I334" s="486"/>
    </row>
    <row r="335" spans="1:9">
      <c r="E335" s="442"/>
      <c r="F335" s="442"/>
      <c r="I335" s="486"/>
    </row>
    <row r="336" spans="1:9" ht="14.4">
      <c r="A336" s="480"/>
      <c r="B336" s="481" t="s">
        <v>2831</v>
      </c>
      <c r="D336" s="1857" t="s">
        <v>2192</v>
      </c>
      <c r="E336" s="1857"/>
      <c r="F336" s="1857"/>
      <c r="I336" s="486"/>
    </row>
    <row r="337" spans="1:9" ht="14.4">
      <c r="A337" s="480"/>
      <c r="B337" s="480"/>
      <c r="D337" s="1857"/>
      <c r="E337" s="1857"/>
      <c r="F337" s="1857"/>
      <c r="I337" s="486"/>
    </row>
    <row r="338" spans="1:9" ht="14.4">
      <c r="A338" s="480"/>
      <c r="B338" s="480"/>
      <c r="D338" s="1857"/>
      <c r="E338" s="1857"/>
      <c r="F338" s="1857"/>
      <c r="I338" s="486"/>
    </row>
    <row r="339" spans="1:9" ht="14.4">
      <c r="A339" s="480"/>
      <c r="B339" s="480"/>
      <c r="D339" s="1857"/>
      <c r="E339" s="1857"/>
      <c r="F339" s="1857"/>
      <c r="I339" s="486"/>
    </row>
    <row r="340" spans="1:9" ht="14.4">
      <c r="A340" s="480"/>
      <c r="B340" s="480"/>
      <c r="D340" s="1857"/>
      <c r="E340" s="1857"/>
      <c r="F340" s="1857"/>
      <c r="I340" s="486"/>
    </row>
    <row r="341" spans="1:9" ht="14.4">
      <c r="A341" s="480"/>
      <c r="B341" s="480"/>
      <c r="D341" s="1857"/>
      <c r="E341" s="1857"/>
      <c r="F341" s="1857"/>
      <c r="I341" s="486"/>
    </row>
    <row r="342" spans="1:9" ht="14.4">
      <c r="A342" s="480"/>
      <c r="B342" s="480"/>
      <c r="D342" s="1857"/>
      <c r="E342" s="1857"/>
      <c r="F342" s="1857"/>
      <c r="I342" s="486"/>
    </row>
    <row r="343" spans="1:9" ht="14.4">
      <c r="A343" s="480"/>
      <c r="B343" s="480"/>
      <c r="D343" s="1857"/>
      <c r="E343" s="1857"/>
      <c r="F343" s="1857"/>
      <c r="I343" s="486"/>
    </row>
    <row r="344" spans="1:9" ht="14.4">
      <c r="A344" s="480"/>
      <c r="B344" s="480"/>
      <c r="D344" s="1857"/>
      <c r="E344" s="1857"/>
      <c r="F344" s="1857"/>
      <c r="I344" s="486"/>
    </row>
    <row r="345" spans="1:9" ht="14.4">
      <c r="A345" s="480"/>
      <c r="B345" s="480"/>
      <c r="D345" s="1857"/>
      <c r="E345" s="1857"/>
      <c r="F345" s="1857"/>
      <c r="I345" s="486"/>
    </row>
    <row r="346" spans="1:9" ht="14.4">
      <c r="A346" s="480"/>
      <c r="B346" s="480"/>
      <c r="D346" s="1857"/>
      <c r="E346" s="1857"/>
      <c r="F346" s="1857"/>
      <c r="I346" s="486"/>
    </row>
    <row r="347" spans="1:9" ht="14.4">
      <c r="A347" s="480"/>
      <c r="B347" s="480"/>
      <c r="D347" s="1857"/>
      <c r="E347" s="1857"/>
      <c r="F347" s="1857"/>
      <c r="I347" s="486"/>
    </row>
    <row r="348" spans="1:9" ht="14.4">
      <c r="A348" s="480"/>
      <c r="B348" s="480"/>
      <c r="D348" s="1857"/>
      <c r="E348" s="1857"/>
      <c r="F348" s="1857"/>
      <c r="I348" s="486"/>
    </row>
    <row r="349" spans="1:9" ht="14.4">
      <c r="A349" s="480"/>
      <c r="B349" s="480"/>
      <c r="D349" s="1857"/>
      <c r="E349" s="1857"/>
      <c r="F349" s="1857"/>
      <c r="I349" s="486"/>
    </row>
    <row r="350" spans="1:9" ht="14.4">
      <c r="A350" s="480"/>
      <c r="B350" s="480"/>
      <c r="D350" s="1857"/>
      <c r="E350" s="1857"/>
      <c r="F350" s="1857"/>
      <c r="I350" s="486"/>
    </row>
    <row r="351" spans="1:9">
      <c r="D351" s="442"/>
      <c r="E351" s="442"/>
      <c r="F351" s="442"/>
      <c r="I351" s="486"/>
    </row>
    <row r="352" spans="1:9" ht="14.4">
      <c r="A352" s="480"/>
      <c r="B352" s="481" t="s">
        <v>2831</v>
      </c>
      <c r="D352" s="1857" t="s">
        <v>1131</v>
      </c>
      <c r="E352" s="1857"/>
      <c r="F352" s="1857"/>
      <c r="I352" s="486"/>
    </row>
    <row r="353" spans="1:9">
      <c r="D353" s="1857"/>
      <c r="E353" s="1857"/>
      <c r="F353" s="1857"/>
      <c r="I353" s="486"/>
    </row>
    <row r="354" spans="1:9">
      <c r="D354" s="1857"/>
      <c r="E354" s="1857"/>
      <c r="F354" s="1857"/>
      <c r="I354" s="486"/>
    </row>
    <row r="355" spans="1:9">
      <c r="D355" s="1857"/>
      <c r="E355" s="1857"/>
      <c r="F355" s="1857"/>
      <c r="I355" s="486"/>
    </row>
    <row r="356" spans="1:9">
      <c r="D356" s="1857"/>
      <c r="E356" s="1857"/>
      <c r="F356" s="1857"/>
      <c r="I356" s="486"/>
    </row>
    <row r="357" spans="1:9">
      <c r="D357" s="1857"/>
      <c r="E357" s="1857"/>
      <c r="F357" s="1857"/>
      <c r="I357" s="486"/>
    </row>
    <row r="358" spans="1:9">
      <c r="D358" s="1857"/>
      <c r="E358" s="1857"/>
      <c r="F358" s="1857"/>
      <c r="I358" s="486"/>
    </row>
    <row r="359" spans="1:9">
      <c r="D359" s="1857"/>
      <c r="E359" s="1857"/>
      <c r="F359" s="1857"/>
      <c r="I359" s="486"/>
    </row>
    <row r="360" spans="1:9">
      <c r="D360" s="1857"/>
      <c r="E360" s="1857"/>
      <c r="F360" s="1857"/>
      <c r="I360" s="486"/>
    </row>
    <row r="361" spans="1:9">
      <c r="D361" s="442"/>
      <c r="E361" s="442"/>
      <c r="F361" s="442"/>
      <c r="I361" s="486"/>
    </row>
    <row r="362" spans="1:9" ht="14.25" customHeight="1">
      <c r="A362" s="480"/>
      <c r="B362" s="481" t="s">
        <v>2831</v>
      </c>
      <c r="D362" s="1857" t="s">
        <v>1870</v>
      </c>
      <c r="E362" s="1857"/>
      <c r="F362" s="1857"/>
      <c r="I362" s="486"/>
    </row>
    <row r="363" spans="1:9">
      <c r="D363" s="1857"/>
      <c r="E363" s="1857"/>
      <c r="F363" s="1857"/>
      <c r="I363" s="486"/>
    </row>
    <row r="364" spans="1:9">
      <c r="D364" s="1857"/>
      <c r="E364" s="1857"/>
      <c r="F364" s="1857"/>
      <c r="I364" s="486"/>
    </row>
    <row r="365" spans="1:9">
      <c r="D365" s="1857"/>
      <c r="E365" s="1857"/>
      <c r="F365" s="1857"/>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8" thickBot="1">
      <c r="A369" s="1012"/>
      <c r="B369" s="1012"/>
      <c r="C369" s="1012"/>
      <c r="D369" s="1868" t="s">
        <v>979</v>
      </c>
      <c r="E369" s="1868"/>
      <c r="F369" s="1868"/>
      <c r="G369" s="1017"/>
      <c r="H369" s="1017"/>
      <c r="I369" s="1145"/>
    </row>
    <row r="370" spans="1:9" ht="13.8" thickTop="1">
      <c r="D370" s="1877" t="s">
        <v>2193</v>
      </c>
      <c r="E370" s="1877"/>
      <c r="F370" s="1877"/>
      <c r="I370" s="486"/>
    </row>
    <row r="371" spans="1:9">
      <c r="D371" s="442"/>
      <c r="E371" s="442"/>
      <c r="F371" s="442"/>
      <c r="I371" s="486"/>
    </row>
    <row r="372" spans="1:9">
      <c r="A372" s="472"/>
      <c r="B372" s="472"/>
      <c r="C372" s="472"/>
      <c r="D372" s="443"/>
      <c r="E372" s="443"/>
      <c r="F372" s="442"/>
      <c r="I372" s="486"/>
    </row>
    <row r="373" spans="1:9" ht="14.4">
      <c r="A373" s="480"/>
      <c r="B373" s="481" t="s">
        <v>2831</v>
      </c>
      <c r="C373" s="483"/>
      <c r="D373" s="1859" t="s">
        <v>1868</v>
      </c>
      <c r="E373" s="1859"/>
      <c r="F373" s="1859"/>
      <c r="I373" s="486"/>
    </row>
    <row r="374" spans="1:9" ht="12.75" customHeight="1">
      <c r="D374" s="1027"/>
      <c r="E374" s="96" t="s">
        <v>1867</v>
      </c>
      <c r="F374" s="1027"/>
      <c r="I374" s="486"/>
    </row>
    <row r="375" spans="1:9">
      <c r="D375" s="1857" t="s">
        <v>1238</v>
      </c>
      <c r="E375" s="1857"/>
      <c r="F375" s="1857"/>
      <c r="I375" s="486"/>
    </row>
    <row r="376" spans="1:9">
      <c r="D376" s="1857"/>
      <c r="E376" s="1857"/>
      <c r="F376" s="1857"/>
      <c r="I376" s="486"/>
    </row>
    <row r="377" spans="1:9">
      <c r="D377" s="1857"/>
      <c r="E377" s="1857"/>
      <c r="F377" s="1857"/>
      <c r="I377" s="486"/>
    </row>
    <row r="378" spans="1:9" ht="14.4">
      <c r="A378" s="480"/>
      <c r="B378" s="481" t="s">
        <v>2831</v>
      </c>
      <c r="C378" s="472"/>
      <c r="D378" s="1867" t="s">
        <v>2010</v>
      </c>
      <c r="E378" s="1867"/>
      <c r="F378" s="1867"/>
      <c r="I378" s="476"/>
    </row>
    <row r="379" spans="1:9">
      <c r="A379" s="472"/>
      <c r="B379" s="472"/>
      <c r="C379" s="472"/>
      <c r="D379" s="443"/>
      <c r="E379" s="443"/>
      <c r="F379" s="442"/>
      <c r="I379" s="486"/>
    </row>
    <row r="380" spans="1:9">
      <c r="A380" s="472"/>
      <c r="B380" s="481" t="s">
        <v>2831</v>
      </c>
      <c r="C380" s="472"/>
      <c r="D380" s="1829" t="s">
        <v>2011</v>
      </c>
      <c r="E380" s="1829"/>
      <c r="F380" s="1829"/>
      <c r="I380" s="486"/>
    </row>
    <row r="381" spans="1:9">
      <c r="A381" s="472"/>
      <c r="B381" s="472"/>
      <c r="C381" s="472"/>
      <c r="D381" s="1829"/>
      <c r="E381" s="1829"/>
      <c r="F381" s="1829"/>
      <c r="I381" s="486"/>
    </row>
    <row r="382" spans="1:9">
      <c r="A382" s="472"/>
      <c r="B382" s="472"/>
      <c r="C382" s="472"/>
      <c r="D382" s="1829"/>
      <c r="E382" s="1829"/>
      <c r="F382" s="1829"/>
      <c r="I382" s="486"/>
    </row>
    <row r="383" spans="1:9">
      <c r="A383" s="472"/>
      <c r="B383" s="472"/>
      <c r="C383" s="472"/>
      <c r="D383" s="1829"/>
      <c r="E383" s="1829"/>
      <c r="F383" s="1829"/>
      <c r="I383" s="486"/>
    </row>
    <row r="384" spans="1:9">
      <c r="A384" s="472"/>
      <c r="B384" s="472"/>
      <c r="C384" s="472"/>
      <c r="D384" s="1829"/>
      <c r="E384" s="1829"/>
      <c r="F384" s="1829"/>
      <c r="I384" s="486"/>
    </row>
    <row r="385" spans="1:9">
      <c r="A385" s="472"/>
      <c r="B385" s="472"/>
      <c r="C385" s="472"/>
      <c r="D385" s="1829"/>
      <c r="E385" s="1829"/>
      <c r="F385" s="1829"/>
      <c r="I385" s="486"/>
    </row>
    <row r="386" spans="1:9">
      <c r="A386" s="472"/>
      <c r="B386" s="472"/>
      <c r="C386" s="472"/>
      <c r="D386" s="1829"/>
      <c r="E386" s="1829"/>
      <c r="F386" s="1829"/>
      <c r="I386" s="486"/>
    </row>
    <row r="387" spans="1:9">
      <c r="A387" s="472"/>
      <c r="B387" s="472"/>
      <c r="C387" s="472"/>
      <c r="D387" s="1829"/>
      <c r="E387" s="1829"/>
      <c r="F387" s="1829"/>
      <c r="I387" s="486"/>
    </row>
    <row r="388" spans="1:9">
      <c r="A388" s="472"/>
      <c r="B388" s="472"/>
      <c r="C388" s="472"/>
      <c r="D388" s="1829"/>
      <c r="E388" s="1829"/>
      <c r="F388" s="1829"/>
      <c r="I388" s="486"/>
    </row>
    <row r="389" spans="1:9">
      <c r="A389" s="472"/>
      <c r="B389" s="472"/>
      <c r="C389" s="472"/>
      <c r="D389" s="1829"/>
      <c r="E389" s="1829"/>
      <c r="F389" s="1829"/>
      <c r="I389" s="486"/>
    </row>
    <row r="390" spans="1:9">
      <c r="A390" s="472"/>
      <c r="B390" s="472"/>
      <c r="C390" s="472"/>
      <c r="D390" s="1829"/>
      <c r="E390" s="1829"/>
      <c r="F390" s="1829"/>
      <c r="I390" s="486"/>
    </row>
    <row r="391" spans="1:9">
      <c r="A391" s="472"/>
      <c r="B391" s="472"/>
      <c r="C391" s="472"/>
      <c r="D391" s="1829"/>
      <c r="E391" s="1829"/>
      <c r="F391" s="1829"/>
      <c r="I391" s="486"/>
    </row>
    <row r="392" spans="1:9">
      <c r="A392" s="472"/>
      <c r="B392" s="472"/>
      <c r="C392" s="472"/>
      <c r="D392" s="447"/>
      <c r="E392" s="447"/>
      <c r="F392" s="447"/>
      <c r="I392" s="486"/>
    </row>
    <row r="393" spans="1:9" ht="12.45" customHeight="1">
      <c r="A393" s="472"/>
      <c r="B393" s="481" t="s">
        <v>2831</v>
      </c>
      <c r="C393" s="472"/>
      <c r="D393" s="1837" t="s">
        <v>1220</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2831</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4">
      <c r="A405" s="480"/>
      <c r="B405" s="481" t="s">
        <v>2831</v>
      </c>
      <c r="C405" s="472"/>
      <c r="D405" s="1829" t="s">
        <v>1132</v>
      </c>
      <c r="E405" s="1829"/>
      <c r="F405" s="1829"/>
      <c r="I405" s="486"/>
    </row>
    <row r="406" spans="1:9">
      <c r="A406" s="472"/>
      <c r="B406" s="472"/>
      <c r="C406" s="472"/>
      <c r="D406" s="1829"/>
      <c r="E406" s="1829"/>
      <c r="F406" s="1829"/>
      <c r="I406" s="486"/>
    </row>
    <row r="407" spans="1:9">
      <c r="A407" s="472"/>
      <c r="B407" s="472"/>
      <c r="C407" s="472"/>
      <c r="D407" s="1829"/>
      <c r="E407" s="1829"/>
      <c r="F407" s="1829"/>
      <c r="I407" s="486"/>
    </row>
    <row r="408" spans="1:9">
      <c r="A408" s="472"/>
      <c r="B408" s="472"/>
      <c r="C408" s="472"/>
      <c r="D408" s="1829"/>
      <c r="E408" s="1829"/>
      <c r="F408" s="1829"/>
      <c r="I408" s="486"/>
    </row>
    <row r="409" spans="1:9">
      <c r="A409" s="472"/>
      <c r="B409" s="472"/>
      <c r="C409" s="472"/>
      <c r="D409" s="443"/>
      <c r="E409" s="443"/>
      <c r="F409" s="442"/>
      <c r="I409" s="486"/>
    </row>
    <row r="410" spans="1:9">
      <c r="A410" s="472"/>
      <c r="B410" s="472"/>
      <c r="C410" s="472"/>
      <c r="D410" s="1829" t="s">
        <v>1133</v>
      </c>
      <c r="E410" s="1829"/>
      <c r="F410" s="1829"/>
      <c r="I410" s="486"/>
    </row>
    <row r="411" spans="1:9">
      <c r="A411" s="472"/>
      <c r="B411" s="472"/>
      <c r="C411" s="472"/>
      <c r="D411" s="1829"/>
      <c r="E411" s="1829"/>
      <c r="F411" s="1829"/>
      <c r="I411" s="486"/>
    </row>
    <row r="412" spans="1:9">
      <c r="A412" s="472"/>
      <c r="B412" s="472"/>
      <c r="C412" s="472"/>
      <c r="D412" s="1829"/>
      <c r="E412" s="1829"/>
      <c r="F412" s="1829"/>
      <c r="I412" s="486"/>
    </row>
    <row r="413" spans="1:9">
      <c r="A413" s="472"/>
      <c r="B413" s="472"/>
      <c r="C413" s="472"/>
      <c r="D413" s="1829"/>
      <c r="E413" s="1829"/>
      <c r="F413" s="1829"/>
      <c r="I413" s="486"/>
    </row>
    <row r="414" spans="1:9" ht="18" customHeight="1">
      <c r="A414" s="472"/>
      <c r="B414" s="472"/>
      <c r="C414" s="472"/>
      <c r="D414" s="1829"/>
      <c r="E414" s="1829"/>
      <c r="F414" s="1829"/>
      <c r="I414" s="486"/>
    </row>
    <row r="415" spans="1:9">
      <c r="A415" s="472"/>
      <c r="B415" s="472"/>
      <c r="C415" s="472"/>
      <c r="D415" s="1829"/>
      <c r="E415" s="1829"/>
      <c r="F415" s="1829"/>
      <c r="I415" s="486"/>
    </row>
    <row r="416" spans="1:9">
      <c r="A416" s="472"/>
      <c r="B416" s="472"/>
      <c r="C416" s="472"/>
      <c r="D416" s="1829"/>
      <c r="E416" s="1829"/>
      <c r="F416" s="1829"/>
      <c r="I416" s="486"/>
    </row>
    <row r="417" spans="1:9">
      <c r="A417" s="472"/>
      <c r="B417" s="472"/>
      <c r="C417" s="472"/>
      <c r="D417" s="1829"/>
      <c r="E417" s="1829"/>
      <c r="F417" s="1829"/>
      <c r="I417" s="486"/>
    </row>
    <row r="418" spans="1:9" ht="8.25" customHeight="1">
      <c r="A418" s="472"/>
      <c r="B418" s="472"/>
      <c r="C418" s="472"/>
      <c r="D418" s="1829"/>
      <c r="E418" s="1829"/>
      <c r="F418" s="1829"/>
      <c r="I418" s="486"/>
    </row>
    <row r="419" spans="1:9" ht="13.65" customHeight="1">
      <c r="A419" s="472"/>
      <c r="B419" s="472"/>
      <c r="C419" s="472"/>
      <c r="D419" s="1829" t="s">
        <v>1134</v>
      </c>
      <c r="E419" s="1829"/>
      <c r="F419" s="1829"/>
      <c r="I419" s="486"/>
    </row>
    <row r="420" spans="1:9">
      <c r="A420" s="472"/>
      <c r="B420" s="472"/>
      <c r="C420" s="472"/>
      <c r="D420" s="1829"/>
      <c r="E420" s="1829"/>
      <c r="F420" s="1829"/>
      <c r="I420" s="486"/>
    </row>
    <row r="421" spans="1:9">
      <c r="A421" s="472"/>
      <c r="B421" s="472"/>
      <c r="C421" s="472"/>
      <c r="D421" s="1829"/>
      <c r="E421" s="1829"/>
      <c r="F421" s="1829"/>
      <c r="I421" s="486"/>
    </row>
    <row r="422" spans="1:9">
      <c r="A422" s="472"/>
      <c r="B422" s="472"/>
      <c r="C422" s="472"/>
      <c r="D422" s="1829"/>
      <c r="E422" s="1829"/>
      <c r="F422" s="1829"/>
      <c r="I422" s="486"/>
    </row>
    <row r="423" spans="1:9">
      <c r="A423" s="472"/>
      <c r="B423" s="472"/>
      <c r="C423" s="472"/>
      <c r="D423" s="1829"/>
      <c r="E423" s="1829"/>
      <c r="F423" s="1829"/>
      <c r="I423" s="486"/>
    </row>
    <row r="424" spans="1:9">
      <c r="A424" s="472"/>
      <c r="B424" s="472"/>
      <c r="C424" s="472"/>
      <c r="D424" s="1829"/>
      <c r="E424" s="1829"/>
      <c r="F424" s="1829"/>
      <c r="I424" s="486"/>
    </row>
    <row r="425" spans="1:9">
      <c r="A425" s="472"/>
      <c r="B425" s="472"/>
      <c r="C425" s="472"/>
      <c r="D425" s="1829"/>
      <c r="E425" s="1829"/>
      <c r="F425" s="1829"/>
      <c r="I425" s="486"/>
    </row>
    <row r="426" spans="1:9">
      <c r="A426" s="472"/>
      <c r="B426" s="472"/>
      <c r="C426" s="472"/>
      <c r="D426" s="1829"/>
      <c r="E426" s="1829"/>
      <c r="F426" s="1829"/>
      <c r="I426" s="486"/>
    </row>
    <row r="427" spans="1:9">
      <c r="A427" s="472"/>
      <c r="B427" s="472"/>
      <c r="C427" s="472"/>
      <c r="D427" s="1829"/>
      <c r="E427" s="1829"/>
      <c r="F427" s="1829"/>
      <c r="I427" s="486"/>
    </row>
    <row r="428" spans="1:9">
      <c r="A428" s="472"/>
      <c r="B428" s="472"/>
      <c r="C428" s="472"/>
      <c r="D428" s="1829"/>
      <c r="E428" s="1829"/>
      <c r="F428" s="1829"/>
      <c r="I428" s="486"/>
    </row>
    <row r="429" spans="1:9">
      <c r="A429" s="472"/>
      <c r="B429" s="472"/>
      <c r="C429" s="472"/>
      <c r="D429" s="1829"/>
      <c r="E429" s="1829"/>
      <c r="F429" s="1829"/>
      <c r="I429" s="486"/>
    </row>
    <row r="430" spans="1:9">
      <c r="A430" s="472"/>
      <c r="B430" s="472"/>
      <c r="C430" s="472"/>
      <c r="D430" s="1829"/>
      <c r="E430" s="1829"/>
      <c r="F430" s="1829"/>
      <c r="I430" s="486"/>
    </row>
    <row r="431" spans="1:9">
      <c r="A431" s="472"/>
      <c r="B431" s="472"/>
      <c r="C431" s="492"/>
      <c r="D431" s="1829"/>
      <c r="E431" s="1829"/>
      <c r="F431" s="1829"/>
      <c r="I431" s="486"/>
    </row>
    <row r="432" spans="1:9">
      <c r="A432" s="472"/>
      <c r="B432" s="472"/>
      <c r="C432" s="492"/>
      <c r="D432" s="1829"/>
      <c r="E432" s="1829"/>
      <c r="F432" s="1829"/>
      <c r="I432" s="486"/>
    </row>
    <row r="433" spans="1:9">
      <c r="A433" s="472"/>
      <c r="B433" s="472"/>
      <c r="C433" s="472"/>
      <c r="D433" s="1829"/>
      <c r="E433" s="1829"/>
      <c r="F433" s="1829"/>
      <c r="I433" s="486"/>
    </row>
    <row r="434" spans="1:9">
      <c r="A434" s="472"/>
      <c r="B434" s="472"/>
      <c r="C434" s="492"/>
      <c r="D434" s="1829"/>
      <c r="E434" s="1829"/>
      <c r="F434" s="1829"/>
      <c r="I434" s="486"/>
    </row>
    <row r="435" spans="1:9">
      <c r="A435" s="472"/>
      <c r="B435" s="472"/>
      <c r="C435" s="492"/>
      <c r="D435" s="1829"/>
      <c r="E435" s="1829"/>
      <c r="F435" s="1829"/>
      <c r="I435" s="486"/>
    </row>
    <row r="436" spans="1:9">
      <c r="A436" s="472"/>
      <c r="B436" s="472"/>
      <c r="C436" s="492"/>
      <c r="D436" s="1829"/>
      <c r="E436" s="1829"/>
      <c r="F436" s="1829"/>
      <c r="I436" s="486"/>
    </row>
    <row r="437" spans="1:9">
      <c r="A437" s="472"/>
      <c r="B437" s="472"/>
      <c r="C437" s="472"/>
      <c r="D437" s="443"/>
      <c r="E437" s="443"/>
      <c r="F437" s="442"/>
      <c r="I437" s="486"/>
    </row>
    <row r="438" spans="1:9">
      <c r="A438" s="472"/>
      <c r="B438" s="481" t="s">
        <v>2831</v>
      </c>
      <c r="C438" s="472"/>
      <c r="D438" s="1829" t="s">
        <v>1135</v>
      </c>
      <c r="E438" s="1829"/>
      <c r="F438" s="1829"/>
      <c r="I438" s="486"/>
    </row>
    <row r="439" spans="1:9">
      <c r="A439" s="472"/>
      <c r="B439" s="472"/>
      <c r="C439" s="472"/>
      <c r="D439" s="1829"/>
      <c r="E439" s="1829"/>
      <c r="F439" s="1829"/>
      <c r="I439" s="486"/>
    </row>
    <row r="440" spans="1:9">
      <c r="A440" s="472"/>
      <c r="B440" s="472"/>
      <c r="C440" s="472"/>
      <c r="D440" s="447"/>
      <c r="E440" s="447"/>
      <c r="F440" s="447"/>
      <c r="I440" s="486"/>
    </row>
    <row r="441" spans="1:9" ht="14.4" customHeight="1">
      <c r="A441" s="480"/>
      <c r="B441" s="481" t="s">
        <v>2831</v>
      </c>
      <c r="D441" s="1829" t="s">
        <v>1850</v>
      </c>
      <c r="E441" s="1829"/>
      <c r="F441" s="1829"/>
      <c r="I441" s="486"/>
    </row>
    <row r="442" spans="1:9" ht="14.4" customHeight="1">
      <c r="A442" s="480"/>
      <c r="D442" s="1829"/>
      <c r="E442" s="1829"/>
      <c r="F442" s="1829"/>
      <c r="I442" s="486"/>
    </row>
    <row r="443" spans="1:9" ht="14.4" customHeight="1">
      <c r="A443" s="480"/>
      <c r="D443" s="1829"/>
      <c r="E443" s="1829"/>
      <c r="F443" s="1829"/>
      <c r="I443" s="486"/>
    </row>
    <row r="444" spans="1:9" ht="14.4" customHeight="1">
      <c r="A444" s="480"/>
      <c r="D444" s="1829"/>
      <c r="E444" s="1829"/>
      <c r="F444" s="1829"/>
      <c r="I444" s="486"/>
    </row>
    <row r="445" spans="1:9" ht="14.4" customHeight="1">
      <c r="A445" s="480"/>
      <c r="D445" s="1829"/>
      <c r="E445" s="1829"/>
      <c r="F445" s="1829"/>
      <c r="I445" s="486"/>
    </row>
    <row r="446" spans="1:9" ht="14.4" customHeight="1">
      <c r="A446" s="480"/>
      <c r="D446" s="381"/>
      <c r="E446" s="381"/>
      <c r="F446" s="381"/>
      <c r="I446" s="486"/>
    </row>
    <row r="447" spans="1:9" ht="13.65" customHeight="1">
      <c r="A447" s="480"/>
      <c r="B447" s="481" t="s">
        <v>2831</v>
      </c>
      <c r="C447" s="472"/>
      <c r="D447" s="1829" t="s">
        <v>1239</v>
      </c>
      <c r="E447" s="1829"/>
      <c r="F447" s="1829"/>
      <c r="I447" s="486"/>
    </row>
    <row r="448" spans="1:9" ht="14.4">
      <c r="A448" s="493"/>
      <c r="B448" s="493"/>
      <c r="C448" s="472"/>
      <c r="D448" s="1829"/>
      <c r="E448" s="1829"/>
      <c r="F448" s="1829"/>
      <c r="I448" s="486"/>
    </row>
    <row r="449" spans="1:9" ht="14.4">
      <c r="A449" s="493"/>
      <c r="B449" s="493"/>
      <c r="C449" s="472"/>
      <c r="D449" s="1829"/>
      <c r="E449" s="1829"/>
      <c r="F449" s="1829"/>
      <c r="I449" s="486"/>
    </row>
    <row r="450" spans="1:9" ht="14.4">
      <c r="A450" s="493"/>
      <c r="B450" s="493"/>
      <c r="C450" s="472"/>
      <c r="D450" s="1829"/>
      <c r="E450" s="1829"/>
      <c r="F450" s="1829"/>
      <c r="I450" s="486"/>
    </row>
    <row r="451" spans="1:9" ht="15.75" customHeight="1">
      <c r="A451" s="493"/>
      <c r="B451" s="493"/>
      <c r="C451" s="472"/>
      <c r="D451" s="1886" t="s">
        <v>2685</v>
      </c>
      <c r="E451" s="1829"/>
      <c r="F451" s="1829"/>
      <c r="I451" s="486"/>
    </row>
    <row r="452" spans="1:9">
      <c r="D452" s="442"/>
      <c r="E452" s="442"/>
      <c r="F452" s="442"/>
      <c r="I452" s="486"/>
    </row>
    <row r="453" spans="1:9" ht="14.4">
      <c r="A453" s="480"/>
      <c r="B453" s="481" t="s">
        <v>2831</v>
      </c>
      <c r="C453" s="483"/>
      <c r="D453" s="1857" t="s">
        <v>2012</v>
      </c>
      <c r="E453" s="1857"/>
      <c r="F453" s="1857"/>
      <c r="I453" s="486"/>
    </row>
    <row r="454" spans="1:9" ht="14.4">
      <c r="A454" s="480"/>
      <c r="B454" s="480"/>
      <c r="D454" s="1857"/>
      <c r="E454" s="1857"/>
      <c r="F454" s="1857"/>
      <c r="I454" s="486"/>
    </row>
    <row r="455" spans="1:9">
      <c r="D455" s="1857"/>
      <c r="E455" s="1857"/>
      <c r="F455" s="1857"/>
      <c r="I455" s="486"/>
    </row>
    <row r="456" spans="1:9">
      <c r="D456" s="1857"/>
      <c r="E456" s="1857"/>
      <c r="F456" s="1857"/>
      <c r="I456" s="486"/>
    </row>
    <row r="457" spans="1:9">
      <c r="D457" s="1857"/>
      <c r="E457" s="1857"/>
      <c r="F457" s="1857"/>
      <c r="I457" s="486"/>
    </row>
    <row r="458" spans="1:9">
      <c r="D458" s="1857"/>
      <c r="E458" s="1857"/>
      <c r="F458" s="1857"/>
      <c r="I458" s="486"/>
    </row>
    <row r="459" spans="1:9">
      <c r="D459" s="1857"/>
      <c r="E459" s="1857"/>
      <c r="F459" s="1857"/>
      <c r="I459" s="486"/>
    </row>
    <row r="460" spans="1:9">
      <c r="D460" s="1857"/>
      <c r="E460" s="1857"/>
      <c r="F460" s="1857"/>
      <c r="I460" s="486"/>
    </row>
    <row r="461" spans="1:9">
      <c r="D461" s="1857"/>
      <c r="E461" s="1857"/>
      <c r="F461" s="1857"/>
      <c r="I461" s="486"/>
    </row>
    <row r="462" spans="1:9">
      <c r="D462" s="1857"/>
      <c r="E462" s="1857"/>
      <c r="F462" s="1857"/>
      <c r="I462" s="486"/>
    </row>
    <row r="463" spans="1:9">
      <c r="D463" s="1857"/>
      <c r="E463" s="1857"/>
      <c r="F463" s="1857"/>
      <c r="I463" s="486"/>
    </row>
    <row r="464" spans="1:9">
      <c r="D464" s="1857"/>
      <c r="E464" s="1857"/>
      <c r="F464" s="1857"/>
      <c r="I464" s="486"/>
    </row>
    <row r="465" spans="1:9">
      <c r="D465" s="1857"/>
      <c r="E465" s="1857"/>
      <c r="F465" s="1857"/>
      <c r="I465" s="486"/>
    </row>
    <row r="466" spans="1:9">
      <c r="A466" s="398"/>
      <c r="B466" s="398"/>
      <c r="C466" s="398"/>
      <c r="D466" s="1857"/>
      <c r="E466" s="1857"/>
      <c r="F466" s="1857"/>
      <c r="I466" s="486"/>
    </row>
    <row r="467" spans="1:9">
      <c r="A467" s="398"/>
      <c r="B467" s="398"/>
      <c r="C467" s="398"/>
      <c r="D467" s="1857"/>
      <c r="E467" s="1857"/>
      <c r="F467" s="1857"/>
      <c r="I467" s="486"/>
    </row>
    <row r="468" spans="1:9">
      <c r="A468" s="398"/>
      <c r="B468" s="398"/>
      <c r="C468" s="398"/>
      <c r="D468" s="1857"/>
      <c r="E468" s="1857"/>
      <c r="F468" s="1857"/>
      <c r="I468" s="486"/>
    </row>
    <row r="469" spans="1:9">
      <c r="A469" s="398"/>
      <c r="B469" s="398"/>
      <c r="C469" s="398"/>
      <c r="D469" s="1857"/>
      <c r="E469" s="1857"/>
      <c r="F469" s="1857"/>
      <c r="I469" s="486"/>
    </row>
    <row r="470" spans="1:9">
      <c r="A470" s="398"/>
      <c r="B470" s="398"/>
      <c r="C470" s="398"/>
      <c r="D470" s="1857"/>
      <c r="E470" s="1857"/>
      <c r="F470" s="1857"/>
      <c r="I470" s="486"/>
    </row>
    <row r="471" spans="1:9">
      <c r="A471" s="398"/>
      <c r="B471" s="398"/>
      <c r="C471" s="398"/>
      <c r="D471" s="1857"/>
      <c r="E471" s="1857"/>
      <c r="F471" s="1857"/>
      <c r="I471" s="486"/>
    </row>
    <row r="472" spans="1:9">
      <c r="A472" s="398"/>
      <c r="B472" s="398"/>
      <c r="C472" s="398"/>
      <c r="D472" s="1857"/>
      <c r="E472" s="1857"/>
      <c r="F472" s="1857"/>
      <c r="I472" s="486"/>
    </row>
    <row r="473" spans="1:9">
      <c r="A473" s="398"/>
      <c r="B473" s="398"/>
      <c r="C473" s="398"/>
      <c r="D473" s="1857"/>
      <c r="E473" s="1857"/>
      <c r="F473" s="1857"/>
      <c r="I473" s="486"/>
    </row>
    <row r="474" spans="1:9">
      <c r="A474" s="398"/>
      <c r="B474" s="398"/>
      <c r="C474" s="398"/>
      <c r="D474" s="1857"/>
      <c r="E474" s="1857"/>
      <c r="F474" s="1857"/>
      <c r="I474" s="486"/>
    </row>
    <row r="475" spans="1:9">
      <c r="A475" s="398"/>
      <c r="B475" s="398"/>
      <c r="C475" s="398"/>
      <c r="D475" s="1857"/>
      <c r="E475" s="1857"/>
      <c r="F475" s="1857"/>
      <c r="I475" s="486"/>
    </row>
    <row r="476" spans="1:9">
      <c r="A476" s="398"/>
      <c r="B476" s="398"/>
      <c r="C476" s="398"/>
      <c r="D476" s="1857"/>
      <c r="E476" s="1857"/>
      <c r="F476" s="1857"/>
      <c r="I476" s="486"/>
    </row>
    <row r="477" spans="1:9">
      <c r="A477" s="398"/>
      <c r="B477" s="398"/>
      <c r="C477" s="398"/>
      <c r="D477" s="1857"/>
      <c r="E477" s="1857"/>
      <c r="F477" s="1857"/>
      <c r="I477" s="486"/>
    </row>
    <row r="478" spans="1:9">
      <c r="A478" s="398"/>
      <c r="B478" s="398"/>
      <c r="C478" s="398"/>
      <c r="D478" s="1857"/>
      <c r="E478" s="1857"/>
      <c r="F478" s="1857"/>
      <c r="I478" s="486"/>
    </row>
    <row r="479" spans="1:9">
      <c r="A479" s="398"/>
      <c r="B479" s="398"/>
      <c r="C479" s="398"/>
      <c r="D479" s="1857"/>
      <c r="E479" s="1857"/>
      <c r="F479" s="1857"/>
      <c r="I479" s="486"/>
    </row>
    <row r="480" spans="1:9">
      <c r="A480" s="398"/>
      <c r="B480" s="398"/>
      <c r="C480" s="398"/>
      <c r="D480" s="1857"/>
      <c r="E480" s="1857"/>
      <c r="F480" s="1857"/>
      <c r="I480" s="486"/>
    </row>
    <row r="481" spans="1:9">
      <c r="A481" s="398"/>
      <c r="B481" s="398"/>
      <c r="C481" s="398"/>
      <c r="D481" s="1857"/>
      <c r="E481" s="1857"/>
      <c r="F481" s="1857"/>
      <c r="I481" s="486"/>
    </row>
    <row r="482" spans="1:9">
      <c r="D482" s="1857"/>
      <c r="E482" s="1857"/>
      <c r="F482" s="1857"/>
      <c r="I482" s="486"/>
    </row>
    <row r="483" spans="1:9" ht="40.65" customHeight="1">
      <c r="D483" s="1857"/>
      <c r="E483" s="1857"/>
      <c r="F483" s="1857"/>
      <c r="I483" s="486"/>
    </row>
    <row r="484" spans="1:9">
      <c r="D484" s="442"/>
      <c r="E484" s="442"/>
      <c r="F484" s="442"/>
      <c r="I484" s="486"/>
    </row>
    <row r="485" spans="1:9" ht="14.4">
      <c r="A485" s="480"/>
      <c r="B485" s="481" t="s">
        <v>2831</v>
      </c>
      <c r="C485" s="483"/>
      <c r="D485" s="1857" t="s">
        <v>1136</v>
      </c>
      <c r="E485" s="1857"/>
      <c r="F485" s="1857"/>
      <c r="I485" s="486"/>
    </row>
    <row r="486" spans="1:9">
      <c r="D486" s="1857"/>
      <c r="E486" s="1857"/>
      <c r="F486" s="1857"/>
      <c r="I486" s="486"/>
    </row>
    <row r="487" spans="1:9">
      <c r="D487" s="1857"/>
      <c r="E487" s="1857"/>
      <c r="F487" s="1857"/>
      <c r="I487" s="486"/>
    </row>
    <row r="488" spans="1:9">
      <c r="D488" s="441"/>
      <c r="E488" s="441"/>
      <c r="F488" s="441"/>
      <c r="I488" s="486"/>
    </row>
    <row r="489" spans="1:9" ht="14.4">
      <c r="B489" s="481" t="s">
        <v>2831</v>
      </c>
      <c r="C489" s="480"/>
      <c r="D489" s="1857" t="s">
        <v>1196</v>
      </c>
      <c r="E489" s="1857"/>
      <c r="F489" s="1857"/>
      <c r="I489" s="486"/>
    </row>
    <row r="490" spans="1:9">
      <c r="D490" s="1857"/>
      <c r="E490" s="1857"/>
      <c r="F490" s="1857"/>
      <c r="I490" s="486"/>
    </row>
    <row r="491" spans="1:9">
      <c r="D491" s="442"/>
      <c r="E491" s="442"/>
      <c r="F491" s="442"/>
      <c r="I491" s="486"/>
    </row>
    <row r="492" spans="1:9" ht="14.4">
      <c r="B492" s="481" t="s">
        <v>2831</v>
      </c>
      <c r="C492" s="480"/>
      <c r="D492" s="1857" t="s">
        <v>1137</v>
      </c>
      <c r="E492" s="1857"/>
      <c r="F492" s="1857"/>
      <c r="I492" s="486"/>
    </row>
    <row r="493" spans="1:9">
      <c r="D493" s="1857"/>
      <c r="E493" s="1857"/>
      <c r="F493" s="1857"/>
      <c r="I493" s="486"/>
    </row>
    <row r="494" spans="1:9">
      <c r="D494" s="1857"/>
      <c r="E494" s="1857"/>
      <c r="F494" s="1857"/>
      <c r="I494" s="486"/>
    </row>
    <row r="495" spans="1:9">
      <c r="D495" s="1857"/>
      <c r="E495" s="1857"/>
      <c r="F495" s="1857"/>
      <c r="I495" s="486"/>
    </row>
    <row r="496" spans="1:9">
      <c r="B496" s="481" t="s">
        <v>2831</v>
      </c>
      <c r="D496" s="1857"/>
      <c r="E496" s="1857"/>
      <c r="F496" s="1857"/>
      <c r="I496" s="486"/>
    </row>
    <row r="497" spans="1:9">
      <c r="A497" s="398"/>
      <c r="B497" s="398"/>
      <c r="C497" s="398"/>
      <c r="D497" s="1857"/>
      <c r="E497" s="1857"/>
      <c r="F497" s="1857"/>
      <c r="I497" s="486"/>
    </row>
    <row r="498" spans="1:9">
      <c r="A498" s="398"/>
      <c r="C498" s="398"/>
      <c r="D498" s="1857"/>
      <c r="E498" s="1857"/>
      <c r="F498" s="1857"/>
      <c r="I498" s="486"/>
    </row>
    <row r="499" spans="1:9">
      <c r="A499" s="398"/>
      <c r="B499" s="481" t="s">
        <v>2831</v>
      </c>
      <c r="C499" s="398"/>
      <c r="D499" s="1857"/>
      <c r="E499" s="1857"/>
      <c r="F499" s="1857"/>
      <c r="I499" s="486"/>
    </row>
    <row r="500" spans="1:9">
      <c r="A500" s="398"/>
      <c r="B500" s="398"/>
      <c r="C500" s="398"/>
      <c r="D500" s="1857"/>
      <c r="E500" s="1857"/>
      <c r="F500" s="1857"/>
      <c r="I500" s="486"/>
    </row>
    <row r="501" spans="1:9">
      <c r="A501" s="398"/>
      <c r="C501" s="398"/>
      <c r="D501" s="1857"/>
      <c r="E501" s="1857"/>
      <c r="F501" s="1857"/>
      <c r="I501" s="486"/>
    </row>
    <row r="502" spans="1:9">
      <c r="A502" s="398"/>
      <c r="C502" s="398"/>
      <c r="D502" s="1857"/>
      <c r="E502" s="1857"/>
      <c r="F502" s="1857"/>
      <c r="I502" s="486"/>
    </row>
    <row r="503" spans="1:9">
      <c r="A503" s="398"/>
      <c r="C503" s="398"/>
      <c r="D503" s="1857"/>
      <c r="E503" s="1857"/>
      <c r="F503" s="1857"/>
      <c r="I503" s="486"/>
    </row>
    <row r="504" spans="1:9">
      <c r="A504" s="398"/>
      <c r="B504" s="481" t="s">
        <v>2831</v>
      </c>
      <c r="C504" s="398"/>
      <c r="D504" s="1857"/>
      <c r="E504" s="1857"/>
      <c r="F504" s="1857"/>
      <c r="I504" s="486"/>
    </row>
    <row r="505" spans="1:9">
      <c r="A505" s="398"/>
      <c r="C505" s="398"/>
      <c r="D505" s="1857"/>
      <c r="E505" s="1857"/>
      <c r="F505" s="1857"/>
      <c r="I505" s="486"/>
    </row>
    <row r="506" spans="1:9">
      <c r="A506" s="398"/>
      <c r="B506" s="481" t="s">
        <v>2831</v>
      </c>
      <c r="C506" s="398"/>
      <c r="D506" s="1857" t="s">
        <v>1138</v>
      </c>
      <c r="E506" s="1857"/>
      <c r="F506" s="1857"/>
      <c r="I506" s="486"/>
    </row>
    <row r="507" spans="1:9">
      <c r="A507" s="398"/>
      <c r="B507" s="398"/>
      <c r="C507" s="398"/>
      <c r="D507" s="1857"/>
      <c r="E507" s="1857"/>
      <c r="F507" s="1857"/>
      <c r="I507" s="486"/>
    </row>
    <row r="508" spans="1:9">
      <c r="A508" s="398"/>
      <c r="B508" s="398"/>
      <c r="C508" s="398"/>
      <c r="D508" s="1857"/>
      <c r="E508" s="1857"/>
      <c r="F508" s="1857"/>
      <c r="I508" s="486"/>
    </row>
    <row r="509" spans="1:9">
      <c r="A509" s="398"/>
      <c r="B509" s="398"/>
      <c r="C509" s="398"/>
      <c r="D509" s="1857"/>
      <c r="E509" s="1857"/>
      <c r="F509" s="1857"/>
      <c r="I509" s="486"/>
    </row>
    <row r="510" spans="1:9">
      <c r="D510" s="1857"/>
      <c r="E510" s="1857"/>
      <c r="F510" s="1857"/>
      <c r="I510" s="486"/>
    </row>
    <row r="511" spans="1:9">
      <c r="D511" s="442"/>
      <c r="E511" s="442"/>
      <c r="F511" s="442"/>
      <c r="I511" s="486"/>
    </row>
    <row r="512" spans="1:9">
      <c r="B512" s="481" t="s">
        <v>2831</v>
      </c>
      <c r="D512" s="1859" t="s">
        <v>1139</v>
      </c>
      <c r="E512" s="1859"/>
      <c r="F512" s="1859"/>
      <c r="I512" s="486"/>
    </row>
    <row r="513" spans="1:9">
      <c r="A513" s="442"/>
      <c r="B513" s="442"/>
      <c r="I513" s="486"/>
    </row>
    <row r="514" spans="1:9">
      <c r="A514" s="1858" t="s">
        <v>1050</v>
      </c>
      <c r="B514" s="1858"/>
      <c r="C514" s="1858"/>
      <c r="D514" s="1858"/>
      <c r="E514" s="1858"/>
      <c r="F514" s="1858"/>
      <c r="G514" s="1858"/>
      <c r="H514" s="1018"/>
      <c r="I514" s="1142"/>
    </row>
    <row r="515" spans="1:9">
      <c r="A515" s="442"/>
      <c r="B515" s="442"/>
      <c r="I515" s="486"/>
    </row>
    <row r="516" spans="1:9">
      <c r="D516" s="1885" t="s">
        <v>883</v>
      </c>
      <c r="E516" s="1885"/>
      <c r="F516" s="1885"/>
      <c r="I516" s="486"/>
    </row>
    <row r="517" spans="1:9" ht="14.4">
      <c r="A517" s="480"/>
      <c r="B517" s="480"/>
      <c r="D517" s="1867" t="s">
        <v>1140</v>
      </c>
      <c r="E517" s="1867"/>
      <c r="F517" s="1867"/>
      <c r="I517" s="486"/>
    </row>
    <row r="518" spans="1:9" ht="14.4">
      <c r="A518" s="480"/>
      <c r="B518" s="480"/>
      <c r="D518" s="443"/>
      <c r="I518" s="486"/>
    </row>
    <row r="519" spans="1:9" ht="14.4">
      <c r="A519" s="480"/>
      <c r="B519" s="481" t="s">
        <v>2831</v>
      </c>
      <c r="D519" s="1829" t="s">
        <v>1141</v>
      </c>
      <c r="E519" s="1829"/>
      <c r="F519" s="1829"/>
      <c r="I519" s="486"/>
    </row>
    <row r="520" spans="1:9" ht="14.4">
      <c r="A520" s="480"/>
      <c r="B520" s="480"/>
      <c r="D520" s="1829"/>
      <c r="E520" s="1829"/>
      <c r="F520" s="1829"/>
      <c r="I520" s="486"/>
    </row>
    <row r="521" spans="1:9" ht="14.4">
      <c r="A521" s="480"/>
      <c r="B521" s="480"/>
      <c r="D521" s="442"/>
      <c r="I521" s="486"/>
    </row>
    <row r="522" spans="1:9" ht="12.75" customHeight="1">
      <c r="B522" s="481" t="s">
        <v>2831</v>
      </c>
      <c r="D522" s="1873" t="s">
        <v>1272</v>
      </c>
      <c r="E522" s="1873"/>
      <c r="F522" s="1873"/>
      <c r="I522" s="486"/>
    </row>
    <row r="523" spans="1:9" ht="14.4">
      <c r="A523" s="480"/>
      <c r="D523" s="1873"/>
      <c r="E523" s="1873"/>
      <c r="F523" s="1873"/>
      <c r="I523" s="486"/>
    </row>
    <row r="524" spans="1:9" ht="14.4">
      <c r="A524" s="480"/>
      <c r="B524" s="480"/>
      <c r="D524" s="1873"/>
      <c r="E524" s="1873"/>
      <c r="F524" s="1873"/>
      <c r="I524" s="486"/>
    </row>
    <row r="525" spans="1:9" ht="14.4">
      <c r="A525" s="480"/>
      <c r="B525" s="480"/>
      <c r="D525" s="1873"/>
      <c r="E525" s="1873"/>
      <c r="F525" s="1873"/>
      <c r="I525" s="486"/>
    </row>
    <row r="526" spans="1:9" ht="14.4">
      <c r="A526" s="480"/>
      <c r="D526" s="516"/>
      <c r="E526" s="516"/>
      <c r="F526" s="516"/>
      <c r="I526" s="486"/>
    </row>
    <row r="527" spans="1:9" ht="14.4">
      <c r="A527" s="480"/>
      <c r="B527" s="481" t="s">
        <v>2831</v>
      </c>
      <c r="D527" s="1859" t="s">
        <v>1142</v>
      </c>
      <c r="E527" s="1859"/>
      <c r="F527" s="1859"/>
      <c r="I527" s="486"/>
    </row>
    <row r="528" spans="1:9" ht="14.4">
      <c r="A528" s="480"/>
      <c r="B528" s="480"/>
      <c r="D528" s="442"/>
      <c r="I528" s="486"/>
    </row>
    <row r="529" spans="1:9" ht="14.4">
      <c r="A529" s="480"/>
      <c r="B529" s="481" t="s">
        <v>2831</v>
      </c>
      <c r="D529" s="1857" t="s">
        <v>1143</v>
      </c>
      <c r="E529" s="1857"/>
      <c r="F529" s="1857"/>
      <c r="I529" s="486"/>
    </row>
    <row r="530" spans="1:9" ht="14.4">
      <c r="A530" s="480"/>
      <c r="D530" s="1857"/>
      <c r="E530" s="1857"/>
      <c r="F530" s="1857"/>
      <c r="I530" s="486"/>
    </row>
    <row r="531" spans="1:9">
      <c r="A531" s="486"/>
      <c r="B531" s="486"/>
      <c r="D531" s="443"/>
      <c r="I531" s="486"/>
    </row>
    <row r="532" spans="1:9">
      <c r="A532" s="486"/>
      <c r="B532" s="481" t="s">
        <v>2831</v>
      </c>
      <c r="D532" s="1859" t="s">
        <v>1144</v>
      </c>
      <c r="E532" s="1859"/>
      <c r="F532" s="1859"/>
      <c r="I532" s="486"/>
    </row>
    <row r="533" spans="1:9">
      <c r="D533" s="442"/>
      <c r="E533" s="442"/>
      <c r="F533" s="442"/>
      <c r="I533" s="486"/>
    </row>
    <row r="534" spans="1:9">
      <c r="B534" s="481" t="s">
        <v>2831</v>
      </c>
      <c r="D534" s="1857" t="s">
        <v>2215</v>
      </c>
      <c r="E534" s="1857"/>
      <c r="F534" s="1857"/>
      <c r="I534" s="486"/>
    </row>
    <row r="535" spans="1:9">
      <c r="D535" s="1857"/>
      <c r="E535" s="1857"/>
      <c r="F535" s="1857"/>
      <c r="I535" s="486"/>
    </row>
    <row r="536" spans="1:9">
      <c r="D536" s="1857"/>
      <c r="E536" s="1857"/>
      <c r="F536" s="1857"/>
      <c r="I536" s="486"/>
    </row>
    <row r="537" spans="1:9">
      <c r="D537" s="442"/>
      <c r="E537" s="442"/>
      <c r="F537" s="442"/>
      <c r="I537" s="486"/>
    </row>
    <row r="538" spans="1:9" ht="14.4">
      <c r="A538" s="480"/>
      <c r="B538" s="480"/>
      <c r="D538" s="442"/>
      <c r="I538" s="486"/>
    </row>
    <row r="539" spans="1:9">
      <c r="A539" s="1858" t="s">
        <v>1051</v>
      </c>
      <c r="B539" s="1858"/>
      <c r="C539" s="1858"/>
      <c r="D539" s="1858"/>
      <c r="E539" s="1858"/>
      <c r="F539" s="1858"/>
      <c r="G539" s="1858"/>
      <c r="H539" s="1018"/>
      <c r="I539" s="1142"/>
    </row>
    <row r="540" spans="1:9" ht="12" customHeight="1">
      <c r="A540" s="480"/>
      <c r="B540" s="480"/>
      <c r="D540" s="442"/>
      <c r="I540" s="486"/>
    </row>
    <row r="541" spans="1:9">
      <c r="C541" s="478"/>
      <c r="D541" s="1860" t="s">
        <v>793</v>
      </c>
      <c r="E541" s="1860"/>
      <c r="F541" s="1860"/>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65" customHeight="1">
      <c r="A545" s="479"/>
      <c r="B545" s="481" t="s">
        <v>2830</v>
      </c>
      <c r="C545" s="479"/>
      <c r="D545" s="1829" t="s">
        <v>2013</v>
      </c>
      <c r="E545" s="1829"/>
      <c r="F545" s="1829"/>
      <c r="I545" s="486"/>
    </row>
    <row r="546" spans="1:9">
      <c r="A546" s="479"/>
      <c r="B546" s="479"/>
      <c r="C546" s="479"/>
      <c r="D546" s="1829"/>
      <c r="E546" s="1829"/>
      <c r="F546" s="1829"/>
      <c r="I546" s="486"/>
    </row>
    <row r="547" spans="1:9">
      <c r="A547" s="479"/>
      <c r="B547" s="479"/>
      <c r="C547" s="479"/>
      <c r="D547" s="447"/>
      <c r="E547" s="447"/>
      <c r="F547" s="447"/>
      <c r="I547" s="476"/>
    </row>
    <row r="548" spans="1:9" ht="12.75" customHeight="1">
      <c r="A548" s="479"/>
      <c r="B548" s="481" t="s">
        <v>2830</v>
      </c>
      <c r="D548" s="382" t="s">
        <v>1871</v>
      </c>
      <c r="E548" s="381"/>
      <c r="F548" s="381"/>
      <c r="I548" s="486"/>
    </row>
    <row r="549" spans="1:9">
      <c r="A549" s="479"/>
      <c r="B549" s="479"/>
      <c r="C549" s="479"/>
      <c r="D549" s="381"/>
      <c r="E549" s="96" t="s">
        <v>1872</v>
      </c>
      <c r="I549" s="486"/>
    </row>
    <row r="550" spans="1:9">
      <c r="A550" s="479"/>
      <c r="B550" s="479"/>
      <c r="D550" s="1837" t="s">
        <v>2014</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2" customHeight="1">
      <c r="A554" s="479"/>
      <c r="B554" s="481" t="s">
        <v>2831</v>
      </c>
      <c r="C554" s="479"/>
      <c r="D554" s="1857" t="s">
        <v>2625</v>
      </c>
      <c r="E554" s="1857"/>
      <c r="F554" s="1857"/>
      <c r="I554" s="486"/>
    </row>
    <row r="555" spans="1:9" ht="13.2" customHeight="1">
      <c r="A555" s="479"/>
      <c r="B555" s="479"/>
      <c r="C555" s="479"/>
      <c r="D555" s="1857"/>
      <c r="E555" s="1857"/>
      <c r="F555" s="1857"/>
      <c r="I555" s="486"/>
    </row>
    <row r="556" spans="1:9">
      <c r="A556" s="479"/>
      <c r="B556" s="479"/>
      <c r="C556" s="479"/>
      <c r="D556" s="1857"/>
      <c r="E556" s="1857"/>
      <c r="F556" s="1857"/>
      <c r="I556" s="486"/>
    </row>
    <row r="557" spans="1:9" ht="12" customHeight="1">
      <c r="A557" s="442"/>
      <c r="B557" s="442"/>
      <c r="C557" s="483"/>
      <c r="D557" s="442"/>
      <c r="F557" s="444"/>
      <c r="I557" s="486"/>
    </row>
    <row r="558" spans="1:9">
      <c r="A558" s="1858" t="s">
        <v>1052</v>
      </c>
      <c r="B558" s="1858"/>
      <c r="C558" s="1858"/>
      <c r="D558" s="1858"/>
      <c r="E558" s="1858"/>
      <c r="F558" s="1858"/>
      <c r="G558" s="1858"/>
      <c r="H558" s="1018"/>
      <c r="I558" s="1142"/>
    </row>
    <row r="559" spans="1:9">
      <c r="A559" s="442"/>
      <c r="B559" s="442"/>
      <c r="C559" s="483"/>
      <c r="F559" s="444"/>
      <c r="I559" s="486"/>
    </row>
    <row r="560" spans="1:9">
      <c r="B560" s="1863" t="s">
        <v>446</v>
      </c>
      <c r="C560" s="1863"/>
      <c r="D560" s="1863"/>
      <c r="E560" s="1863"/>
      <c r="F560" s="1863"/>
      <c r="I560" s="486"/>
    </row>
    <row r="561" spans="1:9">
      <c r="A561" s="442"/>
      <c r="B561" s="442"/>
      <c r="C561" s="483"/>
      <c r="D561" s="442"/>
      <c r="F561" s="442"/>
      <c r="I561" s="486"/>
    </row>
    <row r="562" spans="1:9">
      <c r="A562" s="1861" t="s">
        <v>1053</v>
      </c>
      <c r="B562" s="1861"/>
      <c r="C562" s="1861"/>
      <c r="D562" s="1861"/>
      <c r="E562" s="1861"/>
      <c r="F562" s="1861"/>
      <c r="G562" s="1861"/>
      <c r="H562" s="1018"/>
      <c r="I562" s="1142"/>
    </row>
    <row r="563" spans="1:9">
      <c r="A563" s="442"/>
      <c r="B563" s="442"/>
      <c r="C563" s="483"/>
      <c r="D563" s="442"/>
      <c r="F563" s="442"/>
      <c r="I563" s="486"/>
    </row>
    <row r="564" spans="1:9">
      <c r="C564" s="483"/>
      <c r="D564" s="1860" t="s">
        <v>683</v>
      </c>
      <c r="E564" s="1860"/>
      <c r="F564" s="1860"/>
      <c r="I564" s="486"/>
    </row>
    <row r="565" spans="1:9">
      <c r="C565" s="483"/>
      <c r="D565" s="1859" t="s">
        <v>1081</v>
      </c>
      <c r="E565" s="1859"/>
      <c r="F565" s="1859"/>
      <c r="I565" s="486"/>
    </row>
    <row r="566" spans="1:9">
      <c r="C566" s="483"/>
      <c r="D566" s="442"/>
      <c r="E566" s="442"/>
      <c r="F566" s="442"/>
      <c r="I566" s="486"/>
    </row>
    <row r="567" spans="1:9" ht="13.65" customHeight="1">
      <c r="A567" s="480"/>
      <c r="B567" s="481" t="s">
        <v>2830</v>
      </c>
      <c r="C567" s="483"/>
      <c r="D567" s="1859" t="s">
        <v>884</v>
      </c>
      <c r="E567" s="1859"/>
      <c r="F567" s="1859"/>
      <c r="I567" s="486"/>
    </row>
    <row r="568" spans="1:9" ht="13.65" customHeight="1">
      <c r="A568" s="483"/>
      <c r="B568" s="483"/>
      <c r="C568" s="483"/>
      <c r="D568" s="442"/>
      <c r="I568" s="486"/>
    </row>
    <row r="569" spans="1:9" ht="14.4">
      <c r="A569" s="480"/>
      <c r="B569" s="481" t="s">
        <v>2830</v>
      </c>
      <c r="C569" s="483"/>
      <c r="D569" s="1857" t="s">
        <v>1082</v>
      </c>
      <c r="E569" s="1857"/>
      <c r="F569" s="1857"/>
      <c r="I569" s="486"/>
    </row>
    <row r="570" spans="1:9">
      <c r="A570" s="483"/>
      <c r="B570" s="483"/>
      <c r="C570" s="483"/>
      <c r="D570" s="1857"/>
      <c r="E570" s="1857"/>
      <c r="F570" s="1857"/>
      <c r="I570" s="486"/>
    </row>
    <row r="571" spans="1:9">
      <c r="A571" s="483"/>
      <c r="B571" s="483"/>
      <c r="C571" s="483"/>
      <c r="D571" s="442"/>
      <c r="E571" s="442"/>
      <c r="F571" s="442"/>
      <c r="I571" s="486"/>
    </row>
    <row r="572" spans="1:9" ht="14.4">
      <c r="A572" s="480"/>
      <c r="B572" s="481" t="s">
        <v>2830</v>
      </c>
      <c r="C572" s="483"/>
      <c r="D572" s="1857" t="s">
        <v>1083</v>
      </c>
      <c r="E572" s="1857"/>
      <c r="F572" s="1857"/>
      <c r="I572" s="486"/>
    </row>
    <row r="573" spans="1:9">
      <c r="A573" s="483"/>
      <c r="B573" s="483"/>
      <c r="C573" s="483"/>
      <c r="D573" s="1857"/>
      <c r="E573" s="1857"/>
      <c r="F573" s="1857"/>
      <c r="I573" s="486"/>
    </row>
    <row r="574" spans="1:9">
      <c r="A574" s="483"/>
      <c r="B574" s="483"/>
      <c r="C574" s="483"/>
      <c r="D574" s="442"/>
      <c r="E574" s="442"/>
      <c r="F574" s="442"/>
      <c r="I574" s="486"/>
    </row>
    <row r="575" spans="1:9" ht="14.4">
      <c r="A575" s="480"/>
      <c r="B575" s="481" t="s">
        <v>2830</v>
      </c>
      <c r="C575" s="483"/>
      <c r="D575" s="1857" t="s">
        <v>1084</v>
      </c>
      <c r="E575" s="1857"/>
      <c r="F575" s="1857"/>
      <c r="I575" s="486"/>
    </row>
    <row r="576" spans="1:9">
      <c r="A576" s="483"/>
      <c r="B576" s="483"/>
      <c r="C576" s="483"/>
      <c r="D576" s="1857"/>
      <c r="E576" s="1857"/>
      <c r="F576" s="1857"/>
      <c r="I576" s="486"/>
    </row>
    <row r="577" spans="1:9">
      <c r="A577" s="483"/>
      <c r="B577" s="483"/>
      <c r="C577" s="483"/>
      <c r="D577" s="442"/>
      <c r="E577" s="442"/>
      <c r="F577" s="442"/>
      <c r="I577" s="486"/>
    </row>
    <row r="578" spans="1:9" ht="14.4">
      <c r="A578" s="480"/>
      <c r="B578" s="481" t="s">
        <v>2830</v>
      </c>
      <c r="C578" s="483"/>
      <c r="D578" s="1857" t="s">
        <v>1085</v>
      </c>
      <c r="E578" s="1857"/>
      <c r="F578" s="1857"/>
      <c r="I578" s="486"/>
    </row>
    <row r="579" spans="1:9">
      <c r="A579" s="483"/>
      <c r="B579" s="483"/>
      <c r="C579" s="483"/>
      <c r="D579" s="1857"/>
      <c r="E579" s="1857"/>
      <c r="F579" s="1857"/>
      <c r="I579" s="486"/>
    </row>
    <row r="580" spans="1:9">
      <c r="A580" s="483"/>
      <c r="B580" s="483"/>
      <c r="C580" s="483"/>
      <c r="D580" s="1857"/>
      <c r="E580" s="1857"/>
      <c r="F580" s="1857"/>
      <c r="I580" s="486"/>
    </row>
    <row r="581" spans="1:9">
      <c r="A581" s="483"/>
      <c r="B581" s="483"/>
      <c r="C581" s="483"/>
      <c r="D581" s="442"/>
      <c r="E581" s="442"/>
      <c r="F581" s="442"/>
      <c r="I581" s="486"/>
    </row>
    <row r="582" spans="1:9" ht="14.4">
      <c r="A582" s="480"/>
      <c r="B582" s="481" t="s">
        <v>2831</v>
      </c>
      <c r="C582" s="483"/>
      <c r="D582" s="1857" t="s">
        <v>2194</v>
      </c>
      <c r="E582" s="1857"/>
      <c r="F582" s="1857"/>
      <c r="I582" s="486"/>
    </row>
    <row r="583" spans="1:9">
      <c r="A583" s="483"/>
      <c r="B583" s="483"/>
      <c r="C583" s="483"/>
      <c r="D583" s="1857"/>
      <c r="E583" s="1857"/>
      <c r="F583" s="1857"/>
      <c r="I583" s="486"/>
    </row>
    <row r="584" spans="1:9">
      <c r="A584" s="483"/>
      <c r="B584" s="483"/>
      <c r="C584" s="483"/>
      <c r="D584" s="442"/>
      <c r="E584" s="442"/>
      <c r="F584" s="442"/>
      <c r="I584" s="486"/>
    </row>
    <row r="585" spans="1:9" ht="14.4">
      <c r="A585" s="480"/>
      <c r="B585" s="481" t="s">
        <v>2831</v>
      </c>
      <c r="C585" s="483"/>
      <c r="D585" s="1857" t="s">
        <v>1086</v>
      </c>
      <c r="E585" s="1857"/>
      <c r="F585" s="1857"/>
      <c r="I585" s="486"/>
    </row>
    <row r="586" spans="1:9">
      <c r="A586" s="483"/>
      <c r="B586" s="483"/>
      <c r="C586" s="483"/>
      <c r="D586" s="1857"/>
      <c r="E586" s="1857"/>
      <c r="F586" s="1857"/>
      <c r="I586" s="486"/>
    </row>
    <row r="587" spans="1:9">
      <c r="A587" s="483"/>
      <c r="B587" s="483"/>
      <c r="C587" s="483"/>
      <c r="D587" s="442"/>
      <c r="E587" s="442"/>
      <c r="F587" s="442"/>
      <c r="I587" s="486"/>
    </row>
    <row r="588" spans="1:9" ht="14.4">
      <c r="A588" s="480"/>
      <c r="B588" s="481" t="s">
        <v>2830</v>
      </c>
      <c r="C588" s="483"/>
      <c r="D588" s="1859" t="s">
        <v>1087</v>
      </c>
      <c r="E588" s="1859"/>
      <c r="F588" s="1859"/>
      <c r="I588" s="486"/>
    </row>
    <row r="589" spans="1:9">
      <c r="A589" s="486"/>
      <c r="B589" s="486"/>
      <c r="C589" s="483"/>
      <c r="D589" s="1859" t="s">
        <v>1874</v>
      </c>
      <c r="E589" s="1859"/>
      <c r="F589" s="1859"/>
      <c r="I589" s="486"/>
    </row>
    <row r="590" spans="1:9">
      <c r="A590" s="486"/>
      <c r="B590" s="486"/>
      <c r="C590" s="483"/>
      <c r="E590" s="96" t="s">
        <v>1873</v>
      </c>
      <c r="F590" s="400"/>
      <c r="I590" s="486"/>
    </row>
    <row r="591" spans="1:9" ht="14.4">
      <c r="A591" s="480"/>
      <c r="B591" s="480"/>
      <c r="C591" s="483"/>
      <c r="E591" s="442"/>
      <c r="F591" s="442"/>
      <c r="I591" s="486"/>
    </row>
    <row r="592" spans="1:9" ht="14.4">
      <c r="A592" s="480"/>
      <c r="B592" s="481" t="s">
        <v>2830</v>
      </c>
      <c r="C592" s="483"/>
      <c r="D592" s="1859" t="s">
        <v>1088</v>
      </c>
      <c r="E592" s="1859"/>
      <c r="F592" s="1859"/>
      <c r="I592" s="486"/>
    </row>
    <row r="593" spans="1:9">
      <c r="C593" s="483"/>
      <c r="D593" s="1857" t="s">
        <v>1089</v>
      </c>
      <c r="E593" s="1857"/>
      <c r="F593" s="1857"/>
      <c r="I593" s="486"/>
    </row>
    <row r="594" spans="1:9">
      <c r="A594" s="483"/>
      <c r="B594" s="483"/>
      <c r="C594" s="483"/>
      <c r="D594" s="1857"/>
      <c r="E594" s="1857"/>
      <c r="F594" s="1857"/>
      <c r="I594" s="486"/>
    </row>
    <row r="595" spans="1:9">
      <c r="A595" s="483"/>
      <c r="B595" s="483"/>
      <c r="C595" s="483"/>
      <c r="D595" s="1857"/>
      <c r="E595" s="1857"/>
      <c r="F595" s="1857"/>
      <c r="I595" s="486"/>
    </row>
    <row r="596" spans="1:9">
      <c r="A596" s="483"/>
      <c r="B596" s="483"/>
      <c r="C596" s="483"/>
      <c r="D596" s="442"/>
      <c r="E596" s="442"/>
      <c r="F596" s="442"/>
      <c r="I596" s="486"/>
    </row>
    <row r="597" spans="1:9" ht="14.4">
      <c r="A597" s="480"/>
      <c r="B597" s="481" t="s">
        <v>2830</v>
      </c>
      <c r="C597" s="483"/>
      <c r="D597" s="1857" t="s">
        <v>2015</v>
      </c>
      <c r="E597" s="1857"/>
      <c r="F597" s="1857"/>
      <c r="I597" s="486"/>
    </row>
    <row r="598" spans="1:9" ht="14.4">
      <c r="A598" s="480"/>
      <c r="B598" s="480"/>
      <c r="C598" s="483"/>
      <c r="D598" s="1857"/>
      <c r="E598" s="1857"/>
      <c r="F598" s="1857"/>
      <c r="I598" s="486"/>
    </row>
    <row r="599" spans="1:9" ht="14.4">
      <c r="A599" s="480"/>
      <c r="B599" s="480"/>
      <c r="C599" s="483"/>
      <c r="D599" s="1857"/>
      <c r="E599" s="1857"/>
      <c r="F599" s="1857"/>
      <c r="I599" s="486"/>
    </row>
    <row r="600" spans="1:9" ht="14.4">
      <c r="A600" s="480"/>
      <c r="B600" s="480"/>
      <c r="C600" s="483"/>
      <c r="D600" s="1857"/>
      <c r="E600" s="1857"/>
      <c r="F600" s="1857"/>
      <c r="I600" s="486"/>
    </row>
    <row r="601" spans="1:9" ht="14.4">
      <c r="A601" s="480"/>
      <c r="B601" s="480"/>
      <c r="C601" s="483"/>
      <c r="D601" s="442"/>
      <c r="E601" s="442"/>
      <c r="F601" s="442"/>
      <c r="I601" s="486"/>
    </row>
    <row r="602" spans="1:9">
      <c r="A602" s="1858" t="s">
        <v>1054</v>
      </c>
      <c r="B602" s="1858"/>
      <c r="C602" s="1858"/>
      <c r="D602" s="1858"/>
      <c r="E602" s="1858"/>
      <c r="F602" s="1858"/>
      <c r="G602" s="1858"/>
      <c r="H602" s="1018"/>
      <c r="I602" s="1142"/>
    </row>
    <row r="603" spans="1:9">
      <c r="A603" s="483"/>
      <c r="B603" s="483"/>
      <c r="C603" s="483"/>
      <c r="E603" s="442"/>
      <c r="F603" s="442"/>
      <c r="I603" s="486"/>
    </row>
    <row r="604" spans="1:9" ht="12.75" customHeight="1">
      <c r="C604" s="478"/>
      <c r="D604" s="1876" t="s">
        <v>210</v>
      </c>
      <c r="E604" s="1876"/>
      <c r="F604" s="1876"/>
      <c r="I604" s="486"/>
    </row>
    <row r="605" spans="1:9">
      <c r="A605" s="479"/>
      <c r="B605" s="479"/>
      <c r="C605" s="479"/>
      <c r="D605" s="1873" t="s">
        <v>1067</v>
      </c>
      <c r="E605" s="1873"/>
      <c r="F605" s="1873"/>
      <c r="I605" s="486"/>
    </row>
    <row r="606" spans="1:9">
      <c r="A606" s="398"/>
      <c r="B606" s="398"/>
      <c r="C606" s="479"/>
      <c r="D606" s="495"/>
      <c r="I606" s="486"/>
    </row>
    <row r="607" spans="1:9">
      <c r="A607" s="479"/>
      <c r="B607" s="481" t="s">
        <v>2830</v>
      </c>
      <c r="D607" s="1873" t="s">
        <v>888</v>
      </c>
      <c r="E607" s="1873"/>
      <c r="F607" s="1873"/>
      <c r="I607" s="486"/>
    </row>
    <row r="608" spans="1:9">
      <c r="A608" s="486"/>
      <c r="B608" s="486"/>
      <c r="D608" s="472"/>
      <c r="I608" s="486"/>
    </row>
    <row r="609" spans="1:9">
      <c r="A609" s="486"/>
      <c r="B609" s="481" t="s">
        <v>2830</v>
      </c>
      <c r="D609" s="1873" t="s">
        <v>2016</v>
      </c>
      <c r="E609" s="1873"/>
      <c r="F609" s="1873"/>
      <c r="I609" s="486"/>
    </row>
    <row r="610" spans="1:9">
      <c r="A610" s="486"/>
      <c r="B610" s="486"/>
      <c r="D610" s="1873"/>
      <c r="E610" s="1873"/>
      <c r="F610" s="1873"/>
      <c r="I610" s="486"/>
    </row>
    <row r="611" spans="1:9">
      <c r="A611" s="486"/>
      <c r="B611" s="486"/>
      <c r="D611" s="1873"/>
      <c r="E611" s="1873"/>
      <c r="F611" s="1873"/>
      <c r="I611" s="486"/>
    </row>
    <row r="612" spans="1:9">
      <c r="A612" s="486"/>
      <c r="B612" s="486"/>
      <c r="D612" s="1873"/>
      <c r="E612" s="1873"/>
      <c r="F612" s="1873"/>
      <c r="I612" s="486"/>
    </row>
    <row r="613" spans="1:9">
      <c r="A613" s="486"/>
      <c r="B613" s="481" t="s">
        <v>2831</v>
      </c>
      <c r="D613" s="1873" t="s">
        <v>1068</v>
      </c>
      <c r="E613" s="1873"/>
      <c r="F613" s="1873"/>
      <c r="I613" s="486"/>
    </row>
    <row r="614" spans="1:9">
      <c r="A614" s="486"/>
      <c r="B614" s="486"/>
      <c r="D614" s="1873"/>
      <c r="E614" s="1873"/>
      <c r="F614" s="1873"/>
      <c r="I614" s="486"/>
    </row>
    <row r="615" spans="1:9">
      <c r="A615" s="486"/>
      <c r="B615" s="486"/>
      <c r="D615" s="1873"/>
      <c r="E615" s="1873"/>
      <c r="F615" s="1873"/>
      <c r="I615" s="486"/>
    </row>
    <row r="616" spans="1:9">
      <c r="A616" s="486"/>
      <c r="B616" s="486"/>
      <c r="D616" s="1873"/>
      <c r="E616" s="1873"/>
      <c r="F616" s="1873"/>
      <c r="I616" s="486"/>
    </row>
    <row r="617" spans="1:9">
      <c r="A617" s="486"/>
      <c r="B617" s="486"/>
      <c r="D617" s="436"/>
      <c r="E617" s="436"/>
      <c r="F617" s="436"/>
      <c r="I617" s="486"/>
    </row>
    <row r="618" spans="1:9">
      <c r="A618" s="486"/>
      <c r="B618" s="481" t="s">
        <v>2830</v>
      </c>
      <c r="D618" s="1873" t="s">
        <v>2017</v>
      </c>
      <c r="E618" s="1873"/>
      <c r="F618" s="1873"/>
      <c r="I618" s="486"/>
    </row>
    <row r="619" spans="1:9">
      <c r="A619" s="486"/>
      <c r="B619" s="486"/>
      <c r="D619" s="1873"/>
      <c r="E619" s="1873"/>
      <c r="F619" s="1873"/>
      <c r="I619" s="486"/>
    </row>
    <row r="620" spans="1:9">
      <c r="A620" s="486"/>
      <c r="B620" s="486"/>
      <c r="D620" s="495"/>
      <c r="I620" s="486"/>
    </row>
    <row r="621" spans="1:9">
      <c r="A621" s="486"/>
      <c r="B621" s="481" t="s">
        <v>2831</v>
      </c>
      <c r="D621" s="1873" t="s">
        <v>1069</v>
      </c>
      <c r="E621" s="1873"/>
      <c r="F621" s="1873"/>
      <c r="I621" s="486"/>
    </row>
    <row r="622" spans="1:9">
      <c r="A622" s="486"/>
      <c r="B622" s="486"/>
      <c r="D622" s="1873"/>
      <c r="E622" s="1873"/>
      <c r="F622" s="1873"/>
      <c r="I622" s="486"/>
    </row>
    <row r="623" spans="1:9" ht="14.4">
      <c r="A623" s="480"/>
      <c r="B623" s="480"/>
      <c r="D623" s="495"/>
      <c r="I623" s="486"/>
    </row>
    <row r="624" spans="1:9">
      <c r="A624" s="1858" t="s">
        <v>1055</v>
      </c>
      <c r="B624" s="1858"/>
      <c r="C624" s="1858"/>
      <c r="D624" s="1858"/>
      <c r="E624" s="1858"/>
      <c r="F624" s="1858"/>
      <c r="G624" s="1858"/>
      <c r="H624" s="1018"/>
      <c r="I624" s="1142"/>
    </row>
    <row r="625" spans="1:9">
      <c r="I625" s="486"/>
    </row>
    <row r="626" spans="1:9">
      <c r="D626" s="1860" t="s">
        <v>1107</v>
      </c>
      <c r="E626" s="1860"/>
      <c r="F626" s="1860"/>
      <c r="I626" s="486"/>
    </row>
    <row r="627" spans="1:9">
      <c r="D627" s="1848" t="s">
        <v>1108</v>
      </c>
      <c r="E627" s="1848"/>
      <c r="F627" s="1848"/>
      <c r="I627" s="486"/>
    </row>
    <row r="628" spans="1:9">
      <c r="D628" s="440"/>
      <c r="I628" s="486"/>
    </row>
    <row r="629" spans="1:9" ht="14.25" customHeight="1">
      <c r="A629" s="480"/>
      <c r="B629" s="481" t="s">
        <v>2830</v>
      </c>
      <c r="D629" s="1839" t="s">
        <v>1875</v>
      </c>
      <c r="E629" s="1839"/>
      <c r="F629" s="1839"/>
      <c r="I629" s="486"/>
    </row>
    <row r="630" spans="1:9">
      <c r="D630" s="1839"/>
      <c r="E630" s="1839"/>
      <c r="F630" s="1839"/>
      <c r="I630" s="486"/>
    </row>
    <row r="631" spans="1:9">
      <c r="D631" s="381"/>
      <c r="E631" s="1026" t="s">
        <v>1876</v>
      </c>
      <c r="F631" s="381"/>
      <c r="I631" s="486"/>
    </row>
    <row r="632" spans="1:9">
      <c r="I632" s="486"/>
    </row>
    <row r="633" spans="1:9" customFormat="1">
      <c r="A633" s="350"/>
      <c r="B633" s="481" t="s">
        <v>2831</v>
      </c>
      <c r="C633" s="350"/>
      <c r="D633" s="1839" t="s">
        <v>2642</v>
      </c>
      <c r="E633" s="1839"/>
      <c r="F633" s="1839"/>
      <c r="G633" s="3"/>
    </row>
    <row r="634" spans="1:9" customFormat="1">
      <c r="A634" s="350"/>
      <c r="B634" s="350"/>
      <c r="C634" s="350"/>
      <c r="D634" s="1839"/>
      <c r="E634" s="1839"/>
      <c r="F634" s="1839"/>
      <c r="G634" s="3"/>
    </row>
    <row r="635" spans="1:9" customFormat="1">
      <c r="A635" s="350"/>
      <c r="B635" s="350"/>
      <c r="C635" s="350"/>
      <c r="D635" s="1839"/>
      <c r="E635" s="1839"/>
      <c r="F635" s="1839"/>
      <c r="G635" s="3"/>
    </row>
    <row r="636" spans="1:9" customFormat="1">
      <c r="A636" s="350"/>
      <c r="B636" s="350"/>
      <c r="C636" s="350"/>
      <c r="D636" s="1839"/>
      <c r="E636" s="1839"/>
      <c r="F636" s="1839"/>
      <c r="G636" s="3"/>
    </row>
    <row r="637" spans="1:9" customFormat="1">
      <c r="A637" s="350"/>
      <c r="B637" s="350"/>
      <c r="C637" s="350"/>
      <c r="D637" s="381"/>
      <c r="E637" s="1262"/>
      <c r="F637" s="381"/>
      <c r="G637" s="3"/>
    </row>
    <row r="638" spans="1:9">
      <c r="A638" s="1858" t="s">
        <v>1056</v>
      </c>
      <c r="B638" s="1858"/>
      <c r="C638" s="1858"/>
      <c r="D638" s="1858"/>
      <c r="E638" s="1858"/>
      <c r="F638" s="1858"/>
      <c r="G638" s="1858"/>
      <c r="H638" s="1018"/>
      <c r="I638" s="1142"/>
    </row>
    <row r="639" spans="1:9">
      <c r="A639" s="442"/>
      <c r="B639" s="442"/>
      <c r="I639" s="486"/>
    </row>
    <row r="640" spans="1:9">
      <c r="A640" s="478"/>
      <c r="B640" s="478"/>
      <c r="C640" s="478"/>
      <c r="D640" s="1869" t="s">
        <v>1109</v>
      </c>
      <c r="E640" s="1869"/>
      <c r="F640" s="1869"/>
      <c r="I640" s="486"/>
    </row>
    <row r="641" spans="1:9">
      <c r="A641" s="478"/>
      <c r="B641" s="478"/>
      <c r="C641" s="478"/>
      <c r="D641" s="1869"/>
      <c r="E641" s="1869"/>
      <c r="F641" s="1869"/>
      <c r="I641" s="486"/>
    </row>
    <row r="642" spans="1:9">
      <c r="C642" s="479"/>
      <c r="D642" s="1848" t="s">
        <v>1110</v>
      </c>
      <c r="E642" s="1848"/>
      <c r="F642" s="1848"/>
      <c r="I642" s="486"/>
    </row>
    <row r="643" spans="1:9">
      <c r="C643" s="479"/>
      <c r="D643" s="440"/>
      <c r="E643" s="440"/>
      <c r="F643" s="440"/>
      <c r="I643" s="486"/>
    </row>
    <row r="644" spans="1:9">
      <c r="B644" s="481" t="s">
        <v>2830</v>
      </c>
      <c r="C644" s="479"/>
      <c r="D644" s="1840" t="s">
        <v>2593</v>
      </c>
      <c r="E644" s="1840"/>
      <c r="F644" s="1840"/>
      <c r="I644" s="486"/>
    </row>
    <row r="645" spans="1:9">
      <c r="C645" s="479"/>
      <c r="D645" s="440"/>
      <c r="E645" s="440"/>
      <c r="F645" s="440"/>
      <c r="I645" s="486"/>
    </row>
    <row r="646" spans="1:9" ht="12.75" customHeight="1">
      <c r="A646" s="486"/>
      <c r="B646" s="481" t="s">
        <v>2830</v>
      </c>
      <c r="D646" s="1847" t="s">
        <v>1111</v>
      </c>
      <c r="E646" s="1847"/>
      <c r="F646" s="1847"/>
      <c r="I646" s="486"/>
    </row>
    <row r="647" spans="1:9">
      <c r="D647" s="1847"/>
      <c r="E647" s="1847"/>
      <c r="F647" s="1847"/>
      <c r="I647" s="486"/>
    </row>
    <row r="648" spans="1:9">
      <c r="I648" s="486"/>
    </row>
    <row r="649" spans="1:9">
      <c r="B649" s="481" t="s">
        <v>2830</v>
      </c>
      <c r="D649" s="1847" t="s">
        <v>1112</v>
      </c>
      <c r="E649" s="1847"/>
      <c r="F649" s="1847"/>
      <c r="I649" s="486"/>
    </row>
    <row r="650" spans="1:9">
      <c r="C650" s="496"/>
      <c r="D650" s="1847"/>
      <c r="E650" s="1847"/>
      <c r="F650" s="1847"/>
      <c r="I650" s="486"/>
    </row>
    <row r="651" spans="1:9">
      <c r="C651" s="496"/>
      <c r="I651" s="486"/>
    </row>
    <row r="652" spans="1:9">
      <c r="B652" s="481" t="s">
        <v>2830</v>
      </c>
      <c r="C652" s="496"/>
      <c r="D652" s="1847" t="s">
        <v>1113</v>
      </c>
      <c r="E652" s="1847"/>
      <c r="F652" s="1847"/>
      <c r="I652" s="486"/>
    </row>
    <row r="653" spans="1:9">
      <c r="C653" s="496"/>
      <c r="D653" s="1847"/>
      <c r="E653" s="1847"/>
      <c r="F653" s="1847"/>
      <c r="I653" s="496"/>
    </row>
    <row r="654" spans="1:9">
      <c r="C654" s="496"/>
      <c r="I654" s="486"/>
    </row>
    <row r="655" spans="1:9">
      <c r="B655" s="481" t="s">
        <v>2830</v>
      </c>
      <c r="C655" s="496"/>
      <c r="D655" s="1840" t="s">
        <v>2539</v>
      </c>
      <c r="E655" s="1840"/>
      <c r="F655" s="1840"/>
      <c r="I655" s="486"/>
    </row>
    <row r="656" spans="1:9">
      <c r="C656" s="496"/>
      <c r="I656" s="486"/>
    </row>
    <row r="657" spans="1:9" customFormat="1" ht="14.4">
      <c r="A657" s="175"/>
      <c r="B657" s="481" t="s">
        <v>2831</v>
      </c>
      <c r="C657" s="350"/>
      <c r="D657" s="1840" t="s">
        <v>2643</v>
      </c>
      <c r="E657" s="1840"/>
      <c r="F657" s="1840"/>
      <c r="G657" s="3"/>
    </row>
    <row r="658" spans="1:9" customFormat="1">
      <c r="A658" s="172"/>
      <c r="B658" s="172"/>
      <c r="C658" s="172"/>
      <c r="D658" s="3"/>
      <c r="E658" s="3"/>
      <c r="F658" s="3"/>
      <c r="G658" s="3"/>
    </row>
    <row r="659" spans="1:9">
      <c r="A659" s="1858" t="s">
        <v>1057</v>
      </c>
      <c r="B659" s="1858"/>
      <c r="C659" s="1858"/>
      <c r="D659" s="1858"/>
      <c r="E659" s="1858"/>
      <c r="F659" s="1858"/>
      <c r="G659" s="1858"/>
      <c r="H659" s="1018"/>
      <c r="I659" s="1142"/>
    </row>
    <row r="660" spans="1:9">
      <c r="A660" s="478"/>
      <c r="B660" s="478"/>
      <c r="C660" s="478"/>
      <c r="I660" s="486"/>
    </row>
    <row r="661" spans="1:9">
      <c r="C661" s="486"/>
      <c r="D661" s="1860" t="s">
        <v>1114</v>
      </c>
      <c r="E661" s="1860"/>
      <c r="F661" s="1860"/>
      <c r="I661" s="486"/>
    </row>
    <row r="662" spans="1:9">
      <c r="A662" s="486"/>
      <c r="B662" s="486"/>
      <c r="D662" s="400"/>
      <c r="I662" s="486"/>
    </row>
    <row r="663" spans="1:9" ht="14.25" customHeight="1">
      <c r="A663" s="480"/>
      <c r="B663" s="481" t="s">
        <v>2830</v>
      </c>
      <c r="D663" s="1839" t="s">
        <v>2018</v>
      </c>
      <c r="E663" s="1839"/>
      <c r="F663" s="1839"/>
      <c r="I663" s="486"/>
    </row>
    <row r="664" spans="1:9">
      <c r="D664" s="1839"/>
      <c r="E664" s="1839"/>
      <c r="F664" s="1839"/>
      <c r="I664" s="486"/>
    </row>
    <row r="665" spans="1:9">
      <c r="D665" s="381"/>
      <c r="E665" s="1026" t="s">
        <v>1878</v>
      </c>
      <c r="F665" s="381"/>
      <c r="I665" s="486"/>
    </row>
    <row r="666" spans="1:9">
      <c r="D666" s="1857" t="s">
        <v>1877</v>
      </c>
      <c r="E666" s="1857"/>
      <c r="F666" s="1857"/>
      <c r="I666" s="486"/>
    </row>
    <row r="667" spans="1:9">
      <c r="D667" s="1857"/>
      <c r="E667" s="1857"/>
      <c r="F667" s="1857"/>
      <c r="I667" s="486"/>
    </row>
    <row r="668" spans="1:9">
      <c r="D668" s="1857"/>
      <c r="E668" s="1857"/>
      <c r="F668" s="1857"/>
      <c r="I668" s="486"/>
    </row>
    <row r="669" spans="1:9">
      <c r="D669" s="441"/>
      <c r="E669" s="441"/>
      <c r="F669" s="441"/>
      <c r="I669" s="486"/>
    </row>
    <row r="670" spans="1:9" ht="14.4">
      <c r="A670" s="480"/>
      <c r="B670" s="481" t="s">
        <v>2831</v>
      </c>
      <c r="D670" s="1857" t="s">
        <v>1115</v>
      </c>
      <c r="E670" s="1857"/>
      <c r="F670" s="1857"/>
      <c r="I670" s="486"/>
    </row>
    <row r="671" spans="1:9">
      <c r="A671" s="483"/>
      <c r="B671" s="483"/>
      <c r="C671" s="483"/>
      <c r="D671" s="1857"/>
      <c r="E671" s="1857"/>
      <c r="F671" s="1857"/>
      <c r="I671" s="486"/>
    </row>
    <row r="672" spans="1:9">
      <c r="A672" s="483"/>
      <c r="B672" s="483"/>
      <c r="C672" s="483"/>
      <c r="D672" s="442"/>
      <c r="E672" s="442"/>
      <c r="F672" s="442"/>
      <c r="I672" s="486"/>
    </row>
    <row r="673" spans="1:9" ht="14.4">
      <c r="A673" s="480"/>
      <c r="B673" s="481" t="s">
        <v>2831</v>
      </c>
      <c r="C673" s="483"/>
      <c r="D673" s="1857" t="s">
        <v>1224</v>
      </c>
      <c r="E673" s="1857"/>
      <c r="F673" s="1857"/>
      <c r="I673" s="486"/>
    </row>
    <row r="674" spans="1:9" ht="14.4">
      <c r="A674" s="480"/>
      <c r="B674" s="480"/>
      <c r="C674" s="483"/>
      <c r="D674" s="1857"/>
      <c r="E674" s="1857"/>
      <c r="F674" s="1857"/>
      <c r="I674" s="486"/>
    </row>
    <row r="675" spans="1:9" ht="14.4">
      <c r="A675" s="480"/>
      <c r="B675" s="480"/>
      <c r="C675" s="483"/>
      <c r="D675" s="1857"/>
      <c r="E675" s="1857"/>
      <c r="F675" s="1857"/>
      <c r="I675" s="486"/>
    </row>
    <row r="676" spans="1:9">
      <c r="A676" s="483"/>
      <c r="B676" s="481" t="s">
        <v>2831</v>
      </c>
      <c r="C676" s="483"/>
      <c r="D676" s="1859" t="s">
        <v>1116</v>
      </c>
      <c r="E676" s="1859"/>
      <c r="F676" s="1859"/>
      <c r="I676" s="486"/>
    </row>
    <row r="677" spans="1:9">
      <c r="A677" s="483"/>
      <c r="B677" s="483"/>
      <c r="C677" s="483"/>
      <c r="D677" s="442"/>
      <c r="E677" s="442"/>
      <c r="F677" s="442"/>
      <c r="I677" s="486"/>
    </row>
    <row r="678" spans="1:9">
      <c r="A678" s="1858" t="s">
        <v>1058</v>
      </c>
      <c r="B678" s="1858"/>
      <c r="C678" s="1858"/>
      <c r="D678" s="1858"/>
      <c r="E678" s="1858"/>
      <c r="F678" s="1858"/>
      <c r="G678" s="1858"/>
      <c r="H678" s="1018"/>
      <c r="I678" s="1142"/>
    </row>
    <row r="679" spans="1:9">
      <c r="A679" s="442"/>
      <c r="B679" s="442"/>
      <c r="C679" s="483"/>
      <c r="D679" s="442"/>
      <c r="E679" s="442"/>
      <c r="F679" s="442"/>
      <c r="I679" s="486"/>
    </row>
    <row r="680" spans="1:9">
      <c r="C680" s="478"/>
      <c r="D680" s="1860" t="s">
        <v>1145</v>
      </c>
      <c r="E680" s="1860"/>
      <c r="F680" s="1860"/>
      <c r="I680" s="486"/>
    </row>
    <row r="681" spans="1:9">
      <c r="A681" s="479"/>
      <c r="B681" s="479"/>
      <c r="C681" s="479"/>
      <c r="D681" s="1859" t="s">
        <v>1146</v>
      </c>
      <c r="E681" s="1859"/>
      <c r="F681" s="1859"/>
      <c r="I681" s="486"/>
    </row>
    <row r="682" spans="1:9">
      <c r="A682" s="479"/>
      <c r="B682" s="479"/>
      <c r="C682" s="479"/>
      <c r="D682" s="442"/>
      <c r="E682" s="442"/>
      <c r="F682" s="442"/>
      <c r="I682" s="486"/>
    </row>
    <row r="683" spans="1:9" ht="12.75" customHeight="1">
      <c r="B683" s="481" t="s">
        <v>2830</v>
      </c>
      <c r="C683" s="483"/>
      <c r="D683" s="1857" t="s">
        <v>1280</v>
      </c>
      <c r="E683" s="1857"/>
      <c r="F683" s="1857"/>
      <c r="I683" s="486"/>
    </row>
    <row r="684" spans="1:9">
      <c r="D684" s="1857"/>
      <c r="E684" s="1857"/>
      <c r="F684" s="1857"/>
      <c r="I684" s="486"/>
    </row>
    <row r="685" spans="1:9">
      <c r="D685" s="1857"/>
      <c r="E685" s="1857"/>
      <c r="F685" s="1857"/>
      <c r="I685" s="486"/>
    </row>
    <row r="686" spans="1:9">
      <c r="D686" s="1857"/>
      <c r="E686" s="1857"/>
      <c r="F686" s="1857"/>
      <c r="I686" s="486"/>
    </row>
    <row r="687" spans="1:9" ht="14.4" customHeight="1">
      <c r="A687" s="480"/>
      <c r="B687" s="480"/>
      <c r="C687" s="483"/>
      <c r="D687" s="381"/>
      <c r="E687" s="381"/>
      <c r="F687" s="381"/>
      <c r="I687" s="486"/>
    </row>
    <row r="688" spans="1:9" ht="12.75" customHeight="1">
      <c r="A688" s="479"/>
      <c r="B688" s="481" t="s">
        <v>2831</v>
      </c>
      <c r="C688" s="483"/>
      <c r="D688" s="1857" t="s">
        <v>1282</v>
      </c>
      <c r="E688" s="1857"/>
      <c r="F688" s="1857"/>
      <c r="I688" s="486"/>
    </row>
    <row r="689" spans="1:9" ht="14.4">
      <c r="A689" s="479"/>
      <c r="B689" s="480"/>
      <c r="C689" s="483"/>
      <c r="D689" s="1857"/>
      <c r="E689" s="1857"/>
      <c r="F689" s="1857"/>
      <c r="I689" s="486"/>
    </row>
    <row r="690" spans="1:9" ht="14.4">
      <c r="A690" s="479"/>
      <c r="B690" s="480"/>
      <c r="C690" s="483"/>
      <c r="D690" s="1857"/>
      <c r="E690" s="1857"/>
      <c r="F690" s="1857"/>
      <c r="I690" s="486"/>
    </row>
    <row r="691" spans="1:9" ht="14.4">
      <c r="A691" s="479"/>
      <c r="B691" s="480"/>
      <c r="C691" s="483"/>
      <c r="D691" s="1857"/>
      <c r="E691" s="1857"/>
      <c r="F691" s="1857"/>
      <c r="I691" s="486"/>
    </row>
    <row r="692" spans="1:9" ht="14.4">
      <c r="A692" s="479"/>
      <c r="B692" s="480"/>
      <c r="C692" s="483"/>
      <c r="D692" s="1857"/>
      <c r="E692" s="1857"/>
      <c r="F692" s="1857"/>
      <c r="I692" s="486"/>
    </row>
    <row r="693" spans="1:9" ht="14.25" customHeight="1">
      <c r="A693" s="479"/>
      <c r="B693" s="480"/>
      <c r="C693" s="483"/>
      <c r="F693" s="382"/>
      <c r="I693" s="486"/>
    </row>
    <row r="694" spans="1:9" ht="12.75" customHeight="1">
      <c r="A694" s="479"/>
      <c r="B694" s="481" t="s">
        <v>2831</v>
      </c>
      <c r="C694" s="483"/>
      <c r="D694" s="1857" t="s">
        <v>1281</v>
      </c>
      <c r="E694" s="1857"/>
      <c r="F694" s="1857"/>
      <c r="I694" s="486"/>
    </row>
    <row r="695" spans="1:9" ht="14.4">
      <c r="A695" s="479"/>
      <c r="B695" s="480"/>
      <c r="C695" s="483"/>
      <c r="D695" s="1857"/>
      <c r="E695" s="1857"/>
      <c r="F695" s="1857"/>
      <c r="I695" s="486"/>
    </row>
    <row r="696" spans="1:9" ht="14.4">
      <c r="A696" s="480"/>
      <c r="B696" s="480"/>
      <c r="C696" s="483"/>
      <c r="D696" s="1857"/>
      <c r="E696" s="1857"/>
      <c r="F696" s="1857"/>
      <c r="I696" s="486"/>
    </row>
    <row r="697" spans="1:9" ht="14.4">
      <c r="A697" s="480"/>
      <c r="B697" s="480"/>
      <c r="C697" s="483"/>
      <c r="D697" s="1857"/>
      <c r="E697" s="1857"/>
      <c r="F697" s="1857"/>
      <c r="I697" s="486"/>
    </row>
    <row r="698" spans="1:9" ht="14.4">
      <c r="A698" s="480"/>
      <c r="B698" s="480"/>
      <c r="C698" s="483"/>
      <c r="D698" s="441"/>
      <c r="E698" s="441"/>
      <c r="F698" s="441"/>
      <c r="I698" s="486"/>
    </row>
    <row r="699" spans="1:9" ht="12.75" customHeight="1">
      <c r="A699" s="479"/>
      <c r="B699" s="481" t="s">
        <v>2831</v>
      </c>
      <c r="C699" s="483"/>
      <c r="D699" s="1857" t="s">
        <v>2019</v>
      </c>
      <c r="E699" s="1857"/>
      <c r="F699" s="1857"/>
      <c r="I699" s="486"/>
    </row>
    <row r="700" spans="1:9" ht="12.75" customHeight="1">
      <c r="A700" s="479"/>
      <c r="B700" s="480"/>
      <c r="C700" s="483"/>
      <c r="D700" s="1857"/>
      <c r="E700" s="1857"/>
      <c r="F700" s="1857"/>
      <c r="I700" s="486"/>
    </row>
    <row r="701" spans="1:9" ht="12.75" customHeight="1">
      <c r="A701" s="479"/>
      <c r="B701" s="480"/>
      <c r="C701" s="483"/>
      <c r="D701" s="1857"/>
      <c r="E701" s="1857"/>
      <c r="F701" s="1857"/>
      <c r="I701" s="486"/>
    </row>
    <row r="702" spans="1:9" ht="12.75" customHeight="1">
      <c r="A702" s="479"/>
      <c r="B702" s="480"/>
      <c r="C702" s="483"/>
      <c r="D702" s="1857"/>
      <c r="E702" s="1857"/>
      <c r="F702" s="1857"/>
      <c r="I702" s="486"/>
    </row>
    <row r="703" spans="1:9" ht="12.75" customHeight="1">
      <c r="A703" s="479"/>
      <c r="B703" s="480"/>
      <c r="C703" s="483"/>
      <c r="D703" s="1857"/>
      <c r="E703" s="1857"/>
      <c r="F703" s="1857"/>
      <c r="I703" s="486"/>
    </row>
    <row r="704" spans="1:9" ht="12.75" customHeight="1">
      <c r="A704" s="479"/>
      <c r="B704" s="480"/>
      <c r="C704" s="483"/>
      <c r="D704" s="1857"/>
      <c r="E704" s="1857"/>
      <c r="F704" s="1857"/>
      <c r="I704" s="486"/>
    </row>
    <row r="705" spans="1:11" ht="12.75" customHeight="1">
      <c r="A705" s="479"/>
      <c r="B705" s="480"/>
      <c r="C705" s="483"/>
      <c r="D705" s="1857"/>
      <c r="E705" s="1857"/>
      <c r="F705" s="1857"/>
      <c r="I705" s="486"/>
    </row>
    <row r="706" spans="1:11" ht="12.75" customHeight="1">
      <c r="A706" s="479"/>
      <c r="B706" s="480"/>
      <c r="C706" s="483"/>
      <c r="D706" s="1857"/>
      <c r="E706" s="1857"/>
      <c r="F706" s="1857"/>
      <c r="I706" s="486"/>
    </row>
    <row r="707" spans="1:11" ht="12.75" customHeight="1">
      <c r="A707" s="479"/>
      <c r="B707" s="480"/>
      <c r="C707" s="483"/>
      <c r="D707" s="1857"/>
      <c r="E707" s="1857"/>
      <c r="F707" s="1857"/>
      <c r="I707" s="486"/>
    </row>
    <row r="708" spans="1:11">
      <c r="A708" s="483"/>
      <c r="B708" s="483"/>
      <c r="C708" s="483"/>
      <c r="D708" s="442"/>
      <c r="E708" s="442"/>
      <c r="F708" s="442"/>
      <c r="I708" s="486"/>
    </row>
    <row r="709" spans="1:11">
      <c r="A709" s="1858" t="s">
        <v>1059</v>
      </c>
      <c r="B709" s="1858"/>
      <c r="C709" s="1858"/>
      <c r="D709" s="1858"/>
      <c r="E709" s="1858"/>
      <c r="F709" s="1858"/>
      <c r="G709" s="1858"/>
      <c r="H709" s="1020"/>
      <c r="I709" s="1146"/>
      <c r="J709" s="497"/>
      <c r="K709" s="497"/>
    </row>
    <row r="710" spans="1:11">
      <c r="A710" s="444"/>
      <c r="B710" s="444"/>
      <c r="C710" s="444"/>
      <c r="D710" s="444"/>
      <c r="E710" s="444"/>
      <c r="F710" s="444"/>
      <c r="G710" s="444"/>
      <c r="H710" s="497"/>
      <c r="I710" s="479"/>
      <c r="J710" s="497"/>
      <c r="K710" s="497"/>
    </row>
    <row r="711" spans="1:11">
      <c r="C711" s="478"/>
      <c r="D711" s="1860" t="s">
        <v>99</v>
      </c>
      <c r="E711" s="1860"/>
      <c r="F711" s="1860"/>
      <c r="H711" s="497"/>
      <c r="I711" s="479"/>
      <c r="J711" s="497"/>
      <c r="K711" s="497"/>
    </row>
    <row r="712" spans="1:11">
      <c r="A712" s="478"/>
      <c r="B712" s="478"/>
      <c r="C712" s="478"/>
      <c r="D712" s="1860" t="s">
        <v>123</v>
      </c>
      <c r="E712" s="1860"/>
      <c r="F712" s="1860"/>
      <c r="H712" s="497"/>
      <c r="I712" s="479"/>
      <c r="J712" s="497"/>
      <c r="K712" s="497"/>
    </row>
    <row r="713" spans="1:11">
      <c r="A713" s="479"/>
      <c r="B713" s="479"/>
      <c r="C713" s="479"/>
      <c r="D713" s="1859" t="s">
        <v>1076</v>
      </c>
      <c r="E713" s="1859"/>
      <c r="F713" s="1859"/>
      <c r="H713" s="497"/>
      <c r="I713" s="479"/>
      <c r="J713" s="497"/>
      <c r="K713" s="497"/>
    </row>
    <row r="714" spans="1:11">
      <c r="A714" s="479"/>
      <c r="B714" s="479"/>
      <c r="C714" s="479"/>
      <c r="H714" s="497"/>
      <c r="I714" s="479"/>
      <c r="J714" s="497"/>
      <c r="K714" s="497"/>
    </row>
    <row r="715" spans="1:11" ht="14.4">
      <c r="A715" s="480"/>
      <c r="B715" s="481" t="s">
        <v>2830</v>
      </c>
      <c r="C715" s="479"/>
      <c r="D715" s="1859" t="s">
        <v>885</v>
      </c>
      <c r="E715" s="1859"/>
      <c r="F715" s="1859"/>
      <c r="H715" s="497"/>
      <c r="I715" s="479"/>
      <c r="J715" s="497"/>
      <c r="K715" s="497"/>
    </row>
    <row r="716" spans="1:11">
      <c r="A716" s="479"/>
      <c r="B716" s="479"/>
      <c r="C716" s="479"/>
      <c r="D716" s="1859" t="s">
        <v>894</v>
      </c>
      <c r="E716" s="1859"/>
      <c r="F716" s="1859"/>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4">
      <c r="A720" s="480"/>
      <c r="B720" s="481" t="s">
        <v>2831</v>
      </c>
      <c r="C720" s="479"/>
      <c r="D720" s="1857" t="s">
        <v>2020</v>
      </c>
      <c r="E720" s="1857"/>
      <c r="F720" s="1857"/>
      <c r="H720" s="497"/>
      <c r="I720" s="479"/>
      <c r="J720" s="497"/>
      <c r="K720" s="497"/>
    </row>
    <row r="721" spans="1:11">
      <c r="A721" s="486"/>
      <c r="B721" s="486"/>
      <c r="C721" s="479"/>
      <c r="D721" s="1857"/>
      <c r="E721" s="1857"/>
      <c r="F721" s="1857"/>
      <c r="H721" s="497"/>
      <c r="I721" s="479"/>
      <c r="J721" s="497"/>
      <c r="K721" s="497"/>
    </row>
    <row r="722" spans="1:11">
      <c r="A722" s="479"/>
      <c r="B722" s="479"/>
      <c r="C722" s="479"/>
      <c r="D722" s="1857"/>
      <c r="E722" s="1857"/>
      <c r="F722" s="1857"/>
      <c r="H722" s="497"/>
      <c r="I722" s="479"/>
      <c r="J722" s="497"/>
      <c r="K722" s="497"/>
    </row>
    <row r="723" spans="1:11">
      <c r="A723" s="479"/>
      <c r="B723" s="479"/>
      <c r="C723" s="479"/>
      <c r="H723" s="497"/>
      <c r="J723" s="497"/>
      <c r="K723" s="497"/>
    </row>
    <row r="724" spans="1:11" ht="14.4">
      <c r="A724" s="480"/>
      <c r="B724" s="481" t="s">
        <v>2830</v>
      </c>
      <c r="C724" s="479"/>
      <c r="D724" s="1859" t="s">
        <v>917</v>
      </c>
      <c r="E724" s="1859"/>
      <c r="F724" s="1859"/>
      <c r="H724" s="497"/>
      <c r="I724" s="479"/>
      <c r="J724" s="497"/>
      <c r="K724" s="497"/>
    </row>
    <row r="725" spans="1:11" ht="14.4">
      <c r="A725" s="480"/>
      <c r="B725" s="480"/>
      <c r="C725" s="479"/>
      <c r="D725" s="1859" t="s">
        <v>894</v>
      </c>
      <c r="E725" s="1859"/>
      <c r="F725" s="1859"/>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4">
      <c r="A728" s="480"/>
      <c r="B728" s="481" t="s">
        <v>2831</v>
      </c>
      <c r="C728" s="479"/>
      <c r="D728" s="1859" t="s">
        <v>2393</v>
      </c>
      <c r="E728" s="1859"/>
      <c r="F728" s="1859"/>
      <c r="H728" s="497"/>
      <c r="I728" s="479"/>
      <c r="J728" s="497"/>
      <c r="K728" s="497"/>
    </row>
    <row r="729" spans="1:11" ht="14.4">
      <c r="A729" s="480"/>
      <c r="B729" s="480"/>
      <c r="C729" s="479"/>
      <c r="D729" s="1859" t="s">
        <v>894</v>
      </c>
      <c r="E729" s="1859"/>
      <c r="F729" s="1859"/>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4">
      <c r="A732" s="480"/>
      <c r="B732" s="481" t="s">
        <v>2831</v>
      </c>
      <c r="C732" s="479"/>
      <c r="D732" s="1857" t="s">
        <v>2191</v>
      </c>
      <c r="E732" s="1857"/>
      <c r="F732" s="1857"/>
      <c r="H732" s="497"/>
      <c r="I732" s="479"/>
      <c r="J732" s="497"/>
      <c r="K732" s="497"/>
    </row>
    <row r="733" spans="1:11">
      <c r="A733" s="479"/>
      <c r="B733" s="479"/>
      <c r="C733" s="479"/>
      <c r="D733" s="1857"/>
      <c r="E733" s="1857"/>
      <c r="F733" s="1857"/>
      <c r="H733" s="497"/>
      <c r="I733" s="479"/>
      <c r="J733" s="497"/>
      <c r="K733" s="497"/>
    </row>
    <row r="734" spans="1:11">
      <c r="A734" s="479"/>
      <c r="B734" s="479"/>
      <c r="C734" s="479"/>
      <c r="D734" s="1857"/>
      <c r="E734" s="1857"/>
      <c r="F734" s="1857"/>
      <c r="H734" s="497"/>
      <c r="I734" s="479"/>
      <c r="J734" s="497"/>
      <c r="K734" s="497"/>
    </row>
    <row r="735" spans="1:11">
      <c r="A735" s="479"/>
      <c r="B735" s="479"/>
      <c r="C735" s="479"/>
      <c r="D735" s="1857"/>
      <c r="E735" s="1857"/>
      <c r="F735" s="1857"/>
      <c r="H735" s="497"/>
      <c r="I735" s="479"/>
      <c r="J735" s="497"/>
      <c r="K735" s="497"/>
    </row>
    <row r="736" spans="1:11">
      <c r="A736" s="479"/>
      <c r="B736" s="479"/>
      <c r="C736" s="479"/>
      <c r="D736" s="1857"/>
      <c r="E736" s="1857"/>
      <c r="F736" s="1857"/>
      <c r="H736" s="497"/>
      <c r="I736" s="479"/>
      <c r="J736" s="497"/>
      <c r="K736" s="497"/>
    </row>
    <row r="737" spans="1:11">
      <c r="A737" s="479"/>
      <c r="B737" s="479"/>
      <c r="C737" s="479"/>
      <c r="D737" s="1857"/>
      <c r="E737" s="1857"/>
      <c r="F737" s="1857"/>
      <c r="H737" s="497"/>
      <c r="I737" s="479"/>
      <c r="J737" s="497"/>
      <c r="K737" s="497"/>
    </row>
    <row r="738" spans="1:11">
      <c r="A738" s="479"/>
      <c r="B738" s="479"/>
      <c r="C738" s="479"/>
      <c r="D738" s="441"/>
      <c r="E738" s="441"/>
      <c r="F738" s="441"/>
      <c r="H738" s="497"/>
      <c r="I738" s="479"/>
      <c r="J738" s="497"/>
      <c r="K738" s="497"/>
    </row>
    <row r="739" spans="1:11">
      <c r="A739" s="479"/>
      <c r="B739" s="481" t="s">
        <v>2831</v>
      </c>
      <c r="C739" s="479"/>
      <c r="D739" s="1857" t="s">
        <v>1200</v>
      </c>
      <c r="E739" s="1857"/>
      <c r="F739" s="1857"/>
      <c r="H739" s="497"/>
      <c r="I739" s="479"/>
      <c r="J739" s="497"/>
      <c r="K739" s="497"/>
    </row>
    <row r="740" spans="1:11">
      <c r="A740" s="479"/>
      <c r="B740" s="479"/>
      <c r="C740" s="479"/>
      <c r="D740" s="1857"/>
      <c r="E740" s="1857"/>
      <c r="F740" s="1857"/>
      <c r="H740" s="497"/>
      <c r="I740" s="479"/>
      <c r="J740" s="497"/>
      <c r="K740" s="497"/>
    </row>
    <row r="741" spans="1:11">
      <c r="A741" s="479"/>
      <c r="B741" s="479"/>
      <c r="C741" s="479"/>
      <c r="D741" s="441"/>
      <c r="E741" s="441"/>
      <c r="F741" s="441"/>
      <c r="H741" s="497"/>
      <c r="I741" s="479"/>
      <c r="J741" s="497"/>
      <c r="K741" s="497"/>
    </row>
    <row r="742" spans="1:11" ht="14.4">
      <c r="A742" s="480"/>
      <c r="B742" s="481" t="s">
        <v>2831</v>
      </c>
      <c r="C742" s="479"/>
      <c r="D742" s="1857" t="s">
        <v>1077</v>
      </c>
      <c r="E742" s="1857"/>
      <c r="F742" s="1857"/>
      <c r="H742" s="497"/>
      <c r="I742" s="479"/>
      <c r="J742" s="497"/>
      <c r="K742" s="497"/>
    </row>
    <row r="743" spans="1:11">
      <c r="A743" s="479"/>
      <c r="B743" s="479"/>
      <c r="C743" s="479"/>
      <c r="D743" s="1857"/>
      <c r="E743" s="1857"/>
      <c r="F743" s="1857"/>
      <c r="H743" s="497"/>
      <c r="I743" s="479"/>
      <c r="J743" s="497"/>
      <c r="K743" s="497"/>
    </row>
    <row r="744" spans="1:11">
      <c r="A744" s="479"/>
      <c r="B744" s="479"/>
      <c r="C744" s="479"/>
      <c r="D744" s="1857"/>
      <c r="E744" s="1857"/>
      <c r="F744" s="1857"/>
      <c r="H744" s="497"/>
      <c r="I744" s="479"/>
      <c r="J744" s="497"/>
      <c r="K744" s="497"/>
    </row>
    <row r="745" spans="1:11" ht="15" customHeight="1">
      <c r="A745" s="479"/>
      <c r="B745" s="479"/>
      <c r="C745" s="479"/>
      <c r="D745" s="1857"/>
      <c r="E745" s="1857"/>
      <c r="F745" s="1857"/>
      <c r="H745" s="497"/>
      <c r="I745" s="479"/>
      <c r="J745" s="497"/>
      <c r="K745" s="497"/>
    </row>
    <row r="746" spans="1:11" ht="15" customHeight="1">
      <c r="A746" s="479"/>
      <c r="B746" s="479"/>
      <c r="C746" s="479"/>
      <c r="D746" s="1857"/>
      <c r="E746" s="1857"/>
      <c r="F746" s="1857"/>
      <c r="H746" s="497"/>
      <c r="I746" s="479"/>
      <c r="J746" s="497"/>
      <c r="K746" s="497"/>
    </row>
    <row r="747" spans="1:11">
      <c r="A747" s="479"/>
      <c r="B747" s="479"/>
      <c r="C747" s="479"/>
      <c r="D747" s="1857"/>
      <c r="E747" s="1857"/>
      <c r="F747" s="1857"/>
      <c r="H747" s="497"/>
      <c r="I747" s="479"/>
      <c r="J747" s="497"/>
      <c r="K747" s="497"/>
    </row>
    <row r="748" spans="1:11">
      <c r="A748" s="479"/>
      <c r="B748" s="479"/>
      <c r="C748" s="479"/>
      <c r="D748" s="1857"/>
      <c r="E748" s="1857"/>
      <c r="F748" s="1857"/>
      <c r="H748" s="497"/>
      <c r="I748" s="479"/>
      <c r="J748" s="497"/>
      <c r="K748" s="497"/>
    </row>
    <row r="749" spans="1:11">
      <c r="A749" s="479"/>
      <c r="B749" s="479"/>
      <c r="C749" s="479"/>
      <c r="D749" s="1857"/>
      <c r="E749" s="1857"/>
      <c r="F749" s="1857"/>
      <c r="H749" s="497"/>
      <c r="I749" s="479"/>
      <c r="J749" s="497"/>
      <c r="K749" s="497"/>
    </row>
    <row r="750" spans="1:11" ht="15" customHeight="1">
      <c r="A750" s="479"/>
      <c r="B750" s="479"/>
      <c r="C750" s="479"/>
      <c r="D750" s="1857"/>
      <c r="E750" s="1857"/>
      <c r="F750" s="1857"/>
      <c r="H750" s="497"/>
      <c r="I750" s="479"/>
      <c r="J750" s="497"/>
      <c r="K750" s="497"/>
    </row>
    <row r="751" spans="1:11">
      <c r="A751" s="479"/>
      <c r="B751" s="479"/>
      <c r="C751" s="479"/>
      <c r="D751" s="1857"/>
      <c r="E751" s="1857"/>
      <c r="F751" s="1857"/>
      <c r="H751" s="497"/>
      <c r="I751" s="479"/>
      <c r="J751" s="497"/>
      <c r="K751" s="497"/>
    </row>
    <row r="752" spans="1:11">
      <c r="A752" s="479"/>
      <c r="B752" s="479"/>
      <c r="C752" s="479"/>
      <c r="D752" s="1857"/>
      <c r="E752" s="1857"/>
      <c r="F752" s="1857"/>
      <c r="H752" s="497"/>
      <c r="I752" s="479"/>
      <c r="J752" s="497"/>
      <c r="K752" s="497"/>
    </row>
    <row r="753" spans="1:11">
      <c r="A753" s="479"/>
      <c r="B753" s="479"/>
      <c r="C753" s="479"/>
      <c r="D753" s="1857"/>
      <c r="E753" s="1857"/>
      <c r="F753" s="1857"/>
      <c r="H753" s="497"/>
      <c r="I753" s="479"/>
      <c r="J753" s="497"/>
      <c r="K753" s="497"/>
    </row>
    <row r="754" spans="1:11">
      <c r="A754" s="479"/>
      <c r="B754" s="479"/>
      <c r="C754" s="479"/>
      <c r="D754" s="1857"/>
      <c r="E754" s="1857"/>
      <c r="F754" s="1857"/>
      <c r="H754" s="497"/>
      <c r="I754" s="479"/>
      <c r="J754" s="497"/>
      <c r="K754" s="497"/>
    </row>
    <row r="755" spans="1:11">
      <c r="A755" s="479"/>
      <c r="B755" s="481" t="s">
        <v>2831</v>
      </c>
      <c r="C755" s="479"/>
      <c r="D755" s="1857" t="s">
        <v>2386</v>
      </c>
      <c r="E755" s="1857"/>
      <c r="F755" s="1857"/>
      <c r="H755" s="497"/>
      <c r="I755" s="479"/>
      <c r="J755" s="497"/>
      <c r="K755" s="497"/>
    </row>
    <row r="756" spans="1:11">
      <c r="A756" s="479"/>
      <c r="B756" s="479"/>
      <c r="C756" s="479"/>
      <c r="D756" s="1857"/>
      <c r="E756" s="1857"/>
      <c r="F756" s="1857"/>
      <c r="H756" s="497"/>
      <c r="I756" s="479"/>
      <c r="J756" s="497"/>
      <c r="K756" s="497"/>
    </row>
    <row r="757" spans="1:11">
      <c r="A757" s="479"/>
      <c r="B757" s="479"/>
      <c r="C757" s="479"/>
      <c r="D757" s="1857"/>
      <c r="E757" s="1857"/>
      <c r="F757" s="1857"/>
      <c r="H757" s="497"/>
      <c r="I757" s="479"/>
      <c r="J757" s="497"/>
      <c r="K757" s="497"/>
    </row>
    <row r="758" spans="1:11">
      <c r="A758" s="479"/>
      <c r="B758" s="479"/>
      <c r="C758" s="479"/>
      <c r="D758" s="441"/>
      <c r="E758" s="441"/>
      <c r="F758" s="441"/>
      <c r="H758" s="497"/>
      <c r="I758" s="479"/>
      <c r="J758" s="497"/>
      <c r="K758" s="497"/>
    </row>
    <row r="759" spans="1:11">
      <c r="A759" s="479"/>
      <c r="B759" s="481" t="s">
        <v>2831</v>
      </c>
      <c r="C759" s="479"/>
      <c r="D759" s="1857" t="s">
        <v>2385</v>
      </c>
      <c r="E759" s="1857"/>
      <c r="F759" s="1857"/>
      <c r="H759" s="497"/>
      <c r="I759" s="479"/>
      <c r="J759" s="497"/>
      <c r="K759" s="497"/>
    </row>
    <row r="760" spans="1:11">
      <c r="A760" s="479"/>
      <c r="B760" s="479"/>
      <c r="C760" s="479"/>
      <c r="D760" s="1857"/>
      <c r="E760" s="1857"/>
      <c r="F760" s="1857"/>
      <c r="H760" s="497"/>
      <c r="I760" s="479"/>
      <c r="J760" s="497"/>
      <c r="K760" s="497"/>
    </row>
    <row r="761" spans="1:11">
      <c r="A761" s="479"/>
      <c r="B761" s="479"/>
      <c r="C761" s="479"/>
      <c r="D761" s="1857"/>
      <c r="E761" s="1857"/>
      <c r="F761" s="1857"/>
      <c r="H761" s="497"/>
      <c r="I761" s="479"/>
      <c r="J761" s="497"/>
      <c r="K761" s="497"/>
    </row>
    <row r="762" spans="1:11">
      <c r="A762" s="479"/>
      <c r="B762" s="479"/>
      <c r="C762" s="479"/>
      <c r="H762" s="497"/>
      <c r="I762" s="479"/>
      <c r="J762" s="497"/>
      <c r="K762" s="497"/>
    </row>
    <row r="763" spans="1:11">
      <c r="A763" s="479"/>
      <c r="B763" s="481" t="s">
        <v>2831</v>
      </c>
      <c r="C763" s="479"/>
      <c r="D763" s="1857" t="s">
        <v>2384</v>
      </c>
      <c r="E763" s="1857"/>
      <c r="F763" s="1857"/>
      <c r="H763" s="497"/>
      <c r="I763" s="479"/>
      <c r="J763" s="497"/>
      <c r="K763" s="497"/>
    </row>
    <row r="764" spans="1:11">
      <c r="A764" s="479"/>
      <c r="B764" s="479"/>
      <c r="C764" s="479"/>
      <c r="D764" s="1857"/>
      <c r="E764" s="1857"/>
      <c r="F764" s="1857"/>
      <c r="H764" s="497"/>
      <c r="I764" s="479"/>
      <c r="J764" s="497"/>
      <c r="K764" s="497"/>
    </row>
    <row r="765" spans="1:11">
      <c r="A765" s="479"/>
      <c r="B765" s="479"/>
      <c r="C765" s="479"/>
      <c r="D765" s="1857"/>
      <c r="E765" s="1857"/>
      <c r="F765" s="1857"/>
      <c r="H765" s="497"/>
      <c r="I765" s="479"/>
      <c r="J765" s="497"/>
      <c r="K765" s="497"/>
    </row>
    <row r="766" spans="1:11">
      <c r="A766" s="479"/>
      <c r="B766" s="479"/>
      <c r="C766" s="479"/>
      <c r="D766" s="1857"/>
      <c r="E766" s="1857"/>
      <c r="F766" s="1857"/>
      <c r="H766" s="497"/>
      <c r="I766" s="479"/>
      <c r="J766" s="497"/>
      <c r="K766" s="497"/>
    </row>
    <row r="767" spans="1:11">
      <c r="A767" s="479"/>
      <c r="B767" s="479"/>
      <c r="C767" s="479"/>
      <c r="H767" s="497"/>
      <c r="I767" s="479"/>
      <c r="J767" s="497"/>
      <c r="K767" s="497"/>
    </row>
    <row r="768" spans="1:11" ht="14.4">
      <c r="A768" s="480"/>
      <c r="B768" s="481" t="s">
        <v>2831</v>
      </c>
      <c r="C768" s="479"/>
      <c r="D768" s="1857" t="s">
        <v>1078</v>
      </c>
      <c r="E768" s="1857"/>
      <c r="F768" s="1857"/>
      <c r="H768" s="497"/>
      <c r="I768" s="479"/>
      <c r="J768" s="497"/>
      <c r="K768" s="497"/>
    </row>
    <row r="769" spans="1:11">
      <c r="A769" s="479"/>
      <c r="B769" s="479"/>
      <c r="C769" s="479"/>
      <c r="D769" s="1857"/>
      <c r="E769" s="1857"/>
      <c r="F769" s="1857"/>
      <c r="H769" s="497"/>
      <c r="I769" s="479"/>
      <c r="J769" s="497"/>
      <c r="K769" s="497"/>
    </row>
    <row r="770" spans="1:11">
      <c r="A770" s="479"/>
      <c r="B770" s="479"/>
      <c r="C770" s="479"/>
      <c r="D770" s="1857"/>
      <c r="E770" s="1857"/>
      <c r="F770" s="1857"/>
      <c r="H770" s="497"/>
      <c r="I770" s="479"/>
      <c r="J770" s="497"/>
      <c r="K770" s="497"/>
    </row>
    <row r="771" spans="1:11">
      <c r="A771" s="479"/>
      <c r="B771" s="479"/>
      <c r="C771" s="479"/>
      <c r="D771" s="1857"/>
      <c r="E771" s="1857"/>
      <c r="F771" s="1857"/>
      <c r="H771" s="497"/>
      <c r="I771" s="479"/>
      <c r="J771" s="497"/>
      <c r="K771" s="497"/>
    </row>
    <row r="772" spans="1:11">
      <c r="A772" s="479"/>
      <c r="B772" s="479"/>
      <c r="C772" s="479"/>
      <c r="D772" s="1857"/>
      <c r="E772" s="1857"/>
      <c r="F772" s="1857"/>
      <c r="H772" s="497"/>
      <c r="I772" s="479"/>
      <c r="J772" s="497"/>
      <c r="K772" s="497"/>
    </row>
    <row r="773" spans="1:11">
      <c r="A773" s="479"/>
      <c r="B773" s="479"/>
      <c r="C773" s="479"/>
      <c r="D773" s="488"/>
      <c r="H773" s="497"/>
      <c r="I773" s="479"/>
      <c r="J773" s="497"/>
      <c r="K773" s="497"/>
    </row>
    <row r="774" spans="1:11" ht="14.4">
      <c r="A774" s="480"/>
      <c r="B774" s="481" t="s">
        <v>2831</v>
      </c>
      <c r="C774" s="479"/>
      <c r="D774" s="1857" t="s">
        <v>2094</v>
      </c>
      <c r="E774" s="1857"/>
      <c r="F774" s="1857"/>
      <c r="H774" s="497"/>
      <c r="I774" s="479"/>
      <c r="J774" s="497"/>
      <c r="K774" s="497"/>
    </row>
    <row r="775" spans="1:11">
      <c r="A775" s="479"/>
      <c r="B775" s="479"/>
      <c r="C775" s="479"/>
      <c r="D775" s="1857"/>
      <c r="E775" s="1857"/>
      <c r="F775" s="1857"/>
      <c r="H775" s="497"/>
      <c r="I775" s="479"/>
      <c r="J775" s="497"/>
      <c r="K775" s="497"/>
    </row>
    <row r="776" spans="1:11">
      <c r="A776" s="479"/>
      <c r="B776" s="479"/>
      <c r="C776" s="479"/>
      <c r="D776" s="1857"/>
      <c r="E776" s="1857"/>
      <c r="F776" s="1857"/>
      <c r="H776" s="497"/>
      <c r="I776" s="479"/>
      <c r="J776" s="497"/>
      <c r="K776" s="497"/>
    </row>
    <row r="777" spans="1:11">
      <c r="A777" s="479"/>
      <c r="B777" s="479"/>
      <c r="C777" s="479"/>
      <c r="D777" s="1857"/>
      <c r="E777" s="1857"/>
      <c r="F777" s="1857"/>
      <c r="H777" s="497"/>
      <c r="I777" s="479"/>
      <c r="J777" s="497"/>
      <c r="K777" s="497"/>
    </row>
    <row r="778" spans="1:11">
      <c r="A778" s="479"/>
      <c r="B778" s="479"/>
      <c r="C778" s="479"/>
      <c r="D778" s="1857"/>
      <c r="E778" s="1857"/>
      <c r="F778" s="1857"/>
      <c r="H778" s="497"/>
      <c r="I778" s="479"/>
      <c r="J778" s="497"/>
      <c r="K778" s="497"/>
    </row>
    <row r="779" spans="1:11">
      <c r="A779" s="479"/>
      <c r="B779" s="479"/>
      <c r="C779" s="479"/>
      <c r="D779" s="1857"/>
      <c r="E779" s="1857"/>
      <c r="F779" s="1857"/>
      <c r="H779" s="497"/>
      <c r="I779" s="479"/>
      <c r="J779" s="497"/>
      <c r="K779" s="497"/>
    </row>
    <row r="780" spans="1:11">
      <c r="A780" s="479"/>
      <c r="B780" s="479"/>
      <c r="C780" s="479"/>
      <c r="D780" s="1857"/>
      <c r="E780" s="1857"/>
      <c r="F780" s="1857"/>
      <c r="H780" s="497"/>
      <c r="I780" s="479"/>
      <c r="J780" s="497"/>
      <c r="K780" s="497"/>
    </row>
    <row r="781" spans="1:11">
      <c r="A781" s="479"/>
      <c r="B781" s="479"/>
      <c r="C781" s="479"/>
      <c r="D781" s="1862" t="s">
        <v>2602</v>
      </c>
      <c r="E781" s="1862"/>
      <c r="F781" s="1862"/>
      <c r="H781" s="497"/>
      <c r="I781" s="479"/>
      <c r="J781" s="497"/>
      <c r="K781" s="497"/>
    </row>
    <row r="782" spans="1:11">
      <c r="A782" s="479"/>
      <c r="B782" s="479"/>
      <c r="C782" s="479"/>
      <c r="D782" s="338"/>
      <c r="H782" s="497"/>
      <c r="I782" s="479"/>
      <c r="J782" s="497"/>
      <c r="K782" s="497"/>
    </row>
    <row r="783" spans="1:11">
      <c r="A783" s="1861" t="s">
        <v>1060</v>
      </c>
      <c r="B783" s="1861"/>
      <c r="C783" s="1861"/>
      <c r="D783" s="1861"/>
      <c r="E783" s="1861"/>
      <c r="F783" s="1861"/>
      <c r="G783" s="1861"/>
      <c r="H783" s="1020"/>
      <c r="I783" s="1146"/>
      <c r="J783" s="497"/>
      <c r="K783" s="497"/>
    </row>
    <row r="784" spans="1:11">
      <c r="A784" s="479"/>
      <c r="B784" s="479"/>
      <c r="C784" s="479"/>
      <c r="D784" s="488"/>
      <c r="G784" s="497"/>
      <c r="H784" s="497"/>
      <c r="I784" s="479"/>
      <c r="J784" s="497"/>
      <c r="K784" s="497"/>
    </row>
    <row r="785" spans="1:11" ht="13.65" customHeight="1">
      <c r="C785" s="479"/>
      <c r="D785" s="1876" t="s">
        <v>1070</v>
      </c>
      <c r="E785" s="1876"/>
      <c r="F785" s="1876"/>
      <c r="G785" s="497"/>
      <c r="H785" s="497"/>
      <c r="I785" s="479"/>
      <c r="J785" s="497"/>
      <c r="K785" s="497"/>
    </row>
    <row r="786" spans="1:11">
      <c r="A786" s="479"/>
      <c r="B786" s="479"/>
      <c r="C786" s="479"/>
      <c r="D786" s="1863" t="s">
        <v>1071</v>
      </c>
      <c r="E786" s="1863"/>
      <c r="F786" s="1863"/>
      <c r="G786" s="497"/>
      <c r="H786" s="497"/>
      <c r="I786" s="479"/>
      <c r="J786" s="497"/>
      <c r="K786" s="497"/>
    </row>
    <row r="787" spans="1:11">
      <c r="A787" s="479"/>
      <c r="B787" s="479"/>
      <c r="C787" s="479"/>
      <c r="G787" s="497"/>
      <c r="H787" s="497"/>
      <c r="I787" s="479"/>
      <c r="J787" s="497"/>
      <c r="K787" s="497"/>
    </row>
    <row r="788" spans="1:11" ht="14.4">
      <c r="A788" s="480"/>
      <c r="B788" s="481" t="s">
        <v>2830</v>
      </c>
      <c r="D788" s="1857" t="s">
        <v>1072</v>
      </c>
      <c r="E788" s="1857"/>
      <c r="F788" s="1857"/>
      <c r="G788" s="497"/>
      <c r="H788" s="497"/>
      <c r="I788" s="479"/>
      <c r="J788" s="497"/>
      <c r="K788" s="497"/>
    </row>
    <row r="789" spans="1:11" ht="10.5" customHeight="1">
      <c r="D789" s="1857"/>
      <c r="E789" s="1857"/>
      <c r="F789" s="1857"/>
      <c r="G789" s="497"/>
      <c r="H789" s="497"/>
      <c r="I789" s="479"/>
      <c r="J789" s="497"/>
      <c r="K789" s="497"/>
    </row>
    <row r="790" spans="1:11">
      <c r="D790" s="1857"/>
      <c r="E790" s="1857"/>
      <c r="F790" s="1857"/>
      <c r="G790" s="497"/>
      <c r="H790" s="497"/>
      <c r="I790" s="479"/>
      <c r="J790" s="497"/>
      <c r="K790" s="497"/>
    </row>
    <row r="791" spans="1:11">
      <c r="D791" s="1857"/>
      <c r="E791" s="1857"/>
      <c r="F791" s="1857"/>
      <c r="G791" s="497"/>
      <c r="H791" s="497"/>
      <c r="I791" s="479"/>
      <c r="J791" s="497"/>
      <c r="K791" s="497"/>
    </row>
    <row r="792" spans="1:11">
      <c r="D792" s="1857"/>
      <c r="E792" s="1857"/>
      <c r="F792" s="1857"/>
      <c r="G792" s="497"/>
      <c r="H792" s="497"/>
      <c r="I792" s="479"/>
      <c r="J792" s="497"/>
      <c r="K792" s="497"/>
    </row>
    <row r="793" spans="1:11" ht="15.6" customHeight="1">
      <c r="D793" s="1857"/>
      <c r="E793" s="1857"/>
      <c r="F793" s="1857"/>
      <c r="G793" s="497"/>
      <c r="H793" s="497"/>
      <c r="I793" s="479"/>
      <c r="J793" s="497"/>
      <c r="K793" s="497"/>
    </row>
    <row r="794" spans="1:11">
      <c r="D794" s="495"/>
      <c r="E794" s="442"/>
      <c r="F794" s="442"/>
      <c r="G794" s="497"/>
      <c r="H794" s="497"/>
      <c r="I794" s="479"/>
      <c r="J794" s="497"/>
      <c r="K794" s="497"/>
    </row>
    <row r="795" spans="1:11" s="501" customFormat="1" ht="14.4">
      <c r="A795" s="499"/>
      <c r="B795" s="481" t="s">
        <v>2831</v>
      </c>
      <c r="C795" s="500"/>
      <c r="D795" s="1857" t="s">
        <v>1240</v>
      </c>
      <c r="E795" s="1857"/>
      <c r="F795" s="1857"/>
      <c r="I795" s="1147"/>
    </row>
    <row r="796" spans="1:11" s="501" customFormat="1">
      <c r="A796" s="500"/>
      <c r="B796" s="500"/>
      <c r="C796" s="500"/>
      <c r="D796" s="1857"/>
      <c r="E796" s="1857"/>
      <c r="F796" s="1857"/>
      <c r="I796" s="1147"/>
    </row>
    <row r="797" spans="1:11" s="501" customFormat="1">
      <c r="A797" s="500"/>
      <c r="B797" s="500"/>
      <c r="C797" s="500"/>
      <c r="D797" s="1857"/>
      <c r="E797" s="1857"/>
      <c r="F797" s="1857"/>
      <c r="I797" s="1147"/>
    </row>
    <row r="798" spans="1:11" s="501" customFormat="1">
      <c r="A798" s="500"/>
      <c r="B798" s="500"/>
      <c r="C798" s="500"/>
      <c r="D798" s="1857"/>
      <c r="E798" s="1857"/>
      <c r="F798" s="1857"/>
      <c r="I798" s="1147"/>
    </row>
    <row r="799" spans="1:11" s="501" customFormat="1">
      <c r="A799" s="500"/>
      <c r="B799" s="500"/>
      <c r="C799" s="500"/>
      <c r="D799" s="495"/>
      <c r="I799" s="1147"/>
    </row>
    <row r="800" spans="1:11" s="501" customFormat="1" ht="14.4">
      <c r="A800" s="480"/>
      <c r="B800" s="481" t="s">
        <v>2831</v>
      </c>
      <c r="C800" s="500"/>
      <c r="D800" s="1847" t="s">
        <v>1241</v>
      </c>
      <c r="E800" s="1847"/>
      <c r="F800" s="1847"/>
      <c r="I800" s="1147"/>
    </row>
    <row r="801" spans="1:11" s="501" customFormat="1">
      <c r="A801" s="500"/>
      <c r="B801" s="500"/>
      <c r="C801" s="500"/>
      <c r="D801" s="1847"/>
      <c r="E801" s="1847"/>
      <c r="F801" s="1847"/>
      <c r="I801" s="1147"/>
    </row>
    <row r="802" spans="1:11" s="501" customFormat="1">
      <c r="A802" s="500"/>
      <c r="B802" s="500"/>
      <c r="C802" s="500"/>
      <c r="D802" s="1847"/>
      <c r="E802" s="1847"/>
      <c r="F802" s="1847"/>
      <c r="I802" s="1147"/>
    </row>
    <row r="803" spans="1:11">
      <c r="D803" s="495"/>
      <c r="E803" s="442"/>
      <c r="F803" s="442"/>
      <c r="G803" s="497"/>
      <c r="H803" s="497"/>
      <c r="I803" s="479"/>
      <c r="J803" s="497"/>
      <c r="K803" s="497"/>
    </row>
    <row r="804" spans="1:11" ht="14.4">
      <c r="A804" s="480"/>
      <c r="B804" s="481" t="s">
        <v>2831</v>
      </c>
      <c r="D804" s="1857" t="s">
        <v>1197</v>
      </c>
      <c r="E804" s="1857"/>
      <c r="F804" s="1857"/>
      <c r="G804" s="497"/>
      <c r="H804" s="497"/>
      <c r="I804" s="479"/>
      <c r="J804" s="497"/>
      <c r="K804" s="497"/>
    </row>
    <row r="805" spans="1:11">
      <c r="D805" s="1857"/>
      <c r="E805" s="1857"/>
      <c r="F805" s="1857"/>
      <c r="G805" s="497"/>
      <c r="H805" s="497"/>
      <c r="I805" s="479"/>
      <c r="J805" s="497"/>
      <c r="K805" s="497"/>
    </row>
    <row r="806" spans="1:11">
      <c r="D806" s="441"/>
      <c r="E806" s="441"/>
      <c r="F806" s="441"/>
      <c r="G806" s="497"/>
      <c r="H806" s="497"/>
      <c r="I806" s="479"/>
      <c r="J806" s="497"/>
      <c r="K806" s="497"/>
    </row>
    <row r="807" spans="1:11">
      <c r="B807" s="481" t="s">
        <v>2831</v>
      </c>
      <c r="D807" s="1857" t="s">
        <v>1214</v>
      </c>
      <c r="E807" s="1857"/>
      <c r="F807" s="1857"/>
      <c r="G807" s="497"/>
      <c r="H807" s="497"/>
      <c r="I807" s="479"/>
      <c r="J807" s="497"/>
      <c r="K807" s="497"/>
    </row>
    <row r="808" spans="1:11">
      <c r="D808" s="1857"/>
      <c r="E808" s="1857"/>
      <c r="F808" s="1857"/>
      <c r="G808" s="497"/>
      <c r="H808" s="497"/>
      <c r="I808" s="479"/>
      <c r="J808" s="497"/>
      <c r="K808" s="497"/>
    </row>
    <row r="809" spans="1:11">
      <c r="D809" s="1857"/>
      <c r="E809" s="1857"/>
      <c r="F809" s="1857"/>
      <c r="G809" s="497"/>
      <c r="H809" s="497"/>
      <c r="I809" s="479"/>
      <c r="J809" s="497"/>
      <c r="K809" s="497"/>
    </row>
    <row r="810" spans="1:11">
      <c r="D810" s="441"/>
      <c r="E810" s="441"/>
      <c r="F810" s="441"/>
      <c r="G810" s="497"/>
      <c r="H810" s="497"/>
      <c r="I810" s="479"/>
      <c r="J810" s="497"/>
      <c r="K810" s="497"/>
    </row>
    <row r="811" spans="1:11" hidden="1">
      <c r="A811" s="1875" t="s">
        <v>1788</v>
      </c>
      <c r="B811" s="1875"/>
      <c r="C811" s="1875"/>
      <c r="D811" s="1875"/>
      <c r="E811" s="1875"/>
      <c r="F811" s="1875"/>
      <c r="G811" s="1875"/>
      <c r="H811" s="1018"/>
      <c r="I811" s="1142"/>
    </row>
    <row r="812" spans="1:11" hidden="1">
      <c r="A812" s="57"/>
      <c r="B812" s="57"/>
      <c r="C812" s="350"/>
      <c r="D812" s="3"/>
      <c r="E812" s="3"/>
      <c r="F812" s="3"/>
      <c r="G812" s="3"/>
      <c r="I812" s="486"/>
    </row>
    <row r="813" spans="1:11" hidden="1">
      <c r="A813" s="57"/>
      <c r="B813" s="57"/>
      <c r="C813" s="350"/>
      <c r="D813" s="1874" t="s">
        <v>1824</v>
      </c>
      <c r="E813" s="1874"/>
      <c r="F813" s="1874"/>
      <c r="G813" s="3"/>
      <c r="I813" s="486"/>
    </row>
    <row r="814" spans="1:11" hidden="1">
      <c r="A814" s="57"/>
      <c r="B814" s="57"/>
      <c r="C814" s="350"/>
      <c r="D814" s="1867" t="s">
        <v>1742</v>
      </c>
      <c r="E814" s="1867"/>
      <c r="F814" s="1867"/>
      <c r="G814" s="3"/>
      <c r="I814" s="486"/>
    </row>
    <row r="815" spans="1:11" hidden="1">
      <c r="A815" s="57"/>
      <c r="B815" s="57"/>
      <c r="C815" s="350"/>
      <c r="D815" s="443"/>
      <c r="E815" s="443"/>
      <c r="F815" s="443"/>
      <c r="G815" s="3"/>
      <c r="I815" s="486"/>
    </row>
    <row r="816" spans="1:11" hidden="1">
      <c r="A816" s="57"/>
      <c r="B816" s="481" t="s">
        <v>307</v>
      </c>
      <c r="C816" s="350"/>
      <c r="D816" s="1853" t="s">
        <v>1743</v>
      </c>
      <c r="E816" s="1853"/>
      <c r="F816" s="1853"/>
      <c r="G816" s="3"/>
      <c r="I816" s="479"/>
    </row>
    <row r="817" spans="1:9" hidden="1">
      <c r="A817" s="57"/>
      <c r="B817" s="57"/>
      <c r="C817" s="350"/>
      <c r="D817" s="1853"/>
      <c r="E817" s="1853"/>
      <c r="F817" s="1853"/>
      <c r="G817" s="3"/>
      <c r="I817" s="486"/>
    </row>
    <row r="818" spans="1:9" hidden="1">
      <c r="A818" s="174"/>
      <c r="B818" s="174"/>
      <c r="C818" s="174"/>
      <c r="D818" s="1853"/>
      <c r="E818" s="1853"/>
      <c r="F818" s="1853"/>
      <c r="G818" s="118"/>
      <c r="I818" s="486"/>
    </row>
    <row r="819" spans="1:9" hidden="1">
      <c r="A819" s="350"/>
      <c r="B819" s="350"/>
      <c r="C819" s="350"/>
      <c r="D819" s="173"/>
      <c r="E819" s="3"/>
      <c r="F819" s="3"/>
      <c r="G819" s="3"/>
      <c r="I819" s="486"/>
    </row>
    <row r="820" spans="1:9" hidden="1">
      <c r="A820" s="172"/>
      <c r="B820" s="481" t="s">
        <v>307</v>
      </c>
      <c r="C820" s="172"/>
      <c r="D820" s="1853" t="s">
        <v>1744</v>
      </c>
      <c r="E820" s="1853"/>
      <c r="F820" s="1853"/>
      <c r="G820" s="3"/>
      <c r="I820" s="479"/>
    </row>
    <row r="821" spans="1:9" hidden="1">
      <c r="A821" s="172"/>
      <c r="B821" s="172"/>
      <c r="C821" s="172"/>
      <c r="D821" s="1853"/>
      <c r="E821" s="1853"/>
      <c r="F821" s="1853"/>
      <c r="G821" s="3"/>
      <c r="I821" s="486"/>
    </row>
    <row r="822" spans="1:9" hidden="1">
      <c r="A822" s="172"/>
      <c r="B822" s="172"/>
      <c r="C822" s="172"/>
      <c r="D822" s="1853"/>
      <c r="E822" s="1853"/>
      <c r="F822" s="1853"/>
      <c r="G822" s="3"/>
      <c r="I822" s="486"/>
    </row>
    <row r="823" spans="1:9" hidden="1">
      <c r="A823" s="174"/>
      <c r="B823" s="174"/>
      <c r="C823" s="174"/>
      <c r="D823" s="3"/>
      <c r="E823" s="978"/>
      <c r="F823" s="978"/>
      <c r="G823" s="978"/>
      <c r="I823" s="486"/>
    </row>
    <row r="824" spans="1:9" ht="14.4" hidden="1">
      <c r="A824" s="175"/>
      <c r="B824" s="481" t="s">
        <v>307</v>
      </c>
      <c r="C824" s="979"/>
      <c r="D824" s="1853" t="s">
        <v>1745</v>
      </c>
      <c r="E824" s="1853"/>
      <c r="F824" s="1853"/>
      <c r="G824" s="978"/>
      <c r="I824" s="479"/>
    </row>
    <row r="825" spans="1:9" ht="14.4" hidden="1">
      <c r="A825" s="175"/>
      <c r="B825" s="175"/>
      <c r="C825" s="979"/>
      <c r="D825" s="1853"/>
      <c r="E825" s="1853"/>
      <c r="F825" s="1853"/>
      <c r="G825" s="978"/>
      <c r="I825" s="486"/>
    </row>
    <row r="826" spans="1:9" ht="14.4" hidden="1">
      <c r="A826" s="175"/>
      <c r="B826" s="175"/>
      <c r="C826" s="979"/>
      <c r="D826" s="1853"/>
      <c r="E826" s="1853"/>
      <c r="F826" s="1853"/>
      <c r="G826" s="978"/>
      <c r="I826" s="486"/>
    </row>
    <row r="827" spans="1:9" ht="14.4" hidden="1">
      <c r="A827" s="175"/>
      <c r="B827" s="175"/>
      <c r="C827" s="979"/>
      <c r="D827" s="118"/>
      <c r="E827" s="3"/>
      <c r="F827" s="3"/>
      <c r="G827" s="978"/>
      <c r="I827" s="486"/>
    </row>
    <row r="828" spans="1:9" ht="14.4" hidden="1">
      <c r="A828" s="175"/>
      <c r="B828" s="481" t="s">
        <v>307</v>
      </c>
      <c r="C828" s="979"/>
      <c r="D828" s="1853" t="s">
        <v>1746</v>
      </c>
      <c r="E828" s="1853"/>
      <c r="F828" s="1853"/>
      <c r="G828" s="978"/>
      <c r="I828" s="479"/>
    </row>
    <row r="829" spans="1:9" ht="14.4" hidden="1">
      <c r="A829" s="175"/>
      <c r="B829" s="175"/>
      <c r="C829" s="979"/>
      <c r="D829" s="1853"/>
      <c r="E829" s="1853"/>
      <c r="F829" s="1853"/>
      <c r="G829" s="978"/>
      <c r="I829" s="486"/>
    </row>
    <row r="830" spans="1:9" ht="14.4" hidden="1">
      <c r="A830" s="175"/>
      <c r="B830" s="175"/>
      <c r="C830" s="979"/>
      <c r="D830" s="1853"/>
      <c r="E830" s="1853"/>
      <c r="F830" s="1853"/>
      <c r="G830" s="978"/>
      <c r="I830" s="486"/>
    </row>
    <row r="831" spans="1:9" ht="14.4" hidden="1">
      <c r="A831" s="175"/>
      <c r="B831" s="175"/>
      <c r="C831" s="979"/>
      <c r="D831" s="1853"/>
      <c r="E831" s="1853"/>
      <c r="F831" s="1853"/>
      <c r="G831" s="978"/>
      <c r="I831" s="486"/>
    </row>
    <row r="832" spans="1:9" ht="14.4" hidden="1">
      <c r="A832" s="175"/>
      <c r="B832" s="175"/>
      <c r="C832" s="979"/>
      <c r="D832" s="1853"/>
      <c r="E832" s="1853"/>
      <c r="F832" s="1853"/>
      <c r="G832" s="978"/>
      <c r="I832" s="486"/>
    </row>
    <row r="833" spans="1:9" ht="14.4" hidden="1">
      <c r="A833" s="175"/>
      <c r="B833" s="175"/>
      <c r="C833" s="979"/>
      <c r="D833" s="1853"/>
      <c r="E833" s="1853"/>
      <c r="F833" s="1853"/>
      <c r="G833" s="978"/>
      <c r="I833" s="486"/>
    </row>
    <row r="834" spans="1:9" ht="14.4" hidden="1">
      <c r="A834" s="175"/>
      <c r="B834" s="175"/>
      <c r="C834" s="979"/>
      <c r="D834" s="1853" t="s">
        <v>1789</v>
      </c>
      <c r="E834" s="1853"/>
      <c r="F834" s="1853"/>
      <c r="G834" s="978"/>
      <c r="I834" s="486"/>
    </row>
    <row r="835" spans="1:9" ht="14.4" hidden="1">
      <c r="A835" s="175"/>
      <c r="B835" s="175"/>
      <c r="C835" s="979"/>
      <c r="D835" s="1853"/>
      <c r="E835" s="1853"/>
      <c r="F835" s="1853"/>
      <c r="G835" s="978"/>
      <c r="I835" s="486"/>
    </row>
    <row r="836" spans="1:9" ht="14.4" hidden="1">
      <c r="A836" s="175"/>
      <c r="B836" s="175"/>
      <c r="C836" s="979"/>
      <c r="D836" s="1853"/>
      <c r="E836" s="1853"/>
      <c r="F836" s="1853"/>
      <c r="G836" s="978"/>
      <c r="I836" s="486"/>
    </row>
    <row r="837" spans="1:9" ht="14.4" hidden="1">
      <c r="A837" s="175"/>
      <c r="B837" s="350"/>
      <c r="C837" s="979"/>
      <c r="D837" s="980"/>
      <c r="E837" s="980"/>
      <c r="F837" s="980"/>
      <c r="G837" s="978"/>
      <c r="I837" s="486"/>
    </row>
    <row r="838" spans="1:9" ht="14.4" hidden="1">
      <c r="A838" s="175"/>
      <c r="B838" s="481" t="s">
        <v>307</v>
      </c>
      <c r="C838" s="979"/>
      <c r="D838" s="1853" t="s">
        <v>1747</v>
      </c>
      <c r="E838" s="1853"/>
      <c r="F838" s="1853"/>
      <c r="G838" s="978"/>
      <c r="I838" s="479"/>
    </row>
    <row r="839" spans="1:9" ht="14.4" hidden="1">
      <c r="A839" s="175"/>
      <c r="B839" s="175"/>
      <c r="C839" s="979"/>
      <c r="D839" s="1853"/>
      <c r="E839" s="1853"/>
      <c r="F839" s="1853"/>
      <c r="G839" s="978"/>
      <c r="I839" s="486"/>
    </row>
    <row r="840" spans="1:9" ht="14.4" hidden="1">
      <c r="A840" s="175"/>
      <c r="B840" s="175"/>
      <c r="C840" s="979"/>
      <c r="D840" s="1853"/>
      <c r="E840" s="1853"/>
      <c r="F840" s="1853"/>
      <c r="G840" s="978"/>
      <c r="I840" s="486"/>
    </row>
    <row r="841" spans="1:9" ht="14.4" hidden="1">
      <c r="A841" s="175"/>
      <c r="B841" s="175"/>
      <c r="C841" s="979"/>
      <c r="D841" s="1853"/>
      <c r="E841" s="1853"/>
      <c r="F841" s="1853"/>
      <c r="G841" s="978"/>
      <c r="I841" s="486"/>
    </row>
    <row r="842" spans="1:9" ht="14.4" hidden="1">
      <c r="A842" s="175"/>
      <c r="B842" s="175"/>
      <c r="C842" s="979"/>
      <c r="D842" s="1853"/>
      <c r="E842" s="1853"/>
      <c r="F842" s="1853"/>
      <c r="G842" s="978"/>
      <c r="I842" s="486"/>
    </row>
    <row r="843" spans="1:9" ht="14.4" hidden="1">
      <c r="A843" s="175"/>
      <c r="B843" s="175"/>
      <c r="C843" s="979"/>
      <c r="D843" s="1853"/>
      <c r="E843" s="1853"/>
      <c r="F843" s="1853"/>
      <c r="G843" s="978"/>
      <c r="I843" s="486"/>
    </row>
    <row r="844" spans="1:9" ht="14.4" hidden="1">
      <c r="A844" s="175"/>
      <c r="B844" s="175"/>
      <c r="C844" s="979"/>
      <c r="D844" s="972"/>
      <c r="E844" s="972"/>
      <c r="F844" s="972"/>
      <c r="G844" s="978"/>
      <c r="I844" s="486"/>
    </row>
    <row r="845" spans="1:9" ht="14.4" hidden="1">
      <c r="A845" s="175"/>
      <c r="B845" s="481" t="s">
        <v>307</v>
      </c>
      <c r="C845" s="979"/>
      <c r="D845" s="1853" t="s">
        <v>1748</v>
      </c>
      <c r="E845" s="1853"/>
      <c r="F845" s="1853"/>
      <c r="G845" s="978"/>
      <c r="I845" s="479"/>
    </row>
    <row r="846" spans="1:9" ht="14.4" hidden="1">
      <c r="A846" s="175"/>
      <c r="B846" s="175"/>
      <c r="C846" s="979"/>
      <c r="D846" s="1853"/>
      <c r="E846" s="1853"/>
      <c r="F846" s="1853"/>
      <c r="G846" s="978"/>
      <c r="I846" s="486"/>
    </row>
    <row r="847" spans="1:9" ht="14.4" hidden="1">
      <c r="A847" s="175"/>
      <c r="B847" s="175"/>
      <c r="C847" s="979"/>
      <c r="D847" s="1853"/>
      <c r="E847" s="1853"/>
      <c r="F847" s="1853"/>
      <c r="G847" s="978"/>
      <c r="I847" s="486"/>
    </row>
    <row r="848" spans="1:9" ht="14.4" hidden="1">
      <c r="A848" s="175"/>
      <c r="B848" s="175"/>
      <c r="C848" s="979"/>
      <c r="D848" s="1853"/>
      <c r="E848" s="1853"/>
      <c r="F848" s="1853"/>
      <c r="G848" s="978"/>
      <c r="I848" s="486"/>
    </row>
    <row r="849" spans="1:9" ht="14.4" hidden="1">
      <c r="A849" s="175"/>
      <c r="B849" s="175"/>
      <c r="C849" s="979"/>
      <c r="D849" s="1853"/>
      <c r="E849" s="1853"/>
      <c r="F849" s="1853"/>
      <c r="G849" s="978"/>
      <c r="I849" s="486"/>
    </row>
    <row r="850" spans="1:9" ht="14.4" hidden="1">
      <c r="A850" s="175"/>
      <c r="B850" s="175"/>
      <c r="C850" s="979"/>
      <c r="D850" s="1853"/>
      <c r="E850" s="1853"/>
      <c r="F850" s="1853"/>
      <c r="G850" s="978"/>
      <c r="I850" s="486"/>
    </row>
    <row r="851" spans="1:9" ht="14.4" hidden="1">
      <c r="A851" s="175"/>
      <c r="B851" s="175"/>
      <c r="C851" s="979"/>
      <c r="D851" s="972"/>
      <c r="E851" s="972"/>
      <c r="F851" s="972"/>
      <c r="G851" s="978"/>
      <c r="I851" s="486"/>
    </row>
    <row r="852" spans="1:9" ht="14.4" hidden="1">
      <c r="A852" s="175"/>
      <c r="B852" s="481" t="s">
        <v>307</v>
      </c>
      <c r="C852" s="979"/>
      <c r="D852" s="1842" t="s">
        <v>1749</v>
      </c>
      <c r="E852" s="1842"/>
      <c r="F852" s="1842"/>
      <c r="G852" s="978"/>
      <c r="I852" s="479"/>
    </row>
    <row r="853" spans="1:9" ht="14.4" hidden="1">
      <c r="A853" s="175"/>
      <c r="B853" s="175"/>
      <c r="C853" s="979"/>
      <c r="D853" s="1842"/>
      <c r="E853" s="1842"/>
      <c r="F853" s="1842"/>
      <c r="G853" s="978"/>
      <c r="I853" s="486"/>
    </row>
    <row r="854" spans="1:9" hidden="1">
      <c r="A854" s="13"/>
      <c r="B854" s="13"/>
      <c r="C854" s="979"/>
      <c r="D854" s="1842"/>
      <c r="E854" s="1842"/>
      <c r="F854" s="1842"/>
      <c r="G854" s="978"/>
      <c r="I854" s="486"/>
    </row>
    <row r="855" spans="1:9" ht="14.4"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44" t="s">
        <v>1750</v>
      </c>
      <c r="B859" s="1844"/>
      <c r="C859" s="1844"/>
      <c r="D859" s="1844"/>
      <c r="E859" s="1844"/>
      <c r="F859" s="1844"/>
      <c r="G859" s="1844"/>
      <c r="H859" s="1018"/>
      <c r="I859" s="1142"/>
    </row>
    <row r="860" spans="1:9" ht="12.75" customHeight="1">
      <c r="A860" s="172"/>
      <c r="B860" s="172"/>
      <c r="C860" s="979"/>
      <c r="D860" s="978"/>
      <c r="E860" s="978"/>
      <c r="F860" s="978"/>
      <c r="G860" s="978"/>
      <c r="I860" s="486"/>
    </row>
    <row r="861" spans="1:9" ht="12.75" customHeight="1">
      <c r="A861" s="175"/>
      <c r="B861" s="175"/>
      <c r="C861" s="350"/>
      <c r="D861" s="1865" t="s">
        <v>1790</v>
      </c>
      <c r="E861" s="1865"/>
      <c r="F861" s="1865"/>
      <c r="G861" s="3"/>
      <c r="I861" s="486"/>
    </row>
    <row r="862" spans="1:9" ht="14.25" customHeight="1">
      <c r="A862" s="175"/>
      <c r="B862" s="175"/>
      <c r="C862" s="350"/>
      <c r="D862" s="1460" t="s">
        <v>1751</v>
      </c>
      <c r="E862" s="1460"/>
      <c r="F862" s="1460"/>
      <c r="G862" s="3"/>
      <c r="I862" s="486"/>
    </row>
    <row r="863" spans="1:9" ht="12.75" customHeight="1">
      <c r="A863" s="175"/>
      <c r="B863" s="175"/>
      <c r="C863" s="350"/>
      <c r="D863" s="437"/>
      <c r="E863" s="437"/>
      <c r="F863" s="437"/>
      <c r="G863" s="3"/>
      <c r="I863" s="486"/>
    </row>
    <row r="864" spans="1:9" ht="12.75" customHeight="1">
      <c r="A864" s="350"/>
      <c r="B864" s="481" t="s">
        <v>2830</v>
      </c>
      <c r="C864" s="979"/>
      <c r="D864" s="1460" t="s">
        <v>1752</v>
      </c>
      <c r="E864" s="1460"/>
      <c r="F864" s="1460"/>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6" t="s">
        <v>2026</v>
      </c>
      <c r="E867" s="1866"/>
      <c r="F867" s="1866"/>
      <c r="G867" s="3"/>
      <c r="I867" s="486"/>
    </row>
    <row r="868" spans="1:9" ht="12.75" hidden="1" customHeight="1">
      <c r="A868" s="13"/>
      <c r="B868" s="13"/>
      <c r="C868" s="979"/>
      <c r="D868" s="1866"/>
      <c r="E868" s="1866"/>
      <c r="F868" s="1866"/>
      <c r="G868" s="3"/>
      <c r="I868" s="486"/>
    </row>
    <row r="869" spans="1:9" ht="12.75" hidden="1" customHeight="1">
      <c r="A869" s="13"/>
      <c r="B869" s="13"/>
      <c r="C869" s="979"/>
      <c r="D869" s="1866"/>
      <c r="E869" s="1866"/>
      <c r="F869" s="1866"/>
      <c r="G869" s="3"/>
      <c r="I869" s="486"/>
    </row>
    <row r="870" spans="1:9" ht="12.75" hidden="1" customHeight="1">
      <c r="A870" s="13"/>
      <c r="B870" s="13"/>
      <c r="C870" s="979"/>
      <c r="D870" s="1866"/>
      <c r="E870" s="1866"/>
      <c r="F870" s="1866"/>
      <c r="G870" s="3"/>
      <c r="I870" s="486"/>
    </row>
    <row r="871" spans="1:9" ht="12.75" hidden="1" customHeight="1">
      <c r="A871" s="13"/>
      <c r="B871" s="13"/>
      <c r="C871" s="979"/>
      <c r="D871" s="1866"/>
      <c r="E871" s="1866"/>
      <c r="F871" s="1866"/>
      <c r="G871" s="3"/>
      <c r="I871" s="486"/>
    </row>
    <row r="872" spans="1:9" ht="12.75" hidden="1" customHeight="1">
      <c r="A872" s="13"/>
      <c r="B872" s="13"/>
      <c r="C872" s="979"/>
      <c r="D872" s="1866"/>
      <c r="E872" s="1866"/>
      <c r="F872" s="1866"/>
      <c r="G872" s="3"/>
      <c r="I872" s="486"/>
    </row>
    <row r="873" spans="1:9" ht="12.75" hidden="1" customHeight="1">
      <c r="A873" s="13"/>
      <c r="B873" s="13"/>
      <c r="C873" s="979"/>
      <c r="D873" s="1866"/>
      <c r="E873" s="1866"/>
      <c r="F873" s="1866"/>
      <c r="G873" s="3"/>
      <c r="I873" s="486"/>
    </row>
    <row r="874" spans="1:9" ht="12.75" hidden="1" customHeight="1">
      <c r="A874" s="13"/>
      <c r="B874" s="13"/>
      <c r="C874" s="979"/>
      <c r="D874" s="1866"/>
      <c r="E874" s="1866"/>
      <c r="F874" s="1866"/>
      <c r="G874" s="3"/>
      <c r="I874" s="486"/>
    </row>
    <row r="875" spans="1:9" ht="12.75" hidden="1" customHeight="1">
      <c r="A875" s="13"/>
      <c r="B875" s="13"/>
      <c r="C875" s="979"/>
      <c r="D875" s="1866"/>
      <c r="E875" s="1866"/>
      <c r="F875" s="1866"/>
      <c r="G875" s="3"/>
      <c r="I875" s="486"/>
    </row>
    <row r="876" spans="1:9" ht="12.75" hidden="1" customHeight="1">
      <c r="A876" s="13"/>
      <c r="B876" s="13"/>
      <c r="C876" s="979"/>
      <c r="D876" s="1866"/>
      <c r="E876" s="1866"/>
      <c r="F876" s="1866"/>
      <c r="G876" s="3"/>
      <c r="I876" s="486"/>
    </row>
    <row r="877" spans="1:9" ht="12.75" hidden="1" customHeight="1">
      <c r="A877" s="13"/>
      <c r="B877" s="13"/>
      <c r="C877" s="979"/>
      <c r="D877" s="981"/>
      <c r="E877" s="3"/>
      <c r="F877" s="3"/>
      <c r="G877" s="3"/>
      <c r="I877" s="486"/>
    </row>
    <row r="878" spans="1:9" ht="12.75" customHeight="1">
      <c r="A878" s="175"/>
      <c r="B878" s="481" t="s">
        <v>2830</v>
      </c>
      <c r="C878" s="979"/>
      <c r="D878" s="1460" t="s">
        <v>1753</v>
      </c>
      <c r="E878" s="1460"/>
      <c r="F878" s="1460"/>
      <c r="G878" s="3"/>
      <c r="I878" s="486" t="s">
        <v>1851</v>
      </c>
    </row>
    <row r="879" spans="1:9" ht="12.75" customHeight="1">
      <c r="A879" s="175"/>
      <c r="B879" s="175"/>
      <c r="C879" s="979"/>
      <c r="D879" s="1460"/>
      <c r="E879" s="1460"/>
      <c r="F879" s="1460"/>
      <c r="G879" s="3"/>
      <c r="I879" s="486"/>
    </row>
    <row r="880" spans="1:9" ht="12.75" customHeight="1">
      <c r="A880" s="175"/>
      <c r="B880" s="175"/>
      <c r="C880" s="979"/>
      <c r="D880" s="1460"/>
      <c r="E880" s="1460"/>
      <c r="F880" s="1460"/>
      <c r="G880" s="3"/>
      <c r="I880" s="486"/>
    </row>
    <row r="881" spans="1:9" ht="12.75" customHeight="1">
      <c r="A881" s="175"/>
      <c r="B881" s="175"/>
      <c r="C881" s="979"/>
      <c r="D881" s="118"/>
      <c r="E881" s="3"/>
      <c r="F881" s="3"/>
      <c r="G881" s="3"/>
      <c r="I881" s="486"/>
    </row>
    <row r="882" spans="1:9" ht="12.75" customHeight="1">
      <c r="A882" s="982"/>
      <c r="B882" s="481" t="s">
        <v>2831</v>
      </c>
      <c r="C882" s="979"/>
      <c r="D882" s="1865" t="s">
        <v>1754</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60" t="s">
        <v>2021</v>
      </c>
      <c r="E884" s="1460"/>
      <c r="F884" s="1460"/>
      <c r="G884" s="3"/>
      <c r="I884" s="486"/>
    </row>
    <row r="885" spans="1:9" ht="12.75" customHeight="1">
      <c r="A885" s="175"/>
      <c r="B885" s="175"/>
      <c r="C885" s="979"/>
      <c r="D885" s="1460"/>
      <c r="E885" s="1460"/>
      <c r="F885" s="1460"/>
      <c r="G885" s="3"/>
      <c r="I885" s="486"/>
    </row>
    <row r="886" spans="1:9" ht="12.75" customHeight="1">
      <c r="A886" s="175"/>
      <c r="B886" s="175"/>
      <c r="C886" s="979"/>
      <c r="D886" s="1460"/>
      <c r="E886" s="1460"/>
      <c r="F886" s="1460"/>
      <c r="G886" s="3"/>
      <c r="I886" s="486"/>
    </row>
    <row r="887" spans="1:9" ht="12.75" customHeight="1">
      <c r="A887" s="175"/>
      <c r="B887" s="175"/>
      <c r="C887" s="979"/>
      <c r="D887" s="1460"/>
      <c r="E887" s="1460"/>
      <c r="F887" s="1460"/>
      <c r="G887" s="3"/>
      <c r="I887" s="486"/>
    </row>
    <row r="888" spans="1:9" ht="12.75" customHeight="1">
      <c r="A888" s="175"/>
      <c r="B888" s="175"/>
      <c r="C888" s="979"/>
      <c r="D888" s="1460"/>
      <c r="E888" s="1460"/>
      <c r="F888" s="1460"/>
      <c r="G888" s="3"/>
      <c r="I888" s="486"/>
    </row>
    <row r="889" spans="1:9" ht="12.75" customHeight="1">
      <c r="A889" s="175"/>
      <c r="B889" s="175"/>
      <c r="C889" s="979"/>
      <c r="D889" s="1460"/>
      <c r="E889" s="1460"/>
      <c r="F889" s="1460"/>
      <c r="G889" s="3"/>
      <c r="I889" s="486"/>
    </row>
    <row r="890" spans="1:9" ht="12.75" customHeight="1">
      <c r="A890" s="175"/>
      <c r="B890" s="175"/>
      <c r="C890" s="979"/>
      <c r="D890" s="118"/>
      <c r="E890" s="3"/>
      <c r="F890" s="3"/>
      <c r="G890" s="3"/>
      <c r="I890" s="486"/>
    </row>
    <row r="891" spans="1:9" ht="12.75" customHeight="1">
      <c r="A891" s="175"/>
      <c r="B891" s="481" t="s">
        <v>2831</v>
      </c>
      <c r="C891" s="979"/>
      <c r="D891" s="1460" t="s">
        <v>1755</v>
      </c>
      <c r="E891" s="1460"/>
      <c r="F891" s="1460"/>
      <c r="G891" s="3"/>
      <c r="I891" s="486" t="s">
        <v>1849</v>
      </c>
    </row>
    <row r="892" spans="1:9" ht="12.75" customHeight="1">
      <c r="A892" s="175"/>
      <c r="B892" s="175"/>
      <c r="C892" s="979"/>
      <c r="D892" s="1460" t="s">
        <v>1756</v>
      </c>
      <c r="E892" s="1460"/>
      <c r="F892" s="1460"/>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2831</v>
      </c>
      <c r="C895" s="979"/>
      <c r="D895" s="1460" t="s">
        <v>1757</v>
      </c>
      <c r="E895" s="1460"/>
      <c r="F895" s="1460"/>
      <c r="G895" s="3"/>
      <c r="I895" s="486" t="s">
        <v>1852</v>
      </c>
    </row>
    <row r="896" spans="1:9" ht="12.75" customHeight="1">
      <c r="A896" s="175"/>
      <c r="B896" s="175"/>
      <c r="C896" s="979"/>
      <c r="D896" s="1460"/>
      <c r="E896" s="1460"/>
      <c r="F896" s="1460"/>
      <c r="G896" s="3"/>
      <c r="I896" s="486"/>
    </row>
    <row r="897" spans="1:9" ht="12.75" customHeight="1">
      <c r="A897" s="175"/>
      <c r="B897" s="175"/>
      <c r="C897" s="979"/>
      <c r="D897" s="1460"/>
      <c r="E897" s="1460"/>
      <c r="F897" s="1460"/>
      <c r="G897" s="3"/>
      <c r="I897" s="486"/>
    </row>
    <row r="898" spans="1:9" ht="12.75" customHeight="1">
      <c r="A898" s="175"/>
      <c r="B898" s="175"/>
      <c r="C898" s="979"/>
      <c r="D898" s="1460"/>
      <c r="E898" s="1460"/>
      <c r="F898" s="1460"/>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41" t="s">
        <v>1791</v>
      </c>
      <c r="E902" s="1841"/>
      <c r="F902" s="1841"/>
      <c r="G902" s="978"/>
      <c r="I902" s="486"/>
    </row>
    <row r="903" spans="1:9" ht="12.75" customHeight="1">
      <c r="A903" s="350"/>
      <c r="B903" s="350"/>
      <c r="C903" s="174"/>
      <c r="D903" s="1864" t="s">
        <v>1759</v>
      </c>
      <c r="E903" s="1864"/>
      <c r="F903" s="1864"/>
      <c r="G903" s="978"/>
      <c r="I903" s="486"/>
    </row>
    <row r="904" spans="1:9" ht="12.75" customHeight="1">
      <c r="A904" s="350"/>
      <c r="B904" s="350"/>
      <c r="C904" s="174"/>
      <c r="D904" s="985"/>
      <c r="E904" s="985"/>
      <c r="F904" s="985"/>
      <c r="G904" s="978"/>
      <c r="I904" s="486"/>
    </row>
    <row r="905" spans="1:9" ht="12.75" customHeight="1">
      <c r="A905" s="175"/>
      <c r="B905" s="481" t="s">
        <v>2830</v>
      </c>
      <c r="C905" s="350"/>
      <c r="D905" s="1838" t="s">
        <v>1760</v>
      </c>
      <c r="E905" s="1838"/>
      <c r="F905" s="1838"/>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2830</v>
      </c>
      <c r="C908" s="350"/>
      <c r="D908" s="1460" t="s">
        <v>1761</v>
      </c>
      <c r="E908" s="1871"/>
      <c r="F908" s="1871"/>
      <c r="G908" s="3"/>
      <c r="I908" s="486" t="s">
        <v>1852</v>
      </c>
    </row>
    <row r="909" spans="1:9" ht="12.75" customHeight="1">
      <c r="A909" s="350"/>
      <c r="B909" s="350"/>
      <c r="C909" s="350"/>
      <c r="D909" s="1871"/>
      <c r="E909" s="1871"/>
      <c r="F909" s="1871"/>
      <c r="G909" s="3"/>
      <c r="I909" s="486"/>
    </row>
    <row r="910" spans="1:9" ht="12.75" customHeight="1">
      <c r="A910" s="350"/>
      <c r="B910" s="350"/>
      <c r="C910" s="350"/>
      <c r="D910" s="118"/>
      <c r="E910" s="3"/>
      <c r="F910" s="3"/>
      <c r="G910" s="3"/>
      <c r="I910" s="486"/>
    </row>
    <row r="911" spans="1:9" ht="12.75" customHeight="1">
      <c r="A911" s="350"/>
      <c r="B911" s="481" t="s">
        <v>2831</v>
      </c>
      <c r="C911" s="350"/>
      <c r="D911" s="1872" t="s">
        <v>1762</v>
      </c>
      <c r="E911" s="1872"/>
      <c r="F911" s="1872"/>
      <c r="G911" s="978"/>
      <c r="I911" s="486"/>
    </row>
    <row r="912" spans="1:9" ht="12.75" customHeight="1">
      <c r="A912" s="350"/>
      <c r="B912" s="986"/>
      <c r="C912" s="350"/>
      <c r="D912" s="1872"/>
      <c r="E912" s="1872"/>
      <c r="F912" s="1872"/>
      <c r="G912" s="978"/>
      <c r="I912" s="486"/>
    </row>
    <row r="913" spans="1:9" ht="12.75" customHeight="1">
      <c r="A913" s="175"/>
      <c r="B913"/>
      <c r="C913" s="350"/>
      <c r="D913" s="1460" t="s">
        <v>2021</v>
      </c>
      <c r="E913" s="1460"/>
      <c r="F913" s="1460"/>
      <c r="G913" s="978"/>
      <c r="I913" s="486"/>
    </row>
    <row r="914" spans="1:9" ht="12.75" customHeight="1">
      <c r="A914" s="175"/>
      <c r="B914" s="175"/>
      <c r="C914" s="350"/>
      <c r="D914" s="1460"/>
      <c r="E914" s="1460"/>
      <c r="F914" s="1460"/>
      <c r="G914" s="978"/>
      <c r="I914" s="486"/>
    </row>
    <row r="915" spans="1:9" ht="12.75" customHeight="1">
      <c r="A915" s="175"/>
      <c r="B915" s="175"/>
      <c r="C915" s="350"/>
      <c r="D915" s="1460"/>
      <c r="E915" s="1460"/>
      <c r="F915" s="1460"/>
      <c r="G915" s="978"/>
      <c r="I915" s="486"/>
    </row>
    <row r="916" spans="1:9" ht="12.75" customHeight="1">
      <c r="A916" s="175"/>
      <c r="B916" s="175"/>
      <c r="C916" s="350"/>
      <c r="D916" s="1460"/>
      <c r="E916" s="1460"/>
      <c r="F916" s="1460"/>
      <c r="G916" s="978"/>
      <c r="I916" s="486"/>
    </row>
    <row r="917" spans="1:9" ht="12.75" customHeight="1">
      <c r="A917" s="175"/>
      <c r="B917" s="175"/>
      <c r="C917" s="350"/>
      <c r="D917" s="1460"/>
      <c r="E917" s="1460"/>
      <c r="F917" s="1460"/>
      <c r="G917" s="978"/>
      <c r="I917" s="486"/>
    </row>
    <row r="918" spans="1:9" ht="12.75" customHeight="1">
      <c r="A918" s="175"/>
      <c r="B918" s="175"/>
      <c r="C918" s="350"/>
      <c r="D918" s="1460"/>
      <c r="E918" s="1460"/>
      <c r="F918" s="1460"/>
      <c r="G918" s="978"/>
      <c r="I918" s="486"/>
    </row>
    <row r="919" spans="1:9" ht="12.75" customHeight="1">
      <c r="A919" s="175"/>
      <c r="B919" s="175"/>
      <c r="C919" s="350"/>
      <c r="D919" s="118"/>
      <c r="E919" s="978"/>
      <c r="F919" s="978"/>
      <c r="G919" s="978"/>
      <c r="I919" s="486"/>
    </row>
    <row r="920" spans="1:9" ht="12.75" customHeight="1">
      <c r="A920" s="175"/>
      <c r="B920" s="481" t="s">
        <v>2831</v>
      </c>
      <c r="C920" s="350"/>
      <c r="D920" s="1840" t="s">
        <v>1755</v>
      </c>
      <c r="E920" s="1840"/>
      <c r="F920" s="1840"/>
      <c r="G920" s="978"/>
      <c r="I920" s="486"/>
    </row>
    <row r="921" spans="1:9" ht="12.75" customHeight="1">
      <c r="A921" s="175"/>
      <c r="B921" s="175"/>
      <c r="C921" s="350"/>
      <c r="D921" s="1840" t="s">
        <v>1756</v>
      </c>
      <c r="E921" s="1840"/>
      <c r="F921" s="1840"/>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2831</v>
      </c>
      <c r="C924" s="350"/>
      <c r="D924" s="1460" t="s">
        <v>1757</v>
      </c>
      <c r="E924" s="1460"/>
      <c r="F924" s="1460"/>
      <c r="G924" s="978"/>
      <c r="I924" s="486"/>
    </row>
    <row r="925" spans="1:9" ht="12.75" customHeight="1">
      <c r="A925" s="175"/>
      <c r="B925" s="175"/>
      <c r="C925" s="350"/>
      <c r="D925" s="1460"/>
      <c r="E925" s="1460"/>
      <c r="F925" s="1460"/>
      <c r="G925" s="978"/>
      <c r="I925" s="486"/>
    </row>
    <row r="926" spans="1:9" ht="12.75" customHeight="1">
      <c r="A926" s="175"/>
      <c r="B926" s="175"/>
      <c r="C926" s="350"/>
      <c r="D926" s="1460"/>
      <c r="E926" s="1460"/>
      <c r="F926" s="1460"/>
      <c r="G926" s="978"/>
      <c r="I926" s="486"/>
    </row>
    <row r="927" spans="1:9" ht="12.75" customHeight="1">
      <c r="A927" s="175"/>
      <c r="B927" s="175"/>
      <c r="C927" s="350"/>
      <c r="D927" s="1460"/>
      <c r="E927" s="1460"/>
      <c r="F927" s="1460"/>
      <c r="G927" s="978"/>
      <c r="I927" s="486"/>
    </row>
    <row r="928" spans="1:9" ht="12.75" customHeight="1">
      <c r="A928" s="118"/>
      <c r="B928" s="118"/>
      <c r="C928" s="979"/>
      <c r="D928" s="978"/>
      <c r="E928" s="978"/>
      <c r="F928" s="978"/>
      <c r="G928" s="978"/>
      <c r="I928" s="486"/>
    </row>
    <row r="929" spans="1:9" ht="12.75" customHeight="1">
      <c r="A929" s="1844" t="s">
        <v>2645</v>
      </c>
      <c r="B929" s="1844"/>
      <c r="C929" s="1844"/>
      <c r="D929" s="1844"/>
      <c r="E929" s="1844"/>
      <c r="F929" s="1844"/>
      <c r="G929" s="1844"/>
      <c r="H929" s="1018"/>
      <c r="I929" s="1142"/>
    </row>
    <row r="930" spans="1:9" ht="12.75" customHeight="1">
      <c r="A930" s="57"/>
      <c r="B930" s="57"/>
      <c r="C930" s="57"/>
      <c r="D930" s="57"/>
      <c r="E930" s="57"/>
      <c r="F930" s="57"/>
      <c r="G930" s="57"/>
      <c r="I930" s="486"/>
    </row>
    <row r="931" spans="1:9" ht="12.75" customHeight="1">
      <c r="A931" s="57"/>
      <c r="B931" s="57"/>
      <c r="C931" s="57"/>
      <c r="D931" s="1845" t="s">
        <v>2644</v>
      </c>
      <c r="E931" s="1845"/>
      <c r="F931" s="1845"/>
      <c r="G931" s="57"/>
      <c r="I931" s="486"/>
    </row>
    <row r="932" spans="1:9" ht="12.75" customHeight="1">
      <c r="A932" s="57"/>
      <c r="B932" s="57"/>
      <c r="C932" s="57"/>
      <c r="D932" s="971"/>
      <c r="E932" s="971"/>
      <c r="F932" s="971"/>
      <c r="G932" s="57"/>
      <c r="I932" s="486"/>
    </row>
    <row r="933" spans="1:9" ht="12.75" customHeight="1">
      <c r="A933" s="57"/>
      <c r="B933" s="481" t="s">
        <v>2831</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5" t="s">
        <v>1792</v>
      </c>
      <c r="E935" s="1845"/>
      <c r="F935" s="1845"/>
      <c r="G935" s="978"/>
      <c r="I935" s="486"/>
    </row>
    <row r="936" spans="1:9" ht="12.75" customHeight="1">
      <c r="A936" s="172"/>
      <c r="B936" s="172"/>
      <c r="C936" s="172"/>
      <c r="D936" s="1838" t="s">
        <v>1763</v>
      </c>
      <c r="E936" s="1838"/>
      <c r="F936" s="1838"/>
      <c r="G936" s="978"/>
      <c r="I936" s="486"/>
    </row>
    <row r="937" spans="1:9" ht="12.75" customHeight="1">
      <c r="A937" s="979"/>
      <c r="B937" s="979"/>
      <c r="C937" s="979"/>
      <c r="D937" s="2"/>
      <c r="E937" s="978"/>
      <c r="F937" s="978"/>
      <c r="G937" s="978"/>
      <c r="I937" s="486"/>
    </row>
    <row r="938" spans="1:9" ht="12.75" customHeight="1">
      <c r="A938" s="175"/>
      <c r="B938" s="481" t="s">
        <v>2830</v>
      </c>
      <c r="C938" s="350"/>
      <c r="D938" s="1460" t="s">
        <v>1767</v>
      </c>
      <c r="E938" s="1460"/>
      <c r="F938" s="1460"/>
      <c r="G938" s="3"/>
      <c r="I938" s="486"/>
    </row>
    <row r="939" spans="1:9" ht="12.75" customHeight="1">
      <c r="A939" s="350"/>
      <c r="B939" s="350"/>
      <c r="C939" s="350"/>
      <c r="D939" s="1460"/>
      <c r="E939" s="1460"/>
      <c r="F939" s="1460"/>
      <c r="G939" s="3"/>
      <c r="I939" s="486"/>
    </row>
    <row r="940" spans="1:9" ht="12.75" customHeight="1">
      <c r="A940" s="172"/>
      <c r="B940" s="172"/>
      <c r="C940" s="172"/>
      <c r="D940" s="1460" t="s">
        <v>1766</v>
      </c>
      <c r="E940" s="1460"/>
      <c r="F940" s="1460"/>
      <c r="G940" s="978"/>
      <c r="I940" s="486"/>
    </row>
    <row r="941" spans="1:9" ht="12.75" customHeight="1">
      <c r="A941" s="172"/>
      <c r="B941" s="172"/>
      <c r="C941" s="172"/>
      <c r="D941" s="1460"/>
      <c r="E941" s="1460"/>
      <c r="F941" s="1460"/>
      <c r="G941" s="978"/>
      <c r="I941" s="486"/>
    </row>
    <row r="942" spans="1:9" ht="12.75" customHeight="1">
      <c r="A942" s="172"/>
      <c r="B942" s="172"/>
      <c r="C942" s="172"/>
      <c r="D942" s="3"/>
      <c r="E942" s="3"/>
      <c r="F942" s="978"/>
      <c r="G942" s="978"/>
      <c r="I942" s="486"/>
    </row>
    <row r="943" spans="1:9" ht="12.75" customHeight="1">
      <c r="A943" s="175"/>
      <c r="B943" s="481" t="s">
        <v>2830</v>
      </c>
      <c r="C943" s="174"/>
      <c r="D943" s="1830" t="s">
        <v>1764</v>
      </c>
      <c r="E943" s="1830"/>
      <c r="F943" s="1830"/>
      <c r="G943" s="978"/>
      <c r="I943" s="486"/>
    </row>
    <row r="944" spans="1:9" ht="12.75" customHeight="1">
      <c r="A944" s="175"/>
      <c r="B944" s="175"/>
      <c r="C944" s="174"/>
      <c r="D944" s="1830"/>
      <c r="E944" s="1830"/>
      <c r="F944" s="1830"/>
      <c r="G944" s="978"/>
      <c r="I944" s="486"/>
    </row>
    <row r="945" spans="1:9" ht="12.75" customHeight="1">
      <c r="A945" s="175"/>
      <c r="B945" s="175"/>
      <c r="C945" s="174"/>
      <c r="D945" s="1830"/>
      <c r="E945" s="1830"/>
      <c r="F945" s="1830"/>
      <c r="G945" s="978"/>
      <c r="I945" s="486"/>
    </row>
    <row r="946" spans="1:9" ht="12.75" customHeight="1">
      <c r="A946" s="175"/>
      <c r="B946" s="175"/>
      <c r="C946" s="174"/>
      <c r="D946" s="1830"/>
      <c r="E946" s="1830"/>
      <c r="F946" s="1830"/>
      <c r="G946" s="978"/>
      <c r="I946" s="486"/>
    </row>
    <row r="947" spans="1:9" ht="12.75" customHeight="1">
      <c r="A947" s="175"/>
      <c r="B947" s="175"/>
      <c r="C947" s="174"/>
      <c r="D947" s="1830"/>
      <c r="E947" s="1830"/>
      <c r="F947" s="1830"/>
      <c r="G947" s="978"/>
      <c r="I947" s="486"/>
    </row>
    <row r="948" spans="1:9" ht="12.75" customHeight="1">
      <c r="A948" s="174"/>
      <c r="B948" s="174"/>
      <c r="C948" s="174"/>
      <c r="D948" s="1830"/>
      <c r="E948" s="1830"/>
      <c r="F948" s="1830"/>
      <c r="G948" s="978"/>
      <c r="I948" s="486"/>
    </row>
    <row r="949" spans="1:9" ht="12.75" customHeight="1">
      <c r="A949" s="174"/>
      <c r="B949" s="174"/>
      <c r="C949" s="174"/>
      <c r="D949" s="1830"/>
      <c r="E949" s="1830"/>
      <c r="F949" s="1830"/>
      <c r="G949" s="978"/>
      <c r="I949" s="486"/>
    </row>
    <row r="950" spans="1:9" ht="12.75" customHeight="1">
      <c r="A950" s="174"/>
      <c r="B950" s="174"/>
      <c r="C950" s="174"/>
      <c r="D950" s="1830"/>
      <c r="E950" s="1830"/>
      <c r="F950" s="1830"/>
      <c r="G950" s="978"/>
      <c r="I950" s="486"/>
    </row>
    <row r="951" spans="1:9" ht="12.75" customHeight="1">
      <c r="A951" s="174"/>
      <c r="B951" s="174"/>
      <c r="C951" s="174"/>
      <c r="D951" s="332"/>
      <c r="E951" s="332"/>
      <c r="F951" s="332"/>
      <c r="G951" s="978"/>
      <c r="I951" s="486"/>
    </row>
    <row r="952" spans="1:9" ht="12.75" customHeight="1">
      <c r="A952" s="979"/>
      <c r="B952" s="481" t="s">
        <v>2831</v>
      </c>
      <c r="C952" s="979"/>
      <c r="D952" s="1460" t="s">
        <v>1768</v>
      </c>
      <c r="E952" s="1460"/>
      <c r="F952" s="1460"/>
      <c r="G952" s="978"/>
      <c r="I952" s="486"/>
    </row>
    <row r="953" spans="1:9" ht="12.75" customHeight="1">
      <c r="A953" s="979"/>
      <c r="B953" s="979"/>
      <c r="C953" s="979"/>
      <c r="D953" s="1460"/>
      <c r="E953" s="1460"/>
      <c r="F953" s="1460"/>
      <c r="G953" s="978"/>
      <c r="I953" s="486"/>
    </row>
    <row r="954" spans="1:9" ht="12.75" customHeight="1">
      <c r="A954" s="979"/>
      <c r="B954" s="979"/>
      <c r="C954" s="979"/>
      <c r="D954" s="978"/>
      <c r="E954" s="978"/>
      <c r="F954" s="978"/>
      <c r="G954" s="978"/>
      <c r="I954" s="486"/>
    </row>
    <row r="955" spans="1:9" ht="12.75" customHeight="1">
      <c r="A955" s="979"/>
      <c r="B955" s="481" t="s">
        <v>2831</v>
      </c>
      <c r="C955" s="979"/>
      <c r="D955" s="1842" t="s">
        <v>1769</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2831</v>
      </c>
      <c r="C960" s="979"/>
      <c r="D960" s="1838" t="s">
        <v>2022</v>
      </c>
      <c r="E960" s="1838"/>
      <c r="F960" s="1838"/>
      <c r="G960" s="978"/>
      <c r="I960" s="486"/>
    </row>
    <row r="961" spans="1:9" ht="12.75" customHeight="1">
      <c r="A961" s="979"/>
      <c r="B961" s="979"/>
      <c r="C961" s="979"/>
      <c r="D961" s="118"/>
      <c r="E961" s="978"/>
      <c r="F961" s="978"/>
      <c r="G961" s="978"/>
      <c r="I961" s="486"/>
    </row>
    <row r="962" spans="1:9" ht="12.75" customHeight="1">
      <c r="A962" s="979"/>
      <c r="B962" s="481" t="s">
        <v>2831</v>
      </c>
      <c r="C962" s="979"/>
      <c r="D962" s="1838" t="s">
        <v>2023</v>
      </c>
      <c r="E962" s="1838"/>
      <c r="F962" s="1838"/>
      <c r="G962" s="978"/>
      <c r="I962" s="486"/>
    </row>
    <row r="963" spans="1:9" ht="12.75" customHeight="1">
      <c r="A963" s="174"/>
      <c r="B963" s="174"/>
      <c r="C963" s="174"/>
      <c r="D963" s="2"/>
      <c r="E963" s="3"/>
      <c r="F963" s="978"/>
      <c r="G963" s="978"/>
      <c r="I963" s="486"/>
    </row>
    <row r="964" spans="1:9" customFormat="1">
      <c r="A964" s="979"/>
      <c r="B964" s="350"/>
      <c r="C964" s="979"/>
      <c r="D964" s="1841" t="s">
        <v>2647</v>
      </c>
      <c r="E964" s="1841"/>
      <c r="F964" s="1841"/>
      <c r="G964" s="978"/>
      <c r="H964" s="1264"/>
      <c r="I964" s="1264"/>
    </row>
    <row r="965" spans="1:9" customFormat="1">
      <c r="A965" s="979"/>
      <c r="B965" s="350"/>
      <c r="C965" s="979"/>
      <c r="D965" s="173"/>
      <c r="E965" s="978"/>
      <c r="F965" s="978"/>
      <c r="G965" s="978"/>
      <c r="H965" s="1264"/>
      <c r="I965" s="1264"/>
    </row>
    <row r="966" spans="1:9" customFormat="1" ht="14.4">
      <c r="A966" s="175"/>
      <c r="B966" s="481" t="s">
        <v>2830</v>
      </c>
      <c r="C966" s="979"/>
      <c r="D966" s="1460" t="s">
        <v>2650</v>
      </c>
      <c r="E966" s="1460"/>
      <c r="F966" s="1460"/>
      <c r="G966" s="978"/>
      <c r="H966" s="1264"/>
      <c r="I966" s="1264"/>
    </row>
    <row r="967" spans="1:9" customFormat="1">
      <c r="A967" s="979"/>
      <c r="B967" s="979"/>
      <c r="C967" s="979"/>
      <c r="D967" s="1460"/>
      <c r="E967" s="1460"/>
      <c r="F967" s="1460"/>
      <c r="G967" s="978"/>
      <c r="H967" s="1264"/>
      <c r="I967" s="1264"/>
    </row>
    <row r="968" spans="1:9" customFormat="1">
      <c r="A968" s="979"/>
      <c r="B968" s="979"/>
      <c r="C968" s="979"/>
      <c r="D968" s="1460"/>
      <c r="E968" s="1460"/>
      <c r="F968" s="1460"/>
      <c r="G968" s="978"/>
      <c r="H968" s="1264"/>
      <c r="I968" s="1264"/>
    </row>
    <row r="969" spans="1:9" customFormat="1">
      <c r="A969" s="979"/>
      <c r="B969" s="979"/>
      <c r="C969" s="979"/>
      <c r="D969" s="1460"/>
      <c r="E969" s="1460"/>
      <c r="F969" s="1460"/>
      <c r="G969" s="978"/>
      <c r="H969" s="1264"/>
      <c r="I969" s="1264"/>
    </row>
    <row r="970" spans="1:9" customFormat="1">
      <c r="A970" s="979"/>
      <c r="B970" s="979"/>
      <c r="C970" s="979"/>
      <c r="D970" s="1460"/>
      <c r="E970" s="1460"/>
      <c r="F970" s="1460"/>
      <c r="G970" s="978"/>
      <c r="H970" s="1264"/>
      <c r="I970" s="1264"/>
    </row>
    <row r="971" spans="1:9" customFormat="1">
      <c r="A971" s="979"/>
      <c r="B971" s="979"/>
      <c r="C971" s="979"/>
      <c r="D971" s="1460"/>
      <c r="E971" s="1460"/>
      <c r="F971" s="1460"/>
      <c r="G971" s="978"/>
      <c r="H971" s="1264"/>
      <c r="I971" s="1264"/>
    </row>
    <row r="972" spans="1:9" customFormat="1">
      <c r="A972" s="979"/>
      <c r="B972" s="979"/>
      <c r="C972" s="979"/>
      <c r="D972" s="1460"/>
      <c r="E972" s="1460"/>
      <c r="F972" s="1460"/>
      <c r="G972" s="978"/>
      <c r="H972" s="1264"/>
      <c r="I972" s="1264"/>
    </row>
    <row r="973" spans="1:9" customFormat="1">
      <c r="A973" s="979"/>
      <c r="B973" s="979"/>
      <c r="C973" s="979"/>
      <c r="D973" s="3"/>
      <c r="E973" s="3"/>
      <c r="F973" s="3"/>
      <c r="G973" s="978"/>
      <c r="H973" s="1264"/>
      <c r="I973" s="1264"/>
    </row>
    <row r="974" spans="1:9" ht="12.75" customHeight="1">
      <c r="A974" s="987"/>
      <c r="B974" s="481" t="s">
        <v>2830</v>
      </c>
      <c r="C974" s="988"/>
      <c r="D974" s="1830" t="s">
        <v>1765</v>
      </c>
      <c r="E974" s="1830"/>
      <c r="F974" s="1830"/>
      <c r="G974" s="989"/>
      <c r="I974" s="486"/>
    </row>
    <row r="975" spans="1:9" ht="12.75" customHeight="1">
      <c r="A975" s="987"/>
      <c r="B975" s="987"/>
      <c r="C975" s="988"/>
      <c r="D975" s="1830"/>
      <c r="E975" s="1830"/>
      <c r="F975" s="1830"/>
      <c r="G975" s="989"/>
      <c r="I975" s="486"/>
    </row>
    <row r="976" spans="1:9" ht="12.75" customHeight="1">
      <c r="A976" s="987"/>
      <c r="B976" s="987"/>
      <c r="C976" s="988"/>
      <c r="D976" s="1830"/>
      <c r="E976" s="1830"/>
      <c r="F976" s="1830"/>
      <c r="G976" s="989"/>
      <c r="I976" s="486"/>
    </row>
    <row r="977" spans="1:9" ht="12.75" customHeight="1">
      <c r="A977" s="987"/>
      <c r="B977" s="987"/>
      <c r="C977" s="988"/>
      <c r="D977" s="1830"/>
      <c r="E977" s="1830"/>
      <c r="F977" s="1830"/>
      <c r="G977" s="989"/>
      <c r="I977" s="486"/>
    </row>
    <row r="978" spans="1:9" ht="12.75" customHeight="1">
      <c r="A978" s="987"/>
      <c r="B978" s="987"/>
      <c r="C978" s="988"/>
      <c r="D978" s="1830"/>
      <c r="E978" s="1830"/>
      <c r="F978" s="1830"/>
      <c r="G978" s="989"/>
      <c r="I978" s="486"/>
    </row>
    <row r="979" spans="1:9" ht="12.75" customHeight="1">
      <c r="A979" s="987"/>
      <c r="B979" s="987"/>
      <c r="C979" s="988"/>
      <c r="D979" s="1830"/>
      <c r="E979" s="1830"/>
      <c r="F979" s="1830"/>
      <c r="G979" s="989"/>
      <c r="I979" s="486"/>
    </row>
    <row r="980" spans="1:9" ht="12.75" customHeight="1">
      <c r="A980" s="987"/>
      <c r="B980" s="987"/>
      <c r="C980" s="988"/>
      <c r="D980" s="1830"/>
      <c r="E980" s="1830"/>
      <c r="F980" s="1830"/>
      <c r="G980" s="989"/>
      <c r="I980" s="486"/>
    </row>
    <row r="981" spans="1:9" ht="12.75" customHeight="1">
      <c r="A981" s="987"/>
      <c r="B981" s="987"/>
      <c r="C981" s="988"/>
      <c r="D981" s="1830"/>
      <c r="E981" s="1830"/>
      <c r="F981" s="1830"/>
      <c r="G981" s="989"/>
      <c r="I981" s="486"/>
    </row>
    <row r="982" spans="1:9" ht="12.75" customHeight="1">
      <c r="A982" s="987"/>
      <c r="B982" s="987"/>
      <c r="C982" s="988"/>
      <c r="D982" s="1830"/>
      <c r="E982" s="1830"/>
      <c r="F982" s="1830"/>
      <c r="G982" s="989"/>
      <c r="I982" s="486"/>
    </row>
    <row r="983" spans="1:9" ht="12.75" customHeight="1">
      <c r="A983" s="174"/>
      <c r="B983" s="174"/>
      <c r="C983" s="174"/>
      <c r="D983" s="2"/>
      <c r="E983" s="3"/>
      <c r="F983" s="978"/>
      <c r="G983" s="978"/>
      <c r="I983" s="486"/>
    </row>
    <row r="984" spans="1:9" customFormat="1">
      <c r="A984" s="979"/>
      <c r="B984" s="481" t="s">
        <v>2831</v>
      </c>
      <c r="C984" s="979"/>
      <c r="D984" s="1842" t="s">
        <v>2651</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ht="14.4">
      <c r="A988" s="175"/>
      <c r="B988" s="481" t="s">
        <v>2831</v>
      </c>
      <c r="C988" s="492"/>
      <c r="D988" s="1843" t="s">
        <v>2652</v>
      </c>
      <c r="E988" s="1843"/>
      <c r="F988" s="1843"/>
      <c r="G988" s="1265"/>
    </row>
    <row r="989" spans="1:9" customFormat="1">
      <c r="A989" s="492"/>
      <c r="B989" s="492"/>
      <c r="C989" s="492"/>
      <c r="D989" s="1843"/>
      <c r="E989" s="1843"/>
      <c r="F989" s="1843"/>
      <c r="G989" s="1265"/>
    </row>
    <row r="990" spans="1:9" customFormat="1">
      <c r="A990" s="492"/>
      <c r="B990" s="492"/>
      <c r="C990" s="492"/>
      <c r="D990" s="1843"/>
      <c r="E990" s="1843"/>
      <c r="F990" s="1843"/>
      <c r="G990" s="1265"/>
    </row>
    <row r="991" spans="1:9" customFormat="1">
      <c r="A991" s="492"/>
      <c r="B991" s="492"/>
      <c r="C991" s="492"/>
      <c r="D991" s="1843"/>
      <c r="E991" s="1843"/>
      <c r="F991" s="1843"/>
      <c r="G991" s="1265"/>
    </row>
    <row r="992" spans="1:9" customFormat="1">
      <c r="A992" s="492"/>
      <c r="B992" s="492"/>
      <c r="C992" s="492"/>
      <c r="D992" s="1260"/>
      <c r="E992" s="1260"/>
      <c r="F992" s="1260"/>
      <c r="G992" s="1265"/>
    </row>
    <row r="993" spans="1:9" customFormat="1">
      <c r="A993" s="979"/>
      <c r="B993" s="979"/>
      <c r="C993" s="979"/>
      <c r="D993" s="1841" t="s">
        <v>2648</v>
      </c>
      <c r="E993" s="1841"/>
      <c r="F993" s="1841"/>
      <c r="G993" s="978"/>
      <c r="H993" s="1264"/>
      <c r="I993" s="1264"/>
    </row>
    <row r="994" spans="1:9" customFormat="1">
      <c r="A994" s="979"/>
      <c r="B994" s="979"/>
      <c r="C994" s="979"/>
      <c r="D994" s="173"/>
      <c r="E994" s="978"/>
      <c r="F994" s="978"/>
      <c r="G994" s="978"/>
      <c r="H994" s="1264"/>
      <c r="I994" s="1264"/>
    </row>
    <row r="995" spans="1:9" customFormat="1" ht="14.4">
      <c r="A995" s="175"/>
      <c r="B995" s="481" t="s">
        <v>2831</v>
      </c>
      <c r="C995" s="979"/>
      <c r="D995" s="1460" t="s">
        <v>2649</v>
      </c>
      <c r="E995" s="1460"/>
      <c r="F995" s="1460"/>
      <c r="G995" s="978"/>
      <c r="H995" s="1264"/>
      <c r="I995" s="1264"/>
    </row>
    <row r="996" spans="1:9" customFormat="1">
      <c r="A996" s="979"/>
      <c r="B996" s="979"/>
      <c r="C996" s="979"/>
      <c r="D996" s="1460"/>
      <c r="E996" s="1460"/>
      <c r="F996" s="1460"/>
      <c r="G996" s="978"/>
      <c r="H996" s="1264"/>
      <c r="I996" s="1264"/>
    </row>
    <row r="997" spans="1:9" customFormat="1">
      <c r="A997" s="979"/>
      <c r="B997" s="979"/>
      <c r="C997" s="979"/>
      <c r="D997" s="1460"/>
      <c r="E997" s="1460"/>
      <c r="F997" s="1460"/>
      <c r="G997" s="978"/>
      <c r="H997" s="1264"/>
      <c r="I997" s="1264"/>
    </row>
    <row r="998" spans="1:9" customFormat="1">
      <c r="A998" s="979"/>
      <c r="B998" s="979"/>
      <c r="C998" s="979"/>
      <c r="D998" s="3"/>
      <c r="E998" s="3"/>
      <c r="F998" s="3"/>
      <c r="G998" s="978"/>
      <c r="H998" s="1264"/>
      <c r="I998" s="1264"/>
    </row>
    <row r="999" spans="1:9" ht="12.75" customHeight="1">
      <c r="A999" s="175"/>
      <c r="B999" s="481" t="s">
        <v>2830</v>
      </c>
      <c r="C999" s="174"/>
      <c r="D999" s="1846" t="s">
        <v>1855</v>
      </c>
      <c r="E999" s="1846"/>
      <c r="F999" s="1846"/>
      <c r="G999" s="978"/>
      <c r="I999" s="486"/>
    </row>
    <row r="1000" spans="1:9" ht="12.75" customHeight="1">
      <c r="A1000" s="175"/>
      <c r="B1000" s="175"/>
      <c r="C1000" s="174"/>
      <c r="D1000" s="1846"/>
      <c r="E1000" s="1846"/>
      <c r="F1000" s="1846"/>
      <c r="G1000" s="978"/>
      <c r="I1000" s="486"/>
    </row>
    <row r="1001" spans="1:9" ht="12.75" customHeight="1">
      <c r="A1001" s="175"/>
      <c r="B1001" s="175"/>
      <c r="C1001" s="174"/>
      <c r="D1001" s="1846"/>
      <c r="E1001" s="1846"/>
      <c r="F1001" s="1846"/>
      <c r="G1001" s="978"/>
      <c r="I1001" s="486"/>
    </row>
    <row r="1002" spans="1:9" ht="12.75" customHeight="1">
      <c r="A1002" s="175"/>
      <c r="B1002" s="175"/>
      <c r="C1002" s="174"/>
      <c r="D1002" s="1846"/>
      <c r="E1002" s="1846"/>
      <c r="F1002" s="1846"/>
      <c r="G1002" s="978"/>
      <c r="I1002" s="486"/>
    </row>
    <row r="1003" spans="1:9" ht="12.75" customHeight="1">
      <c r="A1003" s="175"/>
      <c r="B1003" s="175"/>
      <c r="C1003" s="174"/>
      <c r="D1003" s="1846"/>
      <c r="E1003" s="1846"/>
      <c r="F1003" s="1846"/>
      <c r="G1003" s="978"/>
      <c r="I1003" s="486"/>
    </row>
    <row r="1004" spans="1:9" ht="12.75" customHeight="1">
      <c r="A1004" s="175"/>
      <c r="B1004" s="175"/>
      <c r="C1004" s="174"/>
      <c r="D1004" s="1846"/>
      <c r="E1004" s="1846"/>
      <c r="F1004" s="1846"/>
      <c r="G1004" s="978"/>
      <c r="I1004" s="486"/>
    </row>
    <row r="1005" spans="1:9" ht="12.75" customHeight="1">
      <c r="A1005" s="175"/>
      <c r="B1005" s="175"/>
      <c r="C1005" s="174"/>
      <c r="D1005" s="1846"/>
      <c r="E1005" s="1846"/>
      <c r="F1005" s="1846"/>
      <c r="G1005" s="978"/>
      <c r="I1005" s="486"/>
    </row>
    <row r="1006" spans="1:9" ht="12.75" customHeight="1">
      <c r="A1006" s="175"/>
      <c r="B1006" s="175"/>
      <c r="C1006" s="174"/>
      <c r="D1006" s="1016"/>
      <c r="E1006" s="1016"/>
      <c r="F1006" s="1016"/>
      <c r="G1006" s="978"/>
      <c r="I1006" s="486"/>
    </row>
    <row r="1007" spans="1:9" customFormat="1" ht="12.75" customHeight="1">
      <c r="A1007" s="979"/>
      <c r="B1007" s="481" t="s">
        <v>2831</v>
      </c>
      <c r="C1007" s="979"/>
      <c r="D1007" s="1829" t="s">
        <v>2646</v>
      </c>
      <c r="E1007" s="1829"/>
      <c r="F1007" s="1829"/>
      <c r="G1007" s="1263"/>
      <c r="H1007" s="1264"/>
      <c r="I1007" s="1264"/>
    </row>
    <row r="1008" spans="1:9" customFormat="1">
      <c r="A1008" s="979"/>
      <c r="B1008" s="979"/>
      <c r="C1008" s="979"/>
      <c r="D1008" s="1829"/>
      <c r="E1008" s="1829"/>
      <c r="F1008" s="1829"/>
      <c r="G1008" s="1263"/>
      <c r="H1008" s="1264"/>
      <c r="I1008" s="1264"/>
    </row>
    <row r="1009" spans="1:9" customFormat="1">
      <c r="A1009" s="979"/>
      <c r="B1009" s="979"/>
      <c r="C1009" s="979"/>
      <c r="D1009" s="1829"/>
      <c r="E1009" s="1829"/>
      <c r="F1009" s="1829"/>
      <c r="G1009" s="1263"/>
      <c r="H1009" s="1264"/>
      <c r="I1009" s="1264"/>
    </row>
    <row r="1010" spans="1:9" customFormat="1">
      <c r="A1010" s="979"/>
      <c r="B1010" s="979"/>
      <c r="C1010" s="979"/>
      <c r="D1010" s="1829"/>
      <c r="E1010" s="1829"/>
      <c r="F1010" s="1829"/>
      <c r="G1010" s="1263"/>
      <c r="H1010" s="1264"/>
      <c r="I1010" s="1264"/>
    </row>
    <row r="1011" spans="1:9" customFormat="1">
      <c r="A1011" s="979"/>
      <c r="B1011" s="979"/>
      <c r="C1011" s="979"/>
      <c r="D1011" s="1829"/>
      <c r="E1011" s="1829"/>
      <c r="F1011" s="1829"/>
      <c r="G1011" s="1263"/>
      <c r="H1011" s="1264"/>
      <c r="I1011" s="1264"/>
    </row>
    <row r="1012" spans="1:9" customFormat="1">
      <c r="A1012" s="979"/>
      <c r="B1012" s="979"/>
      <c r="C1012" s="979"/>
      <c r="D1012" s="1829"/>
      <c r="E1012" s="1829"/>
      <c r="F1012" s="1829"/>
      <c r="G1012" s="1263"/>
      <c r="H1012" s="1264"/>
      <c r="I1012" s="1264"/>
    </row>
    <row r="1013" spans="1:9" customFormat="1">
      <c r="A1013" s="979"/>
      <c r="B1013" s="979"/>
      <c r="C1013" s="979"/>
      <c r="D1013" s="1829"/>
      <c r="E1013" s="1829"/>
      <c r="F1013" s="1829"/>
      <c r="G1013" s="1263"/>
      <c r="H1013" s="1264"/>
      <c r="I1013" s="1264"/>
    </row>
    <row r="1014" spans="1:9" customFormat="1">
      <c r="A1014" s="979"/>
      <c r="B1014" s="979"/>
      <c r="C1014" s="979"/>
      <c r="D1014" s="1829"/>
      <c r="E1014" s="1829"/>
      <c r="F1014" s="1829"/>
      <c r="G1014" s="1263"/>
      <c r="H1014" s="1264"/>
      <c r="I1014" s="1264"/>
    </row>
    <row r="1015" spans="1:9" customFormat="1">
      <c r="A1015" s="979"/>
      <c r="B1015" s="979"/>
      <c r="C1015" s="979"/>
      <c r="D1015" s="1829"/>
      <c r="E1015" s="1829"/>
      <c r="F1015" s="1829"/>
      <c r="G1015" s="1263"/>
      <c r="H1015" s="1264"/>
      <c r="I1015" s="1264"/>
    </row>
    <row r="1016" spans="1:9" customFormat="1">
      <c r="A1016" s="979"/>
      <c r="B1016" s="979"/>
      <c r="C1016" s="979"/>
      <c r="D1016" s="1829"/>
      <c r="E1016" s="1829"/>
      <c r="F1016" s="1829"/>
      <c r="G1016" s="1263"/>
      <c r="H1016" s="1264"/>
      <c r="I1016" s="1264"/>
    </row>
    <row r="1017" spans="1:9" customFormat="1">
      <c r="A1017" s="979"/>
      <c r="B1017" s="979"/>
      <c r="C1017" s="979"/>
      <c r="D1017" s="1829"/>
      <c r="E1017" s="1829"/>
      <c r="F1017" s="1829"/>
      <c r="G1017" s="1263"/>
      <c r="H1017" s="1264"/>
      <c r="I1017" s="1264"/>
    </row>
    <row r="1018" spans="1:9" customFormat="1" ht="14.25" customHeight="1">
      <c r="A1018" s="979"/>
      <c r="B1018" s="979"/>
      <c r="C1018" s="979"/>
      <c r="D1018" s="1829"/>
      <c r="E1018" s="1829"/>
      <c r="F1018" s="182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2830</v>
      </c>
      <c r="C1020" s="174"/>
      <c r="D1020" s="1829" t="s">
        <v>2087</v>
      </c>
      <c r="E1020" s="1829"/>
      <c r="F1020" s="1829"/>
      <c r="G1020" s="978"/>
      <c r="I1020" s="486"/>
    </row>
    <row r="1021" spans="1:9" ht="12.75" customHeight="1">
      <c r="A1021" s="175"/>
      <c r="B1021" s="175"/>
      <c r="C1021" s="174"/>
      <c r="D1021" s="1829"/>
      <c r="E1021" s="1829"/>
      <c r="F1021" s="1829"/>
      <c r="G1021" s="978"/>
      <c r="I1021" s="486"/>
    </row>
    <row r="1022" spans="1:9" ht="12.75" customHeight="1">
      <c r="A1022" s="175"/>
      <c r="B1022" s="175"/>
      <c r="C1022" s="174"/>
      <c r="D1022" s="1829"/>
      <c r="E1022" s="1829"/>
      <c r="F1022" s="1829"/>
      <c r="G1022" s="978"/>
      <c r="I1022" s="486"/>
    </row>
    <row r="1023" spans="1:9" ht="12.75" customHeight="1">
      <c r="A1023" s="175"/>
      <c r="B1023" s="175"/>
      <c r="C1023" s="174"/>
      <c r="D1023" s="1829"/>
      <c r="E1023" s="1829"/>
      <c r="F1023" s="1829"/>
      <c r="G1023" s="978"/>
      <c r="I1023" s="486"/>
    </row>
    <row r="1024" spans="1:9" ht="12.75" customHeight="1">
      <c r="A1024" s="175"/>
      <c r="B1024" s="175"/>
      <c r="C1024" s="174"/>
      <c r="D1024" s="1829"/>
      <c r="E1024" s="1829"/>
      <c r="F1024" s="1829"/>
      <c r="G1024" s="978"/>
      <c r="I1024" s="486"/>
    </row>
    <row r="1025" spans="1:9" ht="12.75" customHeight="1">
      <c r="A1025" s="175"/>
      <c r="B1025" s="175"/>
      <c r="C1025" s="174"/>
      <c r="D1025" s="1829"/>
      <c r="E1025" s="1829"/>
      <c r="F1025" s="1829"/>
      <c r="G1025" s="978"/>
      <c r="I1025" s="486"/>
    </row>
    <row r="1026" spans="1:9" ht="12.75" customHeight="1">
      <c r="A1026" s="175"/>
      <c r="B1026" s="175"/>
      <c r="C1026" s="174"/>
      <c r="D1026" s="1016"/>
      <c r="E1026" s="1016"/>
      <c r="F1026" s="1016"/>
      <c r="G1026" s="978"/>
      <c r="I1026" s="486"/>
    </row>
    <row r="1027" spans="1:9" ht="12.75" customHeight="1">
      <c r="A1027" s="979"/>
      <c r="B1027" s="481" t="s">
        <v>2831</v>
      </c>
      <c r="C1027" s="979"/>
      <c r="D1027" s="1842" t="s">
        <v>1770</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2831</v>
      </c>
      <c r="C1032" s="174"/>
      <c r="D1032" s="1830" t="s">
        <v>1854</v>
      </c>
      <c r="E1032" s="1830"/>
      <c r="F1032" s="1830"/>
      <c r="G1032" s="978"/>
      <c r="I1032" s="486"/>
    </row>
    <row r="1033" spans="1:9" ht="12.75" customHeight="1">
      <c r="A1033" s="175"/>
      <c r="B1033" s="175"/>
      <c r="C1033" s="174"/>
      <c r="D1033" s="1830"/>
      <c r="E1033" s="1830"/>
      <c r="F1033" s="1830"/>
      <c r="G1033" s="978"/>
      <c r="I1033" s="486"/>
    </row>
    <row r="1034" spans="1:9" ht="12.75" customHeight="1">
      <c r="A1034" s="175"/>
      <c r="B1034" s="175"/>
      <c r="C1034" s="174"/>
      <c r="D1034" s="1830"/>
      <c r="E1034" s="1830"/>
      <c r="F1034" s="1830"/>
      <c r="G1034" s="978"/>
      <c r="I1034" s="486"/>
    </row>
    <row r="1035" spans="1:9" ht="12.75" customHeight="1">
      <c r="A1035" s="175"/>
      <c r="B1035" s="175"/>
      <c r="C1035" s="174"/>
      <c r="D1035" s="1830"/>
      <c r="E1035" s="1830"/>
      <c r="F1035" s="183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41" t="s">
        <v>1771</v>
      </c>
      <c r="E1037" s="1841"/>
      <c r="F1037" s="1841"/>
      <c r="G1037" s="3"/>
      <c r="I1037" s="486"/>
    </row>
    <row r="1038" spans="1:9" customFormat="1" ht="14.4">
      <c r="A1038" s="175"/>
      <c r="B1038" s="481" t="s">
        <v>2831</v>
      </c>
      <c r="C1038" s="350"/>
      <c r="D1038" s="1838" t="s">
        <v>2653</v>
      </c>
      <c r="E1038" s="1838"/>
      <c r="F1038" s="1838"/>
      <c r="G1038" s="3"/>
    </row>
    <row r="1039" spans="1:9" customFormat="1">
      <c r="A1039" s="350"/>
      <c r="B1039" s="350"/>
      <c r="C1039" s="350"/>
      <c r="D1039" s="3"/>
      <c r="E1039" s="3"/>
      <c r="F1039" s="3"/>
      <c r="G1039" s="3"/>
    </row>
    <row r="1040" spans="1:9" customFormat="1" ht="14.4">
      <c r="A1040" s="175"/>
      <c r="B1040" s="481" t="s">
        <v>2831</v>
      </c>
      <c r="C1040" s="350"/>
      <c r="D1040" s="1460" t="s">
        <v>2654</v>
      </c>
      <c r="E1040" s="1460"/>
      <c r="F1040" s="1460"/>
      <c r="G1040" s="3"/>
    </row>
    <row r="1041" spans="1:9" customFormat="1" ht="14.4">
      <c r="A1041" s="175"/>
      <c r="B1041" s="175"/>
      <c r="C1041" s="350"/>
      <c r="D1041" s="1460"/>
      <c r="E1041" s="1460"/>
      <c r="F1041" s="1460"/>
      <c r="G1041" s="3"/>
    </row>
    <row r="1042" spans="1:9" ht="12.75" customHeight="1">
      <c r="A1042" s="350"/>
      <c r="B1042" s="350"/>
      <c r="C1042" s="350"/>
      <c r="D1042" s="3"/>
      <c r="E1042" s="3"/>
      <c r="F1042" s="3"/>
      <c r="G1042" s="3"/>
      <c r="I1042" s="486"/>
    </row>
    <row r="1043" spans="1:9" ht="12.75" customHeight="1">
      <c r="A1043" s="350"/>
      <c r="B1043" s="350"/>
      <c r="C1043" s="350"/>
      <c r="D1043" s="1841" t="s">
        <v>1772</v>
      </c>
      <c r="E1043" s="1841"/>
      <c r="F1043" s="1841"/>
      <c r="G1043"/>
      <c r="I1043" s="486"/>
    </row>
    <row r="1044" spans="1:9" ht="12.75" customHeight="1">
      <c r="A1044" s="175"/>
      <c r="B1044" s="481" t="s">
        <v>2831</v>
      </c>
      <c r="C1044" s="350"/>
      <c r="D1044" s="1460" t="s">
        <v>2024</v>
      </c>
      <c r="E1044" s="1460"/>
      <c r="F1044" s="1460"/>
      <c r="G1044"/>
      <c r="I1044" s="486"/>
    </row>
    <row r="1045" spans="1:9" ht="12.75" customHeight="1">
      <c r="A1045" s="175"/>
      <c r="B1045" s="175"/>
      <c r="C1045" s="350"/>
      <c r="D1045" s="1460"/>
      <c r="E1045" s="1460"/>
      <c r="F1045" s="1460"/>
      <c r="G1045"/>
      <c r="I1045" s="486"/>
    </row>
    <row r="1046" spans="1:9" ht="12.75" customHeight="1">
      <c r="A1046" s="175"/>
      <c r="B1046" s="175"/>
      <c r="C1046" s="350"/>
      <c r="D1046" s="1460"/>
      <c r="E1046" s="1460"/>
      <c r="F1046" s="1460"/>
      <c r="G1046"/>
      <c r="I1046" s="486"/>
    </row>
    <row r="1047" spans="1:9" ht="12.75" customHeight="1">
      <c r="A1047" s="175"/>
      <c r="B1047" s="175"/>
      <c r="C1047" s="350"/>
      <c r="D1047" s="1460"/>
      <c r="E1047" s="1460"/>
      <c r="F1047" s="1460"/>
      <c r="G1047"/>
      <c r="I1047" s="486"/>
    </row>
    <row r="1048" spans="1:9" ht="12.75" customHeight="1">
      <c r="A1048" s="175"/>
      <c r="B1048" s="175"/>
      <c r="C1048" s="350"/>
      <c r="D1048" s="1460"/>
      <c r="E1048" s="1460"/>
      <c r="F1048" s="1460"/>
      <c r="G1048"/>
      <c r="I1048" s="486"/>
    </row>
    <row r="1049" spans="1:9" ht="12.75" customHeight="1">
      <c r="A1049" s="175"/>
      <c r="B1049" s="175"/>
      <c r="C1049" s="350"/>
      <c r="D1049" s="1460"/>
      <c r="E1049" s="1460"/>
      <c r="F1049" s="1460"/>
      <c r="G1049"/>
      <c r="I1049" s="486"/>
    </row>
    <row r="1050" spans="1:9" ht="12.75" customHeight="1">
      <c r="A1050" s="175"/>
      <c r="B1050" s="175"/>
      <c r="C1050" s="350"/>
      <c r="D1050" s="1460"/>
      <c r="E1050" s="1460"/>
      <c r="F1050" s="1460"/>
      <c r="G1050"/>
      <c r="I1050" s="486"/>
    </row>
    <row r="1051" spans="1:9" ht="12.75" customHeight="1">
      <c r="A1051" s="175"/>
      <c r="B1051" s="175"/>
      <c r="C1051" s="350"/>
      <c r="D1051" s="1460"/>
      <c r="E1051" s="1460"/>
      <c r="F1051" s="1460"/>
      <c r="G1051"/>
      <c r="I1051" s="486"/>
    </row>
    <row r="1052" spans="1:9" ht="12.75" customHeight="1">
      <c r="A1052" s="175"/>
      <c r="B1052" s="175"/>
      <c r="C1052" s="350"/>
      <c r="D1052" s="1460"/>
      <c r="E1052" s="1460"/>
      <c r="F1052" s="1460"/>
      <c r="G1052"/>
      <c r="I1052" s="486"/>
    </row>
    <row r="1053" spans="1:9" ht="12.75" customHeight="1">
      <c r="A1053" s="175"/>
      <c r="B1053" s="175"/>
      <c r="C1053" s="350"/>
      <c r="D1053" s="1460"/>
      <c r="E1053" s="1460"/>
      <c r="F1053" s="1460"/>
      <c r="G1053"/>
      <c r="I1053" s="486"/>
    </row>
    <row r="1054" spans="1:9" ht="12.75" customHeight="1">
      <c r="A1054" s="175"/>
      <c r="B1054" s="175"/>
      <c r="C1054" s="350"/>
      <c r="D1054" s="1460"/>
      <c r="E1054" s="1460"/>
      <c r="F1054" s="1460"/>
      <c r="G1054"/>
      <c r="I1054" s="486"/>
    </row>
    <row r="1055" spans="1:9" ht="12.75" customHeight="1">
      <c r="A1055" s="175"/>
      <c r="B1055" s="175"/>
      <c r="C1055" s="350"/>
      <c r="D1055" s="1460"/>
      <c r="E1055" s="1460"/>
      <c r="F1055" s="1460"/>
      <c r="G1055"/>
      <c r="I1055" s="486"/>
    </row>
    <row r="1056" spans="1:9" ht="12.75" customHeight="1">
      <c r="A1056" s="175"/>
      <c r="B1056" s="175"/>
      <c r="C1056" s="350"/>
      <c r="D1056" s="1460"/>
      <c r="E1056" s="1460"/>
      <c r="F1056" s="1460"/>
      <c r="G1056"/>
      <c r="I1056" s="486"/>
    </row>
    <row r="1057" spans="1:9" ht="12.75" customHeight="1">
      <c r="A1057" s="175"/>
      <c r="B1057" s="175"/>
      <c r="C1057" s="350"/>
      <c r="D1057" s="1460"/>
      <c r="E1057" s="1460"/>
      <c r="F1057" s="1460"/>
      <c r="G1057"/>
      <c r="I1057" s="486"/>
    </row>
    <row r="1058" spans="1:9" ht="12.75" customHeight="1">
      <c r="A1058" s="175"/>
      <c r="B1058" s="175"/>
      <c r="C1058" s="350"/>
      <c r="D1058" s="1460"/>
      <c r="E1058" s="1460"/>
      <c r="F1058" s="1460"/>
      <c r="G1058" s="3"/>
      <c r="I1058" s="486"/>
    </row>
    <row r="1059" spans="1:9" ht="12.75" customHeight="1">
      <c r="A1059" s="350"/>
      <c r="B1059" s="350"/>
      <c r="C1059" s="350"/>
      <c r="D1059" s="3"/>
      <c r="E1059" s="3"/>
      <c r="F1059" s="3"/>
      <c r="G1059" s="3"/>
      <c r="I1059" s="486"/>
    </row>
    <row r="1060" spans="1:9" ht="12.75" customHeight="1">
      <c r="A1060" s="1844" t="s">
        <v>1773</v>
      </c>
      <c r="B1060" s="1844"/>
      <c r="C1060" s="1844"/>
      <c r="D1060" s="1844"/>
      <c r="E1060" s="1844"/>
      <c r="F1060" s="1844"/>
      <c r="G1060" s="1844"/>
      <c r="H1060" s="1018"/>
      <c r="I1060" s="1142"/>
    </row>
    <row r="1061" spans="1:9" ht="12.75" customHeight="1">
      <c r="A1061" s="118"/>
      <c r="B1061" s="118"/>
      <c r="C1061" s="350"/>
      <c r="D1061" s="3"/>
      <c r="E1061" s="3"/>
      <c r="F1061" s="3"/>
      <c r="G1061" s="3"/>
      <c r="I1061" s="486"/>
    </row>
    <row r="1062" spans="1:9" ht="12.75" customHeight="1">
      <c r="A1062" s="350"/>
      <c r="B1062" s="350"/>
      <c r="C1062" s="979"/>
      <c r="D1062" s="1841" t="s">
        <v>1793</v>
      </c>
      <c r="E1062" s="1841"/>
      <c r="F1062" s="1841"/>
      <c r="G1062" s="3"/>
      <c r="I1062" s="486"/>
    </row>
    <row r="1063" spans="1:9" ht="12.75" customHeight="1">
      <c r="A1063" s="172"/>
      <c r="B1063" s="172"/>
      <c r="C1063" s="172"/>
      <c r="D1063" s="1838" t="s">
        <v>1774</v>
      </c>
      <c r="E1063" s="1838"/>
      <c r="F1063" s="1838"/>
      <c r="G1063" s="3"/>
      <c r="I1063" s="486"/>
    </row>
    <row r="1064" spans="1:9" ht="12.75" customHeight="1">
      <c r="A1064" s="172"/>
      <c r="B1064" s="172"/>
      <c r="C1064" s="172"/>
      <c r="D1064" s="3"/>
      <c r="E1064" s="3"/>
      <c r="F1064" s="978"/>
      <c r="G1064"/>
      <c r="I1064" s="486"/>
    </row>
    <row r="1065" spans="1:9" ht="12.75" customHeight="1">
      <c r="A1065" s="350"/>
      <c r="B1065" s="481" t="s">
        <v>2830</v>
      </c>
      <c r="C1065" s="350"/>
      <c r="D1065" s="1852" t="s">
        <v>1883</v>
      </c>
      <c r="E1065" s="1852"/>
      <c r="F1065" s="1852"/>
      <c r="G1065"/>
      <c r="I1065" s="486"/>
    </row>
    <row r="1066" spans="1:9" ht="12.75" customHeight="1">
      <c r="A1066" s="350"/>
      <c r="B1066" s="350"/>
      <c r="C1066" s="350"/>
      <c r="D1066" s="1852"/>
      <c r="E1066" s="1852"/>
      <c r="F1066" s="185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25" t="s">
        <v>1882</v>
      </c>
      <c r="E1068" s="1325"/>
      <c r="F1068" s="1325"/>
      <c r="G1068"/>
      <c r="I1068" s="486"/>
    </row>
    <row r="1069" spans="1:9" ht="12.75" customHeight="1">
      <c r="A1069" s="350"/>
      <c r="B1069" s="350"/>
      <c r="C1069" s="350"/>
      <c r="D1069" s="1325"/>
      <c r="E1069" s="1325"/>
      <c r="F1069" s="1325"/>
      <c r="G1069"/>
      <c r="I1069" s="486"/>
    </row>
    <row r="1070" spans="1:9" ht="12.75" customHeight="1">
      <c r="A1070" s="174"/>
      <c r="B1070" s="174"/>
      <c r="C1070" s="174"/>
      <c r="D1070" s="1325"/>
      <c r="E1070" s="1325"/>
      <c r="F1070" s="1325"/>
      <c r="G1070"/>
      <c r="I1070" s="486"/>
    </row>
    <row r="1071" spans="1:9" ht="12.75" customHeight="1">
      <c r="A1071" s="174"/>
      <c r="B1071" s="174"/>
      <c r="C1071" s="174"/>
      <c r="D1071" s="1325"/>
      <c r="E1071" s="1325"/>
      <c r="F1071" s="1325"/>
      <c r="G1071"/>
      <c r="I1071" s="486"/>
    </row>
    <row r="1072" spans="1:9" ht="12.75" customHeight="1">
      <c r="A1072" s="174"/>
      <c r="B1072" s="174"/>
      <c r="C1072" s="174"/>
      <c r="D1072" s="332"/>
      <c r="E1072" s="332"/>
      <c r="F1072" s="332"/>
      <c r="G1072"/>
      <c r="I1072" s="486"/>
    </row>
    <row r="1073" spans="1:9" ht="12.75" customHeight="1">
      <c r="A1073" s="174"/>
      <c r="B1073" s="481" t="s">
        <v>2831</v>
      </c>
      <c r="C1073" s="174"/>
      <c r="D1073" s="1460" t="s">
        <v>1775</v>
      </c>
      <c r="E1073" s="1460"/>
      <c r="F1073" s="1460"/>
      <c r="G1073"/>
      <c r="I1073" s="486"/>
    </row>
    <row r="1074" spans="1:9" ht="12.75" customHeight="1">
      <c r="A1074" s="174"/>
      <c r="B1074" s="174"/>
      <c r="C1074" s="174"/>
      <c r="D1074" s="1460"/>
      <c r="E1074" s="1460"/>
      <c r="F1074" s="1460"/>
      <c r="G1074"/>
      <c r="I1074" s="486"/>
    </row>
    <row r="1075" spans="1:9" ht="12.75" customHeight="1">
      <c r="A1075" s="174"/>
      <c r="B1075" s="174"/>
      <c r="C1075" s="174"/>
      <c r="D1075" s="1460"/>
      <c r="E1075" s="1460"/>
      <c r="F1075" s="1460"/>
      <c r="G1075"/>
      <c r="I1075" s="486"/>
    </row>
    <row r="1076" spans="1:9" ht="12.75" customHeight="1">
      <c r="A1076" s="174"/>
      <c r="B1076" s="174"/>
      <c r="C1076" s="174"/>
      <c r="D1076" s="1460"/>
      <c r="E1076" s="1460"/>
      <c r="F1076" s="1460"/>
      <c r="G1076"/>
      <c r="I1076" s="486"/>
    </row>
    <row r="1077" spans="1:9" ht="12.75" customHeight="1">
      <c r="A1077" s="174"/>
      <c r="B1077" s="174"/>
      <c r="C1077" s="174"/>
      <c r="D1077" s="437"/>
      <c r="E1077" s="437"/>
      <c r="F1077" s="437"/>
      <c r="G1077"/>
      <c r="I1077" s="486"/>
    </row>
    <row r="1078" spans="1:9" ht="12.75" customHeight="1">
      <c r="A1078" s="174"/>
      <c r="B1078" s="481" t="s">
        <v>2831</v>
      </c>
      <c r="C1078" s="174"/>
      <c r="D1078" s="1460" t="s">
        <v>2178</v>
      </c>
      <c r="E1078" s="1460"/>
      <c r="F1078" s="1460"/>
      <c r="G1078"/>
      <c r="I1078" s="486"/>
    </row>
    <row r="1079" spans="1:9" ht="12.75" customHeight="1">
      <c r="A1079" s="174"/>
      <c r="B1079" s="174"/>
      <c r="C1079" s="174"/>
      <c r="D1079" s="1460"/>
      <c r="E1079" s="1460"/>
      <c r="F1079" s="1460"/>
      <c r="G1079"/>
      <c r="I1079" s="486"/>
    </row>
    <row r="1080" spans="1:9" ht="12.75" customHeight="1">
      <c r="A1080" s="174"/>
      <c r="B1080" s="174"/>
      <c r="C1080" s="174"/>
      <c r="D1080" s="437"/>
      <c r="E1080" s="437"/>
      <c r="F1080" s="437"/>
      <c r="G1080"/>
      <c r="I1080" s="486"/>
    </row>
    <row r="1081" spans="1:9" ht="12.75" customHeight="1">
      <c r="A1081" s="175"/>
      <c r="B1081" s="481" t="s">
        <v>2831</v>
      </c>
      <c r="C1081" s="350"/>
      <c r="D1081" s="1838" t="s">
        <v>1776</v>
      </c>
      <c r="E1081" s="1838"/>
      <c r="F1081" s="1838"/>
      <c r="G1081"/>
      <c r="I1081" s="486"/>
    </row>
    <row r="1082" spans="1:9" ht="12.75" customHeight="1">
      <c r="A1082" s="350"/>
      <c r="B1082" s="350"/>
      <c r="C1082" s="350"/>
      <c r="D1082" s="3"/>
      <c r="E1082" s="3"/>
      <c r="F1082" s="3"/>
      <c r="G1082"/>
      <c r="I1082" s="486"/>
    </row>
    <row r="1083" spans="1:9" ht="12.75" customHeight="1">
      <c r="A1083" s="175"/>
      <c r="B1083" s="481" t="s">
        <v>2831</v>
      </c>
      <c r="C1083" s="350"/>
      <c r="D1083" s="1838" t="s">
        <v>1777</v>
      </c>
      <c r="E1083" s="1838"/>
      <c r="F1083" s="1838"/>
      <c r="G1083"/>
      <c r="I1083" s="486"/>
    </row>
    <row r="1084" spans="1:9" ht="12.75" customHeight="1">
      <c r="A1084" s="350"/>
      <c r="B1084" s="350"/>
      <c r="C1084" s="350"/>
      <c r="D1084" s="118"/>
      <c r="E1084" s="3"/>
      <c r="F1084" s="3"/>
      <c r="G1084"/>
      <c r="I1084" s="486"/>
    </row>
    <row r="1085" spans="1:9" ht="12.75" customHeight="1">
      <c r="A1085" s="175"/>
      <c r="B1085" s="481" t="s">
        <v>2830</v>
      </c>
      <c r="C1085" s="350"/>
      <c r="D1085" s="1838" t="s">
        <v>1778</v>
      </c>
      <c r="E1085" s="1838"/>
      <c r="F1085" s="1838"/>
      <c r="G1085"/>
      <c r="I1085" s="486"/>
    </row>
    <row r="1086" spans="1:9" ht="12.75" customHeight="1">
      <c r="A1086" s="350"/>
      <c r="B1086" s="350"/>
      <c r="C1086" s="350"/>
      <c r="D1086" s="118"/>
      <c r="E1086" s="3"/>
      <c r="F1086" s="3"/>
      <c r="G1086"/>
      <c r="I1086" s="486"/>
    </row>
    <row r="1087" spans="1:9" ht="12.75" customHeight="1">
      <c r="A1087" s="175"/>
      <c r="B1087" s="481" t="s">
        <v>2830</v>
      </c>
      <c r="C1087" s="350"/>
      <c r="D1087" s="1460" t="s">
        <v>1779</v>
      </c>
      <c r="E1087" s="1460"/>
      <c r="F1087" s="1460"/>
      <c r="G1087"/>
      <c r="I1087" s="486"/>
    </row>
    <row r="1088" spans="1:9" ht="12.75" customHeight="1">
      <c r="A1088" s="175"/>
      <c r="B1088" s="175"/>
      <c r="C1088" s="350"/>
      <c r="D1088" s="1460"/>
      <c r="E1088" s="1460"/>
      <c r="F1088" s="1460"/>
      <c r="G1088"/>
      <c r="I1088" s="486"/>
    </row>
    <row r="1089" spans="1:9" ht="12.75" customHeight="1">
      <c r="A1089" s="175"/>
      <c r="B1089" s="175"/>
      <c r="C1089" s="350"/>
      <c r="D1089" s="118"/>
      <c r="E1089" s="3"/>
      <c r="F1089" s="3"/>
      <c r="G1089" s="3"/>
      <c r="I1089" s="486"/>
    </row>
    <row r="1090" spans="1:9" ht="12.75" customHeight="1">
      <c r="A1090" s="254"/>
      <c r="B1090" s="481" t="s">
        <v>2831</v>
      </c>
      <c r="C1090" s="990"/>
      <c r="D1090" s="1853" t="s">
        <v>1780</v>
      </c>
      <c r="E1090" s="1853"/>
      <c r="F1090" s="1853"/>
      <c r="G1090" s="991"/>
      <c r="I1090" s="486"/>
    </row>
    <row r="1091" spans="1:9" ht="12.75" customHeight="1">
      <c r="A1091" s="990"/>
      <c r="B1091" s="990"/>
      <c r="C1091" s="990"/>
      <c r="D1091" s="1853"/>
      <c r="E1091" s="1853"/>
      <c r="F1091" s="1853"/>
      <c r="G1091" s="991"/>
      <c r="I1091" s="486"/>
    </row>
    <row r="1092" spans="1:9" ht="12.75" customHeight="1">
      <c r="A1092" s="990"/>
      <c r="B1092" s="990"/>
      <c r="C1092" s="990"/>
      <c r="D1092" s="974"/>
      <c r="E1092" s="991"/>
      <c r="F1092" s="991"/>
      <c r="G1092" s="991"/>
      <c r="I1092" s="486"/>
    </row>
    <row r="1093" spans="1:9" ht="12.75" customHeight="1">
      <c r="A1093" s="254"/>
      <c r="B1093" s="481" t="s">
        <v>2831</v>
      </c>
      <c r="C1093" s="990"/>
      <c r="D1093" s="1850" t="s">
        <v>1781</v>
      </c>
      <c r="E1093" s="1850"/>
      <c r="F1093" s="1850"/>
      <c r="G1093" s="991"/>
      <c r="I1093" s="486"/>
    </row>
    <row r="1094" spans="1:9" ht="12.75" customHeight="1">
      <c r="A1094" s="990"/>
      <c r="B1094" s="990"/>
      <c r="C1094" s="990"/>
      <c r="D1094" s="974"/>
      <c r="E1094" s="991"/>
      <c r="F1094" s="991"/>
      <c r="G1094" s="991"/>
      <c r="I1094" s="486"/>
    </row>
    <row r="1095" spans="1:9" ht="12.75" customHeight="1">
      <c r="A1095" s="175"/>
      <c r="B1095" s="481" t="s">
        <v>2831</v>
      </c>
      <c r="C1095" s="350"/>
      <c r="D1095" s="1838" t="s">
        <v>1782</v>
      </c>
      <c r="E1095" s="1838"/>
      <c r="F1095" s="1838"/>
      <c r="G1095" s="3"/>
      <c r="I1095" s="486"/>
    </row>
    <row r="1096" spans="1:9" ht="12.75" customHeight="1">
      <c r="A1096" s="175"/>
      <c r="B1096" s="175"/>
      <c r="C1096" s="350"/>
      <c r="D1096" s="118"/>
      <c r="E1096" s="3"/>
      <c r="F1096" s="3"/>
      <c r="G1096" s="3"/>
      <c r="I1096" s="486"/>
    </row>
    <row r="1097" spans="1:9" ht="12.75" customHeight="1">
      <c r="A1097" s="175"/>
      <c r="B1097" s="481" t="s">
        <v>2831</v>
      </c>
      <c r="C1097" s="350"/>
      <c r="D1097" s="1460" t="s">
        <v>1783</v>
      </c>
      <c r="E1097" s="1460"/>
      <c r="F1097" s="1460"/>
      <c r="G1097" s="3"/>
      <c r="I1097" s="486"/>
    </row>
    <row r="1098" spans="1:9" ht="12.75" customHeight="1">
      <c r="A1098" s="175"/>
      <c r="B1098" s="175"/>
      <c r="C1098" s="350"/>
      <c r="D1098" s="1460"/>
      <c r="E1098" s="1460"/>
      <c r="F1098" s="1460"/>
      <c r="G1098" s="3"/>
      <c r="I1098" s="486"/>
    </row>
    <row r="1099" spans="1:9" ht="12.75" customHeight="1">
      <c r="A1099" s="350"/>
      <c r="B1099" s="350"/>
      <c r="C1099" s="350"/>
      <c r="D1099" s="3"/>
      <c r="E1099" s="3"/>
      <c r="F1099" s="3"/>
      <c r="G1099" s="3"/>
      <c r="I1099" s="486"/>
    </row>
    <row r="1100" spans="1:9" ht="12.75" customHeight="1">
      <c r="A1100" s="1844" t="s">
        <v>1784</v>
      </c>
      <c r="B1100" s="1844"/>
      <c r="C1100" s="1844"/>
      <c r="D1100" s="1844"/>
      <c r="E1100" s="1844"/>
      <c r="F1100" s="1844"/>
      <c r="G1100" s="1844"/>
      <c r="H1100" s="1018"/>
      <c r="I1100" s="1142"/>
    </row>
    <row r="1101" spans="1:9" ht="12.75" customHeight="1">
      <c r="A1101" s="350"/>
      <c r="B1101" s="350"/>
      <c r="C1101" s="350"/>
      <c r="D1101" s="3"/>
      <c r="E1101" s="3"/>
      <c r="F1101" s="3"/>
      <c r="G1101" s="3"/>
      <c r="I1101" s="486"/>
    </row>
    <row r="1102" spans="1:9" ht="12.75" customHeight="1">
      <c r="A1102" s="350"/>
      <c r="B1102" s="350"/>
      <c r="C1102" s="350"/>
      <c r="D1102" s="1845" t="s">
        <v>1785</v>
      </c>
      <c r="E1102" s="1845"/>
      <c r="F1102" s="1845"/>
      <c r="G1102" s="3"/>
      <c r="I1102" s="486"/>
    </row>
    <row r="1103" spans="1:9" ht="12.75" customHeight="1">
      <c r="A1103" s="350"/>
      <c r="B1103" s="350"/>
      <c r="C1103" s="350"/>
      <c r="D1103" s="1850" t="s">
        <v>1786</v>
      </c>
      <c r="E1103" s="1850"/>
      <c r="F1103" s="1850"/>
      <c r="G1103" s="3"/>
      <c r="I1103" s="486"/>
    </row>
    <row r="1104" spans="1:9" ht="12.75" customHeight="1">
      <c r="A1104" s="172"/>
      <c r="B1104" s="172"/>
      <c r="C1104" s="172"/>
      <c r="D1104" s="3"/>
      <c r="E1104" s="3"/>
      <c r="F1104" s="3"/>
      <c r="G1104" s="3"/>
      <c r="I1104" s="486"/>
    </row>
    <row r="1105" spans="1:9" ht="12.75" customHeight="1">
      <c r="A1105" s="175"/>
      <c r="B1105" s="175"/>
      <c r="C1105" s="174"/>
      <c r="D1105" s="1845" t="s">
        <v>1797</v>
      </c>
      <c r="E1105" s="1845"/>
      <c r="F1105" s="1845"/>
      <c r="G1105" s="3"/>
      <c r="I1105" s="486"/>
    </row>
    <row r="1106" spans="1:9" ht="12.75" customHeight="1">
      <c r="A1106" s="350"/>
      <c r="B1106" s="481" t="s">
        <v>2830</v>
      </c>
      <c r="C1106" s="350"/>
      <c r="D1106" s="1850" t="s">
        <v>1270</v>
      </c>
      <c r="E1106" s="1850"/>
      <c r="F1106" s="1850"/>
      <c r="G1106" s="3"/>
      <c r="I1106" s="486"/>
    </row>
    <row r="1107" spans="1:9" ht="12.75" customHeight="1">
      <c r="A1107" s="350"/>
      <c r="B1107" s="175"/>
      <c r="C1107" s="350"/>
      <c r="D1107" s="1850" t="s">
        <v>1787</v>
      </c>
      <c r="E1107" s="1850"/>
      <c r="F1107" s="1850"/>
      <c r="G1107" s="3"/>
      <c r="I1107" s="486"/>
    </row>
    <row r="1108" spans="1:9" ht="12.75" customHeight="1">
      <c r="A1108" s="350"/>
      <c r="B1108" s="350"/>
      <c r="C1108" s="350"/>
      <c r="D1108" s="1850"/>
      <c r="E1108" s="1850"/>
      <c r="F1108" s="1850"/>
      <c r="G1108" s="3"/>
      <c r="I1108" s="486"/>
    </row>
    <row r="1109" spans="1:9" ht="12.75" customHeight="1">
      <c r="A1109" s="1844" t="s">
        <v>1794</v>
      </c>
      <c r="B1109" s="1844"/>
      <c r="C1109" s="1844"/>
      <c r="D1109" s="1844"/>
      <c r="E1109" s="1844"/>
      <c r="F1109" s="1844"/>
      <c r="G1109" s="1844"/>
      <c r="H1109" s="1018"/>
      <c r="I1109" s="1142"/>
    </row>
    <row r="1110" spans="1:9" ht="12.75" customHeight="1">
      <c r="A1110" s="118"/>
      <c r="B1110" s="118"/>
      <c r="C1110" s="350"/>
      <c r="D1110" s="3"/>
      <c r="E1110" s="3"/>
      <c r="F1110" s="3"/>
      <c r="G1110" s="3"/>
      <c r="I1110" s="486"/>
    </row>
    <row r="1111" spans="1:9" ht="12.75" hidden="1" customHeight="1">
      <c r="A1111" s="118"/>
      <c r="B1111" s="398"/>
      <c r="D1111" s="1849" t="s">
        <v>1271</v>
      </c>
      <c r="E1111" s="1849"/>
      <c r="F1111" s="1849"/>
      <c r="G1111" s="3"/>
      <c r="I1111" s="486"/>
    </row>
    <row r="1112" spans="1:9" ht="12.75" hidden="1" customHeight="1">
      <c r="A1112" s="118"/>
      <c r="B1112" s="481" t="s">
        <v>307</v>
      </c>
      <c r="D1112" s="1848" t="s">
        <v>1270</v>
      </c>
      <c r="E1112" s="1848"/>
      <c r="F1112" s="1848"/>
      <c r="G1112" s="3"/>
      <c r="I1112" s="486"/>
    </row>
    <row r="1113" spans="1:9" ht="12.75" hidden="1" customHeight="1">
      <c r="A1113" s="118"/>
      <c r="B1113" s="398"/>
      <c r="D1113" s="1848" t="s">
        <v>1795</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51" t="s">
        <v>1066</v>
      </c>
      <c r="E1115" s="1851"/>
      <c r="F1115" s="1851"/>
      <c r="G1115" s="3"/>
      <c r="I1115" s="486"/>
    </row>
    <row r="1116" spans="1:9" ht="12.75" customHeight="1">
      <c r="A1116" s="316"/>
      <c r="B1116" s="316"/>
      <c r="C1116" s="316"/>
      <c r="D1116" s="1840" t="s">
        <v>2195</v>
      </c>
      <c r="E1116" s="1840"/>
      <c r="F1116" s="1840"/>
      <c r="G1116" s="98"/>
      <c r="I1116" s="486"/>
    </row>
    <row r="1117" spans="1:9" ht="12.75" customHeight="1">
      <c r="A1117" s="175"/>
      <c r="B1117" s="481" t="s">
        <v>2831</v>
      </c>
      <c r="C1117" s="350"/>
      <c r="D1117" s="1840" t="s">
        <v>985</v>
      </c>
      <c r="E1117" s="1840"/>
      <c r="F1117" s="1840"/>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44" t="s">
        <v>2605</v>
      </c>
      <c r="B1120" s="1844"/>
      <c r="C1120" s="1844"/>
      <c r="D1120" s="1844"/>
      <c r="E1120" s="1844"/>
      <c r="F1120" s="1844"/>
      <c r="G1120" s="1844"/>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2831</v>
      </c>
      <c r="C1125" s="398"/>
      <c r="D1125" s="1855" t="s">
        <v>2655</v>
      </c>
      <c r="E1125" s="1855"/>
      <c r="F1125" s="1855"/>
      <c r="I1125" s="486"/>
    </row>
    <row r="1126" spans="1:9">
      <c r="A1126" s="398"/>
      <c r="B1126" s="398"/>
      <c r="C1126" s="398"/>
      <c r="D1126" s="1855"/>
      <c r="E1126" s="1855"/>
      <c r="F1126" s="1855"/>
      <c r="I1126" s="486"/>
    </row>
    <row r="1127" spans="1:9">
      <c r="A1127" s="398"/>
      <c r="B1127" s="398"/>
      <c r="C1127" s="398"/>
      <c r="D1127" s="1855"/>
      <c r="E1127" s="1855"/>
      <c r="F1127" s="1855"/>
      <c r="I1127" s="486"/>
    </row>
    <row r="1128" spans="1:9">
      <c r="A1128" s="398"/>
      <c r="B1128" s="398"/>
      <c r="C1128" s="398"/>
      <c r="D1128" s="1855"/>
      <c r="E1128" s="1855"/>
      <c r="F1128" s="1855"/>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2830</v>
      </c>
      <c r="C1133" s="398"/>
      <c r="D1133" s="398" t="s">
        <v>1796</v>
      </c>
      <c r="I1133" s="486"/>
    </row>
    <row r="1134" spans="1:9">
      <c r="A1134" s="398"/>
      <c r="B1134" s="398"/>
      <c r="C1134" s="398"/>
      <c r="I1134" s="486"/>
    </row>
    <row r="1135" spans="1:9">
      <c r="A1135" s="398"/>
      <c r="B1135" s="481" t="s">
        <v>2830</v>
      </c>
      <c r="C1135" s="398"/>
      <c r="D1135" s="1855" t="s">
        <v>1798</v>
      </c>
      <c r="E1135" s="1855"/>
      <c r="F1135" s="1855"/>
      <c r="I1135" s="486"/>
    </row>
    <row r="1136" spans="1:9">
      <c r="A1136" s="398"/>
      <c r="B1136" s="398"/>
      <c r="C1136" s="398"/>
      <c r="D1136" s="1855"/>
      <c r="E1136" s="1855"/>
      <c r="F1136" s="1855"/>
      <c r="I1136" s="486"/>
    </row>
    <row r="1137" spans="1:9">
      <c r="A1137" s="398"/>
      <c r="B1137" s="398"/>
      <c r="C1137" s="398"/>
      <c r="D1137" s="1855"/>
      <c r="E1137" s="1855"/>
      <c r="F1137" s="1855"/>
      <c r="I1137" s="486"/>
    </row>
    <row r="1138" spans="1:9">
      <c r="A1138" s="398"/>
      <c r="B1138" s="398"/>
      <c r="C1138" s="398"/>
      <c r="D1138" s="1855"/>
      <c r="E1138" s="1855"/>
      <c r="F1138" s="1855"/>
      <c r="I1138" s="486"/>
    </row>
    <row r="1139" spans="1:9">
      <c r="A1139" s="398"/>
      <c r="B1139" s="398"/>
      <c r="C1139" s="398"/>
      <c r="D1139" s="1855"/>
      <c r="E1139" s="1855"/>
      <c r="F1139" s="1855"/>
      <c r="I1139" s="486"/>
    </row>
    <row r="1140" spans="1:9">
      <c r="A1140" s="398"/>
      <c r="B1140" s="398"/>
      <c r="C1140" s="398"/>
      <c r="I1140" s="486"/>
    </row>
    <row r="1141" spans="1:9">
      <c r="A1141" s="1844" t="s">
        <v>1799</v>
      </c>
      <c r="B1141" s="1844"/>
      <c r="C1141" s="1844"/>
      <c r="D1141" s="1844"/>
      <c r="E1141" s="1844"/>
      <c r="F1141" s="1844"/>
      <c r="G1141" s="1844"/>
      <c r="H1141" s="1018"/>
      <c r="I1141" s="1142"/>
    </row>
    <row r="1142" spans="1:9">
      <c r="A1142" s="398"/>
      <c r="B1142" s="398"/>
      <c r="C1142" s="398"/>
      <c r="I1142" s="486"/>
    </row>
    <row r="1143" spans="1:9">
      <c r="A1143" s="398"/>
      <c r="B1143" s="398"/>
      <c r="C1143" s="398"/>
      <c r="I1143" s="486"/>
    </row>
    <row r="1144" spans="1:9">
      <c r="A1144" s="398"/>
      <c r="B1144" s="481" t="s">
        <v>2830</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2830</v>
      </c>
      <c r="C1147" s="398"/>
      <c r="D1147" s="1291" t="s">
        <v>2611</v>
      </c>
      <c r="E1147" s="1291"/>
      <c r="F1147" s="1291"/>
      <c r="I1147" s="486"/>
    </row>
    <row r="1148" spans="1:9">
      <c r="A1148" s="398"/>
      <c r="B1148" s="398"/>
      <c r="C1148" s="398"/>
      <c r="D1148" s="1291"/>
      <c r="E1148" s="1291"/>
      <c r="F1148" s="1291"/>
      <c r="I1148" s="486"/>
    </row>
    <row r="1149" spans="1:9">
      <c r="A1149" s="398"/>
      <c r="B1149" s="398"/>
      <c r="C1149" s="398"/>
      <c r="D1149" s="523" t="s">
        <v>2610</v>
      </c>
      <c r="I1149" s="486"/>
    </row>
    <row r="1150" spans="1:9">
      <c r="A1150" s="398"/>
      <c r="B1150" s="398"/>
      <c r="C1150" s="398"/>
      <c r="D1150" s="523"/>
      <c r="I1150" s="486"/>
    </row>
    <row r="1151" spans="1:9">
      <c r="A1151" s="398"/>
      <c r="B1151" s="481" t="s">
        <v>2831</v>
      </c>
      <c r="C1151" s="398"/>
      <c r="D1151" s="119" t="s">
        <v>2619</v>
      </c>
      <c r="I1151" s="486"/>
    </row>
    <row r="1152" spans="1:9">
      <c r="A1152" s="398"/>
      <c r="B1152" s="398"/>
      <c r="C1152" s="398"/>
      <c r="D1152" s="1460" t="s">
        <v>2621</v>
      </c>
      <c r="E1152" s="1460"/>
      <c r="F1152" s="1460"/>
      <c r="I1152" s="486"/>
    </row>
    <row r="1153" spans="1:9">
      <c r="A1153" s="398"/>
      <c r="B1153" s="398"/>
      <c r="C1153" s="398"/>
      <c r="D1153" s="1460"/>
      <c r="E1153" s="1460"/>
      <c r="F1153" s="1460"/>
      <c r="I1153" s="486"/>
    </row>
    <row r="1154" spans="1:9">
      <c r="A1154" s="398"/>
      <c r="B1154" s="398"/>
      <c r="C1154" s="398"/>
      <c r="D1154" s="1460"/>
      <c r="E1154" s="1460"/>
      <c r="F1154" s="1460"/>
      <c r="I1154" s="486"/>
    </row>
    <row r="1155" spans="1:9">
      <c r="A1155" s="398"/>
      <c r="B1155" s="398"/>
      <c r="C1155" s="398"/>
      <c r="D1155" s="1460"/>
      <c r="E1155" s="1460"/>
      <c r="F1155" s="1460"/>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2831</v>
      </c>
      <c r="C1159" s="398"/>
      <c r="D1159" s="1854" t="s">
        <v>1801</v>
      </c>
      <c r="E1159" s="1854"/>
      <c r="F1159" s="1854"/>
      <c r="I1159" s="486"/>
    </row>
    <row r="1160" spans="1:9">
      <c r="A1160" s="398"/>
      <c r="B1160" s="398"/>
      <c r="C1160" s="398"/>
      <c r="D1160" s="1854"/>
      <c r="E1160" s="1854"/>
      <c r="F1160" s="1854"/>
      <c r="I1160" s="486"/>
    </row>
    <row r="1161" spans="1:9">
      <c r="A1161" s="398"/>
      <c r="B1161" s="398"/>
      <c r="C1161" s="398"/>
      <c r="D1161" s="1854"/>
      <c r="E1161" s="1854"/>
      <c r="F1161" s="1854"/>
      <c r="I1161" s="486"/>
    </row>
    <row r="1162" spans="1:9">
      <c r="A1162" s="398"/>
      <c r="B1162" s="398"/>
      <c r="C1162" s="398"/>
      <c r="D1162" s="1854"/>
      <c r="E1162" s="1854"/>
      <c r="F1162" s="1854"/>
      <c r="I1162" s="486"/>
    </row>
    <row r="1163" spans="1:9">
      <c r="A1163" s="398"/>
      <c r="B1163" s="398"/>
      <c r="C1163" s="398"/>
      <c r="D1163" s="1854"/>
      <c r="E1163" s="1854"/>
      <c r="F1163" s="1854"/>
      <c r="I1163" s="486"/>
    </row>
    <row r="1164" spans="1:9">
      <c r="A1164" s="398"/>
      <c r="B1164" s="398"/>
      <c r="C1164" s="398"/>
      <c r="D1164" s="523" t="s">
        <v>2622</v>
      </c>
      <c r="I1164" s="486"/>
    </row>
    <row r="1165" spans="1:9">
      <c r="A1165" s="398"/>
      <c r="B1165" s="398"/>
      <c r="C1165" s="398"/>
      <c r="I1165" s="486"/>
    </row>
    <row r="1166" spans="1:9">
      <c r="A1166" s="398"/>
      <c r="B1166" s="481" t="s">
        <v>2831</v>
      </c>
      <c r="C1166" s="398"/>
      <c r="D1166" s="1833" t="s">
        <v>2216</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44" t="s">
        <v>1803</v>
      </c>
      <c r="B1170" s="1844"/>
      <c r="C1170" s="1844"/>
      <c r="D1170" s="1844"/>
      <c r="E1170" s="1844"/>
      <c r="F1170" s="1844"/>
      <c r="G1170" s="1844"/>
      <c r="H1170" s="1018"/>
      <c r="I1170" s="1142"/>
    </row>
    <row r="1171" spans="1:9">
      <c r="A1171" s="398"/>
      <c r="B1171" s="398"/>
      <c r="C1171" s="398"/>
      <c r="I1171" s="486"/>
    </row>
    <row r="1172" spans="1:9">
      <c r="A1172" s="398"/>
      <c r="B1172" s="398"/>
      <c r="C1172" s="398"/>
      <c r="I1172" s="486"/>
    </row>
    <row r="1173" spans="1:9" ht="12.75" customHeight="1">
      <c r="A1173" s="398"/>
      <c r="B1173" s="481" t="s">
        <v>2831</v>
      </c>
      <c r="C1173" s="398"/>
      <c r="D1173" s="1292" t="s">
        <v>1897</v>
      </c>
      <c r="E1173" s="1292"/>
      <c r="F1173" s="1292"/>
      <c r="I1173" s="486"/>
    </row>
    <row r="1174" spans="1:9">
      <c r="A1174" s="398"/>
      <c r="B1174" s="398"/>
      <c r="C1174" s="398"/>
      <c r="D1174" s="1292"/>
      <c r="E1174" s="1292"/>
      <c r="F1174" s="1292"/>
      <c r="I1174" s="486"/>
    </row>
    <row r="1175" spans="1:9">
      <c r="A1175" s="398"/>
      <c r="B1175" s="398"/>
      <c r="C1175" s="398"/>
      <c r="D1175" s="1856" t="s">
        <v>2626</v>
      </c>
      <c r="E1175" s="1460"/>
      <c r="F1175" s="1460"/>
      <c r="I1175" s="486"/>
    </row>
    <row r="1176" spans="1:9">
      <c r="A1176" s="398"/>
      <c r="B1176" s="398"/>
      <c r="C1176" s="398"/>
      <c r="D1176" s="523"/>
      <c r="I1176" s="486"/>
    </row>
    <row r="1177" spans="1:9">
      <c r="A1177" s="398"/>
      <c r="B1177" s="481" t="s">
        <v>2831</v>
      </c>
      <c r="C1177" s="398"/>
      <c r="D1177" s="1854" t="s">
        <v>2575</v>
      </c>
      <c r="E1177" s="1854"/>
      <c r="F1177" s="1854"/>
      <c r="I1177" s="486"/>
    </row>
    <row r="1178" spans="1:9">
      <c r="A1178" s="398"/>
      <c r="B1178" s="398"/>
      <c r="C1178" s="398"/>
      <c r="D1178" s="1854"/>
      <c r="E1178" s="1854"/>
      <c r="F1178" s="1854"/>
      <c r="I1178" s="486"/>
    </row>
    <row r="1179" spans="1:9">
      <c r="A1179" s="398"/>
      <c r="B1179" s="398"/>
      <c r="C1179" s="398"/>
      <c r="D1179" s="1854"/>
      <c r="E1179" s="1854"/>
      <c r="F1179" s="1854"/>
      <c r="I1179" s="486"/>
    </row>
    <row r="1180" spans="1:9">
      <c r="A1180" s="398"/>
      <c r="B1180" s="398"/>
      <c r="C1180" s="398"/>
      <c r="D1180" s="523"/>
      <c r="I1180" s="486"/>
    </row>
    <row r="1181" spans="1:9">
      <c r="A1181" s="398"/>
      <c r="B1181" s="481" t="s">
        <v>2831</v>
      </c>
      <c r="C1181" s="398"/>
      <c r="D1181" s="1854" t="s">
        <v>2594</v>
      </c>
      <c r="E1181" s="1854"/>
      <c r="F1181" s="1854"/>
      <c r="I1181" s="486"/>
    </row>
    <row r="1182" spans="1:9">
      <c r="A1182" s="398"/>
      <c r="B1182" s="398"/>
      <c r="C1182" s="398"/>
      <c r="D1182" s="1854"/>
      <c r="E1182" s="1854"/>
      <c r="F1182" s="1854"/>
      <c r="I1182" s="486"/>
    </row>
    <row r="1183" spans="1:9">
      <c r="A1183" s="398"/>
      <c r="B1183" s="398"/>
      <c r="C1183" s="398"/>
      <c r="D1183" s="1854"/>
      <c r="E1183" s="1854"/>
      <c r="F1183" s="1854"/>
      <c r="I1183" s="486"/>
    </row>
    <row r="1184" spans="1:9">
      <c r="A1184" s="398"/>
      <c r="B1184" s="398"/>
      <c r="C1184" s="398"/>
      <c r="D1184" s="1854"/>
      <c r="E1184" s="1854"/>
      <c r="F1184" s="1854"/>
      <c r="I1184" s="486"/>
    </row>
    <row r="1185" spans="1:9">
      <c r="A1185" s="398"/>
      <c r="B1185" s="398"/>
      <c r="C1185" s="398"/>
      <c r="D1185" s="1854"/>
      <c r="E1185" s="1854"/>
      <c r="F1185" s="1854"/>
      <c r="I1185" s="486"/>
    </row>
    <row r="1186" spans="1:9">
      <c r="A1186" s="398"/>
      <c r="B1186" s="398"/>
      <c r="C1186" s="398"/>
      <c r="D1186" s="523"/>
      <c r="I1186" s="476"/>
    </row>
    <row r="1187" spans="1:9">
      <c r="A1187" s="398"/>
      <c r="B1187" s="481" t="s">
        <v>2831</v>
      </c>
      <c r="C1187" s="398"/>
      <c r="D1187" s="1854" t="s">
        <v>1804</v>
      </c>
      <c r="E1187" s="1854"/>
      <c r="F1187" s="1854"/>
      <c r="I1187" s="486"/>
    </row>
    <row r="1188" spans="1:9">
      <c r="A1188" s="398"/>
      <c r="B1188" s="398"/>
      <c r="C1188" s="398"/>
      <c r="D1188" s="1854"/>
      <c r="E1188" s="1854"/>
      <c r="F1188" s="1854"/>
      <c r="I1188" s="486"/>
    </row>
    <row r="1189" spans="1:9">
      <c r="A1189" s="398"/>
      <c r="B1189" s="398"/>
      <c r="C1189" s="398"/>
      <c r="D1189" s="1854"/>
      <c r="E1189" s="1854"/>
      <c r="F1189" s="1854"/>
      <c r="I1189" s="486"/>
    </row>
    <row r="1190" spans="1:9">
      <c r="A1190" s="398"/>
      <c r="B1190" s="398"/>
      <c r="C1190" s="398"/>
      <c r="D1190" s="523"/>
      <c r="I1190" s="486"/>
    </row>
    <row r="1191" spans="1:9">
      <c r="A1191" s="398"/>
      <c r="B1191" s="481" t="s">
        <v>2830</v>
      </c>
      <c r="C1191" s="398"/>
      <c r="D1191" s="1325" t="s">
        <v>1856</v>
      </c>
      <c r="E1191" s="1325"/>
      <c r="F1191" s="1325"/>
      <c r="I1191" s="486"/>
    </row>
    <row r="1192" spans="1:9">
      <c r="A1192" s="398"/>
      <c r="B1192" s="398"/>
      <c r="C1192" s="398"/>
      <c r="D1192" s="1325"/>
      <c r="E1192" s="1325"/>
      <c r="F1192" s="1325"/>
      <c r="I1192" s="486"/>
    </row>
    <row r="1193" spans="1:9">
      <c r="A1193" s="398"/>
      <c r="B1193" s="398"/>
      <c r="C1193" s="398"/>
      <c r="D1193" s="1325"/>
      <c r="E1193" s="1325"/>
      <c r="F1193" s="1325"/>
      <c r="I1193" s="486"/>
    </row>
    <row r="1194" spans="1:9">
      <c r="A1194" s="398"/>
      <c r="B1194" s="398"/>
      <c r="C1194" s="398"/>
      <c r="D1194" s="970"/>
      <c r="E1194" s="970"/>
      <c r="F1194" s="970"/>
      <c r="I1194" s="486"/>
    </row>
    <row r="1195" spans="1:9" ht="15.75" customHeight="1">
      <c r="A1195" s="398"/>
      <c r="B1195" s="481" t="s">
        <v>2831</v>
      </c>
      <c r="C1195" s="398"/>
      <c r="D1195" s="1460" t="s">
        <v>1857</v>
      </c>
      <c r="E1195" s="1460"/>
      <c r="F1195" s="1460"/>
      <c r="I1195" s="486"/>
    </row>
    <row r="1196" spans="1:9">
      <c r="A1196" s="398"/>
      <c r="B1196" s="398"/>
      <c r="C1196" s="398"/>
      <c r="D1196" s="1460"/>
      <c r="E1196" s="1460"/>
      <c r="F1196" s="1460"/>
      <c r="I1196" s="486"/>
    </row>
    <row r="1197" spans="1:9">
      <c r="A1197" s="398"/>
      <c r="B1197" s="398"/>
      <c r="C1197" s="398"/>
      <c r="D1197" s="1460"/>
      <c r="E1197" s="1460"/>
      <c r="F1197" s="1460"/>
      <c r="I1197" s="486"/>
    </row>
    <row r="1198" spans="1:9">
      <c r="A1198" s="398"/>
      <c r="B1198" s="398"/>
      <c r="C1198" s="398"/>
      <c r="D1198" s="1460"/>
      <c r="E1198" s="1460"/>
      <c r="F1198" s="1460"/>
      <c r="I1198" s="486"/>
    </row>
    <row r="1199" spans="1:9">
      <c r="A1199" s="398"/>
      <c r="B1199" s="398"/>
      <c r="C1199" s="398"/>
      <c r="D1199" s="970"/>
      <c r="E1199" s="970"/>
      <c r="F1199" s="970"/>
      <c r="I1199" s="486"/>
    </row>
    <row r="1200" spans="1:9">
      <c r="A1200" s="398"/>
      <c r="B1200" s="481" t="s">
        <v>2831</v>
      </c>
      <c r="C1200" s="398"/>
      <c r="D1200" s="1325" t="s">
        <v>2603</v>
      </c>
      <c r="E1200" s="1325"/>
      <c r="F1200" s="1325"/>
      <c r="I1200" s="486"/>
    </row>
    <row r="1201" spans="1:9">
      <c r="A1201" s="398"/>
      <c r="B1201" s="398"/>
      <c r="C1201" s="398"/>
      <c r="D1201" s="1325"/>
      <c r="E1201" s="1325"/>
      <c r="F1201" s="1325"/>
      <c r="I1201" s="486"/>
    </row>
    <row r="1202" spans="1:9">
      <c r="A1202" s="398"/>
      <c r="B1202" s="398"/>
      <c r="C1202" s="398"/>
      <c r="D1202" s="1325"/>
      <c r="E1202" s="1325"/>
      <c r="F1202" s="1325"/>
      <c r="I1202" s="486"/>
    </row>
    <row r="1203" spans="1:9">
      <c r="A1203" s="398"/>
      <c r="B1203" s="398"/>
      <c r="C1203" s="398"/>
      <c r="D1203" s="1325"/>
      <c r="E1203" s="1325"/>
      <c r="F1203" s="1325"/>
      <c r="I1203" s="486"/>
    </row>
    <row r="1204" spans="1:9">
      <c r="A1204" s="398"/>
      <c r="B1204" s="398"/>
      <c r="C1204" s="398"/>
      <c r="D1204" s="1325"/>
      <c r="E1204" s="1325"/>
      <c r="F1204" s="1325"/>
      <c r="I1204" s="486"/>
    </row>
    <row r="1205" spans="1:9">
      <c r="A1205" s="398"/>
      <c r="B1205" s="398"/>
      <c r="C1205" s="398"/>
      <c r="D1205" s="1325"/>
      <c r="E1205" s="1325"/>
      <c r="F1205" s="1325"/>
      <c r="I1205" s="486"/>
    </row>
    <row r="1206" spans="1:9">
      <c r="A1206" s="398"/>
      <c r="B1206" s="398"/>
      <c r="C1206" s="398"/>
      <c r="D1206" s="970"/>
      <c r="E1206" s="970"/>
      <c r="F1206" s="970"/>
      <c r="I1206" s="486"/>
    </row>
    <row r="1207" spans="1:9">
      <c r="A1207" s="398"/>
      <c r="B1207" s="481" t="s">
        <v>2831</v>
      </c>
      <c r="C1207" s="398"/>
      <c r="D1207" s="1855" t="s">
        <v>2576</v>
      </c>
      <c r="E1207" s="1855"/>
      <c r="F1207" s="1855"/>
      <c r="I1207" s="1148"/>
    </row>
    <row r="1208" spans="1:9">
      <c r="A1208" s="398"/>
      <c r="B1208" s="398"/>
      <c r="C1208" s="398"/>
      <c r="D1208" s="1855"/>
      <c r="E1208" s="1855"/>
      <c r="F1208" s="1855"/>
      <c r="I1208" s="486"/>
    </row>
    <row r="1209" spans="1:9">
      <c r="A1209" s="398"/>
      <c r="B1209" s="398"/>
      <c r="C1209" s="398"/>
      <c r="D1209" s="1855"/>
      <c r="E1209" s="1855"/>
      <c r="F1209" s="1855"/>
    </row>
    <row r="1210" spans="1:9">
      <c r="A1210" s="398"/>
      <c r="B1210" s="398"/>
      <c r="C1210" s="398"/>
      <c r="D1210" s="1855"/>
      <c r="E1210" s="1855"/>
      <c r="F1210" s="1855"/>
    </row>
    <row r="1211" spans="1:9">
      <c r="A1211" s="398"/>
      <c r="B1211" s="398"/>
      <c r="C1211" s="398"/>
      <c r="D1211" s="1855"/>
      <c r="E1211" s="1855"/>
      <c r="F1211" s="185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60"/>
      <c r="H1619" s="1860"/>
      <c r="I1619" s="1860"/>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249" zoomScale="90" zoomScaleNormal="90" workbookViewId="0">
      <selection activeCell="M260" sqref="M260:AE260"/>
    </sheetView>
  </sheetViews>
  <sheetFormatPr defaultColWidth="0" defaultRowHeight="0" customHeight="1" zeroHeight="1"/>
  <cols>
    <col min="1" max="45" width="2.6640625" customWidth="1"/>
    <col min="46" max="46" width="12.44140625" customWidth="1"/>
    <col min="47" max="16384" width="12.44140625" hidden="1"/>
  </cols>
  <sheetData>
    <row r="1" spans="1:58" ht="12.9" customHeight="1">
      <c r="J1" s="100"/>
      <c r="AS1" s="1021">
        <v>4</v>
      </c>
      <c r="BD1" s="3" t="s">
        <v>2421</v>
      </c>
      <c r="BE1" s="3"/>
      <c r="BF1" s="3"/>
    </row>
    <row r="2" spans="1:58" ht="12.9" customHeight="1">
      <c r="BD2" s="3" t="s">
        <v>2422</v>
      </c>
      <c r="BE2" s="3" t="s">
        <v>2423</v>
      </c>
      <c r="BF2" s="3" t="s">
        <v>2424</v>
      </c>
    </row>
    <row r="3" spans="1:58" ht="12.9" customHeight="1">
      <c r="BD3" s="3" t="s">
        <v>2516</v>
      </c>
      <c r="BE3" t="str">
        <f>AC220</f>
        <v xml:space="preserve">Coastal (Monterey, Napa, Orange, San Benito, San Diego, San Luis Obispo, Santa Barbara, Sonoma, and Ventura Counties) </v>
      </c>
    </row>
    <row r="4" spans="1:58" ht="12.9" customHeight="1">
      <c r="BD4" s="3" t="s">
        <v>2431</v>
      </c>
      <c r="BE4" s="1175"/>
    </row>
    <row r="5" spans="1:58" ht="12.9" customHeight="1">
      <c r="BD5" s="3" t="s">
        <v>2432</v>
      </c>
      <c r="BE5">
        <f>SUMIF($AC$726:$AC$760,"&lt;=20%",$G$726:G$760)</f>
        <v>0</v>
      </c>
      <c r="BF5" s="3" t="s">
        <v>2437</v>
      </c>
    </row>
    <row r="6" spans="1:58" ht="12.9" customHeight="1">
      <c r="BD6" s="3" t="s">
        <v>2433</v>
      </c>
      <c r="BE6" s="1178">
        <f>SUMIF($AC$726:$AC$760,"&lt;=25%",$G$726:G$760)-SUM($BE$5:BE5)</f>
        <v>0</v>
      </c>
    </row>
    <row r="7" spans="1:58" ht="12.9" customHeight="1">
      <c r="BD7" s="1176" t="s">
        <v>2425</v>
      </c>
      <c r="BE7" s="1178">
        <f>SUMIF($AC$726:$AC$760,"&lt;=30%",$G$726:G$760)-SUM($BE$5:BE6)</f>
        <v>19</v>
      </c>
    </row>
    <row r="8" spans="1:58" ht="26.25" customHeight="1">
      <c r="A8" s="1455" t="s">
        <v>100</v>
      </c>
      <c r="B8" s="1455"/>
      <c r="C8" s="1455"/>
      <c r="D8" s="1455"/>
      <c r="E8" s="1455"/>
      <c r="F8" s="1455"/>
      <c r="G8" s="1455"/>
      <c r="H8" s="1455"/>
      <c r="I8" s="1455"/>
      <c r="J8" s="1455"/>
      <c r="K8" s="1455"/>
      <c r="L8" s="1455"/>
      <c r="M8" s="1455"/>
      <c r="N8" s="1455"/>
      <c r="O8" s="1455"/>
      <c r="P8" s="1455"/>
      <c r="Q8" s="1455"/>
      <c r="R8" s="1455"/>
      <c r="S8" s="1455"/>
      <c r="T8" s="1455"/>
      <c r="U8" s="1455"/>
      <c r="V8" s="1455"/>
      <c r="W8" s="1455"/>
      <c r="X8" s="1455"/>
      <c r="Y8" s="1455"/>
      <c r="Z8" s="1455"/>
      <c r="AA8" s="1455"/>
      <c r="AB8" s="1455"/>
      <c r="AC8" s="1455"/>
      <c r="AD8" s="1455"/>
      <c r="AE8" s="1455"/>
      <c r="AF8" s="1455"/>
      <c r="AG8" s="1455"/>
      <c r="AH8" s="1455"/>
      <c r="AI8" s="1455"/>
      <c r="AJ8" s="1455"/>
      <c r="AK8" s="1455"/>
      <c r="AL8" s="1455"/>
      <c r="AM8" s="1455"/>
      <c r="AN8" s="1455"/>
      <c r="AO8" s="1455"/>
      <c r="AP8" s="1455"/>
      <c r="AQ8" s="1455"/>
      <c r="AR8" s="1455"/>
      <c r="AS8" s="1455"/>
      <c r="AT8" s="1455"/>
      <c r="AU8" s="889"/>
      <c r="AV8" s="889"/>
      <c r="AW8" s="889"/>
      <c r="AX8" s="889"/>
      <c r="AY8" s="889"/>
      <c r="BD8" s="3" t="s">
        <v>2434</v>
      </c>
      <c r="BE8" s="1178">
        <f>SUMIF($AC$726:$AC$760,"&lt;=35%",$G$726:G$760)-SUM($BE$5:BE7)</f>
        <v>0</v>
      </c>
    </row>
    <row r="9" spans="1:58" ht="12.9" customHeight="1">
      <c r="A9" s="1369" t="s">
        <v>2027</v>
      </c>
      <c r="B9" s="1369"/>
      <c r="C9" s="1369"/>
      <c r="D9" s="1369"/>
      <c r="E9" s="1369"/>
      <c r="F9" s="1369"/>
      <c r="G9" s="1369"/>
      <c r="H9" s="1369"/>
      <c r="I9" s="1369"/>
      <c r="J9" s="1369"/>
      <c r="K9" s="1369"/>
      <c r="L9" s="1369"/>
      <c r="M9" s="1369"/>
      <c r="N9" s="1369"/>
      <c r="O9" s="1369"/>
      <c r="P9" s="1369"/>
      <c r="Q9" s="1369"/>
      <c r="R9" s="1369"/>
      <c r="S9" s="1369"/>
      <c r="T9" s="1369"/>
      <c r="U9" s="1369"/>
      <c r="V9" s="1369"/>
      <c r="W9" s="1369"/>
      <c r="X9" s="1369"/>
      <c r="Y9" s="1369"/>
      <c r="Z9" s="1369"/>
      <c r="AA9" s="1369"/>
      <c r="AB9" s="1369"/>
      <c r="AC9" s="1369"/>
      <c r="AD9" s="1369"/>
      <c r="AE9" s="1369"/>
      <c r="AF9" s="1369"/>
      <c r="AG9" s="1369"/>
      <c r="AH9" s="1369"/>
      <c r="AI9" s="1369"/>
      <c r="AJ9" s="1369"/>
      <c r="AK9" s="1369"/>
      <c r="AL9" s="1369"/>
      <c r="AM9" s="1369"/>
      <c r="AN9" s="1369"/>
      <c r="AO9" s="1369"/>
      <c r="AP9" s="1369"/>
      <c r="AQ9" s="1369"/>
      <c r="AR9" s="1369"/>
      <c r="AS9" s="1369"/>
      <c r="AT9" s="1369"/>
      <c r="AU9" s="13"/>
      <c r="AV9" s="13"/>
      <c r="AW9" s="13"/>
      <c r="AX9" s="13"/>
      <c r="AY9" s="13"/>
      <c r="BD9" s="1177" t="s">
        <v>2426</v>
      </c>
      <c r="BE9" s="1178">
        <f>SUMIF($AC$726:$AC$760,"&lt;=40%",$G$726:G$760)-SUM($BE$5:BE8)</f>
        <v>0</v>
      </c>
    </row>
    <row r="10" spans="1:58" ht="12.9" customHeight="1">
      <c r="A10" s="1369" t="s">
        <v>2596</v>
      </c>
      <c r="B10" s="1369"/>
      <c r="C10" s="1369"/>
      <c r="D10" s="1369"/>
      <c r="E10" s="1369"/>
      <c r="F10" s="1369"/>
      <c r="G10" s="1369"/>
      <c r="H10" s="1369"/>
      <c r="I10" s="1369"/>
      <c r="J10" s="1369"/>
      <c r="K10" s="1369"/>
      <c r="L10" s="1369"/>
      <c r="M10" s="1369"/>
      <c r="N10" s="1369"/>
      <c r="O10" s="1369"/>
      <c r="P10" s="1369"/>
      <c r="Q10" s="1369"/>
      <c r="R10" s="1369"/>
      <c r="S10" s="1369"/>
      <c r="T10" s="1369"/>
      <c r="U10" s="1369"/>
      <c r="V10" s="1369"/>
      <c r="W10" s="1369"/>
      <c r="X10" s="1369"/>
      <c r="Y10" s="1369"/>
      <c r="Z10" s="1369"/>
      <c r="AA10" s="1369"/>
      <c r="AB10" s="1369"/>
      <c r="AC10" s="1369"/>
      <c r="AD10" s="1369"/>
      <c r="AE10" s="1369"/>
      <c r="AF10" s="1369"/>
      <c r="AG10" s="1369"/>
      <c r="AH10" s="1369"/>
      <c r="AI10" s="1369"/>
      <c r="AJ10" s="1369"/>
      <c r="AK10" s="1369"/>
      <c r="AL10" s="1369"/>
      <c r="AM10" s="1369"/>
      <c r="AN10" s="1369"/>
      <c r="AO10" s="1369"/>
      <c r="AP10" s="1369"/>
      <c r="AQ10" s="1369"/>
      <c r="AR10" s="1369"/>
      <c r="AS10" s="1369"/>
      <c r="AT10" s="1369"/>
      <c r="AU10" s="13"/>
      <c r="AV10" s="13"/>
      <c r="AW10" s="13"/>
      <c r="AX10" s="13"/>
      <c r="AY10" s="13"/>
      <c r="BD10" s="3" t="s">
        <v>2435</v>
      </c>
      <c r="BE10" s="1178">
        <f>SUMIF($AC$726:$AC$760,"&lt;=45%",$G$726:G$760)-SUM($BE$5:BE9)</f>
        <v>0</v>
      </c>
    </row>
    <row r="11" spans="1:58" ht="12.9" customHeight="1">
      <c r="A11" s="1369" t="s">
        <v>2523</v>
      </c>
      <c r="B11" s="1369"/>
      <c r="C11" s="1369"/>
      <c r="D11" s="1369"/>
      <c r="E11" s="1369"/>
      <c r="F11" s="1369"/>
      <c r="G11" s="1369"/>
      <c r="H11" s="1369"/>
      <c r="I11" s="1369"/>
      <c r="J11" s="1369"/>
      <c r="K11" s="1369"/>
      <c r="L11" s="1369"/>
      <c r="M11" s="1369"/>
      <c r="N11" s="1369"/>
      <c r="O11" s="1369"/>
      <c r="P11" s="1369"/>
      <c r="Q11" s="1369"/>
      <c r="R11" s="1369"/>
      <c r="S11" s="1369"/>
      <c r="T11" s="1369"/>
      <c r="U11" s="1369"/>
      <c r="V11" s="1369"/>
      <c r="W11" s="1369"/>
      <c r="X11" s="1369"/>
      <c r="Y11" s="1369"/>
      <c r="Z11" s="1369"/>
      <c r="AA11" s="1369"/>
      <c r="AB11" s="1369"/>
      <c r="AC11" s="1369"/>
      <c r="AD11" s="1369"/>
      <c r="AE11" s="1369"/>
      <c r="AF11" s="1369"/>
      <c r="AG11" s="1369"/>
      <c r="AH11" s="1369"/>
      <c r="AI11" s="1369"/>
      <c r="AJ11" s="1369"/>
      <c r="AK11" s="1369"/>
      <c r="AL11" s="1369"/>
      <c r="AM11" s="1369"/>
      <c r="AN11" s="1369"/>
      <c r="AO11" s="1369"/>
      <c r="AP11" s="1369"/>
      <c r="AQ11" s="1369"/>
      <c r="AR11" s="1369"/>
      <c r="AS11" s="1369"/>
      <c r="AT11" s="1369"/>
      <c r="AU11" s="13"/>
      <c r="AV11" s="13"/>
      <c r="AW11" s="13"/>
      <c r="AX11" s="13"/>
      <c r="AY11" s="13"/>
      <c r="BD11" s="1176" t="s">
        <v>2427</v>
      </c>
      <c r="BE11" s="1178">
        <f>SUMIF($AC$726:$AC$760,"&lt;=50%",$G$726:G$760)-SUM($BE$5:BE10)</f>
        <v>23</v>
      </c>
    </row>
    <row r="12" spans="1:58" ht="12.9" customHeight="1">
      <c r="A12" s="1456" t="s">
        <v>2662</v>
      </c>
      <c r="B12" s="1456"/>
      <c r="C12" s="1456"/>
      <c r="D12" s="1456"/>
      <c r="E12" s="1456"/>
      <c r="F12" s="1456"/>
      <c r="G12" s="1456"/>
      <c r="H12" s="1456"/>
      <c r="I12" s="1456"/>
      <c r="J12" s="1456"/>
      <c r="K12" s="1456"/>
      <c r="L12" s="1456"/>
      <c r="M12" s="1456"/>
      <c r="N12" s="1456"/>
      <c r="O12" s="1456"/>
      <c r="P12" s="1456"/>
      <c r="Q12" s="1456"/>
      <c r="R12" s="1456"/>
      <c r="S12" s="1456"/>
      <c r="T12" s="1456"/>
      <c r="U12" s="1456"/>
      <c r="V12" s="1456"/>
      <c r="W12" s="1456"/>
      <c r="X12" s="1456"/>
      <c r="Y12" s="1456"/>
      <c r="Z12" s="1456"/>
      <c r="AA12" s="1456"/>
      <c r="AB12" s="1456"/>
      <c r="AC12" s="1456"/>
      <c r="AD12" s="1456"/>
      <c r="AE12" s="1456"/>
      <c r="AF12" s="1456"/>
      <c r="AG12" s="1456"/>
      <c r="AH12" s="1456"/>
      <c r="AI12" s="1456"/>
      <c r="AJ12" s="1456"/>
      <c r="AK12" s="1456"/>
      <c r="AL12" s="1456"/>
      <c r="AM12" s="1456"/>
      <c r="AN12" s="1456"/>
      <c r="AO12" s="1456"/>
      <c r="AP12" s="1456"/>
      <c r="AQ12" s="1456"/>
      <c r="AR12" s="1456"/>
      <c r="AS12" s="1456"/>
      <c r="AT12" s="1456"/>
      <c r="AU12" s="6"/>
      <c r="AV12" s="6"/>
      <c r="AW12" s="6"/>
      <c r="AX12" s="6"/>
      <c r="AY12" s="6"/>
      <c r="BD12" s="3" t="s">
        <v>2436</v>
      </c>
      <c r="BE12" s="1178">
        <f>SUMIF($AC$726:$AC$760,"&lt;=55%",$G$726:G$760)-SUM($BE$5:BE11)</f>
        <v>0</v>
      </c>
    </row>
    <row r="13" spans="1:58" ht="12.9" customHeight="1">
      <c r="A13" s="1468" t="s">
        <v>2028</v>
      </c>
      <c r="B13" s="1468"/>
      <c r="C13" s="1468"/>
      <c r="D13" s="1468"/>
      <c r="E13" s="1468"/>
      <c r="F13" s="1468"/>
      <c r="G13" s="1468"/>
      <c r="H13" s="1468"/>
      <c r="I13" s="1468"/>
      <c r="J13" s="1468"/>
      <c r="K13" s="1468"/>
      <c r="L13" s="1468"/>
      <c r="M13" s="1468"/>
      <c r="N13" s="1468"/>
      <c r="O13" s="1468"/>
      <c r="P13" s="1468"/>
      <c r="Q13" s="1468"/>
      <c r="R13" s="1468"/>
      <c r="S13" s="1468"/>
      <c r="T13" s="1468"/>
      <c r="U13" s="1468"/>
      <c r="V13" s="1468"/>
      <c r="W13" s="1468"/>
      <c r="X13" s="1468"/>
      <c r="Y13" s="1468"/>
      <c r="Z13" s="1468"/>
      <c r="AA13" s="1468"/>
      <c r="AB13" s="1468"/>
      <c r="AC13" s="1468"/>
      <c r="AD13" s="1468"/>
      <c r="AE13" s="1468"/>
      <c r="AF13" s="1468"/>
      <c r="AG13" s="1468"/>
      <c r="AH13" s="1468"/>
      <c r="AI13" s="1468"/>
      <c r="AJ13" s="1468"/>
      <c r="AK13" s="1468"/>
      <c r="AL13" s="1468"/>
      <c r="AM13" s="1468"/>
      <c r="AN13" s="1468"/>
      <c r="AO13" s="1468"/>
      <c r="AP13" s="1468"/>
      <c r="AQ13" s="1468"/>
      <c r="AR13" s="1468"/>
      <c r="AS13" s="1468"/>
      <c r="AT13" s="1468"/>
      <c r="AU13" s="890"/>
      <c r="AV13" s="890"/>
      <c r="AW13" s="890"/>
      <c r="AX13" s="890"/>
      <c r="AY13" s="890"/>
      <c r="BD13" s="1177" t="s">
        <v>2428</v>
      </c>
      <c r="BE13" s="1178">
        <f>SUMIF($AC$726:$AC$760,"&lt;=60%",$G$726:G$760)-SUM($BE$5:BE12)</f>
        <v>100</v>
      </c>
    </row>
    <row r="14" spans="1:58" ht="12.9" customHeight="1">
      <c r="A14" s="1468"/>
      <c r="B14" s="1468"/>
      <c r="C14" s="1468"/>
      <c r="D14" s="1468"/>
      <c r="E14" s="1468"/>
      <c r="F14" s="1468"/>
      <c r="G14" s="1468"/>
      <c r="H14" s="1468"/>
      <c r="I14" s="1468"/>
      <c r="J14" s="1468"/>
      <c r="K14" s="1468"/>
      <c r="L14" s="1468"/>
      <c r="M14" s="1468"/>
      <c r="N14" s="1468"/>
      <c r="O14" s="1468"/>
      <c r="P14" s="1468"/>
      <c r="Q14" s="1468"/>
      <c r="R14" s="1468"/>
      <c r="S14" s="1468"/>
      <c r="T14" s="1468"/>
      <c r="U14" s="1468"/>
      <c r="V14" s="1468"/>
      <c r="W14" s="1468"/>
      <c r="X14" s="1468"/>
      <c r="Y14" s="1468"/>
      <c r="Z14" s="1468"/>
      <c r="AA14" s="1468"/>
      <c r="AB14" s="1468"/>
      <c r="AC14" s="1468"/>
      <c r="AD14" s="1468"/>
      <c r="AE14" s="1468"/>
      <c r="AF14" s="1468"/>
      <c r="AG14" s="1468"/>
      <c r="AH14" s="1468"/>
      <c r="AI14" s="1468"/>
      <c r="AJ14" s="1468"/>
      <c r="AK14" s="1468"/>
      <c r="AL14" s="1468"/>
      <c r="AM14" s="1468"/>
      <c r="AN14" s="1468"/>
      <c r="AO14" s="1468"/>
      <c r="AP14" s="1468"/>
      <c r="AQ14" s="1468"/>
      <c r="AR14" s="1468"/>
      <c r="AS14" s="1468"/>
      <c r="AT14" s="1468"/>
      <c r="AU14" s="890"/>
      <c r="AV14" s="890"/>
      <c r="AW14" s="890"/>
      <c r="AX14" s="890"/>
      <c r="AY14" s="890"/>
      <c r="BD14" s="1176" t="s">
        <v>2429</v>
      </c>
      <c r="BE14" s="1178">
        <f>SUMIF($AC$726:$AC$760,"&lt;=70%",$G$726:G$760)-SUM($BE$5:BE13)</f>
        <v>0</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40</v>
      </c>
    </row>
    <row r="16" spans="1:58" ht="12.9" customHeight="1">
      <c r="A16" s="57" t="s">
        <v>2029</v>
      </c>
      <c r="C16" s="4"/>
      <c r="D16" s="4"/>
      <c r="E16" s="4"/>
      <c r="F16" s="4"/>
      <c r="G16" s="4"/>
      <c r="H16" s="1465" t="s">
        <v>2693</v>
      </c>
      <c r="I16" s="1466"/>
      <c r="J16" s="1466"/>
      <c r="K16" s="1466"/>
      <c r="L16" s="1466"/>
      <c r="M16" s="1466"/>
      <c r="N16" s="1466"/>
      <c r="O16" s="1466"/>
      <c r="P16" s="1466"/>
      <c r="Q16" s="1466"/>
      <c r="R16" s="1466"/>
      <c r="S16" s="1466"/>
      <c r="T16" s="1466"/>
      <c r="U16" s="1466"/>
      <c r="V16" s="1466"/>
      <c r="W16" s="1466"/>
      <c r="X16" s="1466"/>
      <c r="Y16" s="1466"/>
      <c r="Z16" s="1466"/>
      <c r="AA16" s="1466"/>
      <c r="AB16" s="1466"/>
      <c r="AC16" s="1466"/>
      <c r="AD16" s="1466"/>
      <c r="AE16" s="1466"/>
      <c r="AF16" s="1466"/>
      <c r="AG16" s="1466"/>
      <c r="AH16" s="1466"/>
      <c r="AI16" s="1466"/>
      <c r="AJ16" s="1466"/>
      <c r="BD16" s="1177" t="s">
        <v>656</v>
      </c>
      <c r="BE16" s="1178" t="str">
        <f>Application!H18</f>
        <v xml:space="preserve">610 W Ash </v>
      </c>
    </row>
    <row r="17" spans="1:58" ht="12.9" customHeight="1">
      <c r="BD17" s="1176" t="s">
        <v>2442</v>
      </c>
      <c r="BE17" s="1178">
        <f>Application!AA943</f>
        <v>0</v>
      </c>
    </row>
    <row r="18" spans="1:58" ht="12.9" customHeight="1">
      <c r="A18" s="57" t="s">
        <v>101</v>
      </c>
      <c r="C18" s="4"/>
      <c r="D18" s="4"/>
      <c r="E18" s="4"/>
      <c r="F18" s="4"/>
      <c r="G18" s="4"/>
      <c r="H18" s="1462" t="s">
        <v>2686</v>
      </c>
      <c r="I18" s="1463"/>
      <c r="J18" s="1463"/>
      <c r="K18" s="1463"/>
      <c r="L18" s="1463"/>
      <c r="M18" s="1463"/>
      <c r="N18" s="1463"/>
      <c r="O18" s="1463"/>
      <c r="P18" s="1463"/>
      <c r="Q18" s="1463"/>
      <c r="R18" s="1463"/>
      <c r="S18" s="1463"/>
      <c r="T18" s="1463"/>
      <c r="U18" s="1463"/>
      <c r="V18" s="1463"/>
      <c r="W18" s="1463"/>
      <c r="X18" s="1463"/>
      <c r="Y18" s="1463"/>
      <c r="Z18" s="1463"/>
      <c r="AA18" s="1463"/>
      <c r="AB18" s="1463"/>
      <c r="AC18" s="1463"/>
      <c r="AD18" s="1463"/>
      <c r="AE18" s="1463"/>
      <c r="AF18" s="1463"/>
      <c r="AG18" s="1463"/>
      <c r="AH18" s="1463"/>
      <c r="AI18" s="1463"/>
      <c r="AJ18" s="1463"/>
      <c r="BD18" s="1177" t="s">
        <v>2443</v>
      </c>
      <c r="BE18" s="1178">
        <f>AA943</f>
        <v>0</v>
      </c>
    </row>
    <row r="19" spans="1:58" ht="12.9" customHeight="1">
      <c r="BD19" s="1176" t="s">
        <v>2444</v>
      </c>
      <c r="BE19" s="1178">
        <f>Application!M26</f>
        <v>4648266</v>
      </c>
    </row>
    <row r="20" spans="1:58" ht="12.9" customHeight="1">
      <c r="A20" s="1457" t="s">
        <v>873</v>
      </c>
      <c r="B20" s="1457"/>
      <c r="C20" s="1457"/>
      <c r="D20" s="1457"/>
      <c r="E20" s="1457"/>
      <c r="F20" s="1457"/>
      <c r="G20" s="1457"/>
      <c r="H20" s="1457"/>
      <c r="I20" s="1457"/>
      <c r="J20" s="1457"/>
      <c r="K20" s="1457"/>
      <c r="L20" s="1457"/>
      <c r="M20" s="1457"/>
      <c r="N20" s="1457"/>
      <c r="O20" s="1457"/>
      <c r="P20" s="1457"/>
      <c r="Q20" s="1457"/>
      <c r="R20" s="1457"/>
      <c r="S20" s="1457"/>
      <c r="T20" s="1457"/>
      <c r="U20" s="1457"/>
      <c r="V20" s="1457"/>
      <c r="W20" s="1457"/>
      <c r="X20" s="1457"/>
      <c r="Y20" s="1457"/>
      <c r="Z20" s="1457"/>
      <c r="AA20" s="1457"/>
      <c r="AB20" s="1457"/>
      <c r="AC20" s="1457"/>
      <c r="AD20" s="1457"/>
      <c r="AE20" s="1457"/>
      <c r="AF20" s="1457"/>
      <c r="AG20" s="1457"/>
      <c r="AH20" s="1457"/>
      <c r="AI20" s="1457"/>
      <c r="AJ20" s="1457"/>
      <c r="AK20" s="1457"/>
      <c r="AL20" s="1457"/>
      <c r="AM20" s="1457"/>
      <c r="AN20" s="1457"/>
      <c r="AO20" s="1457"/>
      <c r="AP20" s="1457"/>
      <c r="AQ20" s="1457"/>
      <c r="AR20" s="1457"/>
      <c r="AS20" s="1457"/>
      <c r="AT20" s="1457"/>
      <c r="AU20" s="891"/>
      <c r="AV20" s="891"/>
      <c r="AW20" s="891"/>
      <c r="AX20" s="891"/>
      <c r="AY20" s="891"/>
      <c r="BD20" s="1177" t="s">
        <v>2445</v>
      </c>
      <c r="BE20" s="1178">
        <f>Application!M27</f>
        <v>0</v>
      </c>
    </row>
    <row r="21" spans="1:58" ht="12.9" customHeight="1">
      <c r="A21" s="1467" t="s">
        <v>1009</v>
      </c>
      <c r="B21" s="1467"/>
      <c r="C21" s="1467"/>
      <c r="D21" s="1467"/>
      <c r="E21" s="1467"/>
      <c r="F21" s="1467"/>
      <c r="G21" s="1467"/>
      <c r="H21" s="1467"/>
      <c r="I21" s="1467"/>
      <c r="J21" s="1467"/>
      <c r="K21" s="1467"/>
      <c r="L21" s="1467"/>
      <c r="M21" s="1467"/>
      <c r="N21" s="1467"/>
      <c r="O21" s="1467"/>
      <c r="P21" s="1467"/>
      <c r="Q21" s="1467"/>
      <c r="R21" s="1467"/>
      <c r="S21" s="1467"/>
      <c r="T21" s="1467"/>
      <c r="U21" s="1467"/>
      <c r="V21" s="1467"/>
      <c r="W21" s="1467"/>
      <c r="X21" s="1467"/>
      <c r="Y21" s="1467"/>
      <c r="Z21" s="1467"/>
      <c r="AA21" s="1467"/>
      <c r="AB21" s="1467"/>
      <c r="AC21" s="1467"/>
      <c r="AD21" s="1467"/>
      <c r="AE21" s="1467"/>
      <c r="AF21" s="1467"/>
      <c r="AG21" s="1467"/>
      <c r="AH21" s="1467"/>
      <c r="AI21" s="1467"/>
      <c r="AJ21" s="1467"/>
      <c r="AK21" s="1467"/>
      <c r="AL21" s="1467"/>
      <c r="AM21" s="892"/>
      <c r="AN21" s="892"/>
      <c r="AO21" s="892"/>
      <c r="AP21" s="892"/>
      <c r="AQ21" s="892"/>
      <c r="AR21" s="892"/>
      <c r="AS21" s="892"/>
      <c r="AT21" s="892"/>
      <c r="AU21" s="892"/>
      <c r="AV21" s="892"/>
      <c r="AW21" s="892"/>
      <c r="AX21" s="892"/>
      <c r="AY21" s="892"/>
      <c r="BD21" s="1176" t="s">
        <v>2446</v>
      </c>
      <c r="BE21" s="1178">
        <f>Application!AM562</f>
        <v>26883715</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104198532</v>
      </c>
      <c r="BF22" s="3" t="s">
        <v>2517</v>
      </c>
    </row>
    <row r="23" spans="1:58" ht="12.9" customHeight="1">
      <c r="A23" s="1292" t="s">
        <v>2095</v>
      </c>
      <c r="B23" s="1292"/>
      <c r="C23" s="1292"/>
      <c r="D23" s="1292"/>
      <c r="E23" s="1292"/>
      <c r="F23" s="1292"/>
      <c r="G23" s="1292"/>
      <c r="H23" s="1292"/>
      <c r="I23" s="1292"/>
      <c r="J23" s="1292"/>
      <c r="K23" s="1292"/>
      <c r="L23" s="1292"/>
      <c r="M23" s="1292"/>
      <c r="N23" s="1292"/>
      <c r="O23" s="1292"/>
      <c r="P23" s="1292"/>
      <c r="Q23" s="1292"/>
      <c r="R23" s="1292"/>
      <c r="S23" s="1292"/>
      <c r="T23" s="1292"/>
      <c r="U23" s="1292"/>
      <c r="V23" s="1292"/>
      <c r="W23" s="1292"/>
      <c r="X23" s="1292"/>
      <c r="Y23" s="1292"/>
      <c r="Z23" s="1292"/>
      <c r="AA23" s="1292"/>
      <c r="AB23" s="1292"/>
      <c r="AC23" s="1292"/>
      <c r="AD23" s="1292"/>
      <c r="AE23" s="1292"/>
      <c r="AF23" s="1292"/>
      <c r="AG23" s="1292"/>
      <c r="AH23" s="1292"/>
      <c r="AI23" s="1292"/>
      <c r="AJ23" s="1292"/>
      <c r="AK23" s="1292"/>
      <c r="AL23" s="1292"/>
      <c r="AM23" s="1292"/>
      <c r="AN23" s="1292"/>
      <c r="AO23" s="1292"/>
      <c r="AP23" s="1292"/>
      <c r="AQ23" s="1292"/>
      <c r="AR23" s="1292"/>
      <c r="AS23" s="1292"/>
      <c r="AT23" s="1292"/>
      <c r="AU23" s="18"/>
      <c r="AV23" s="18"/>
      <c r="AW23" s="18"/>
      <c r="AX23" s="18"/>
      <c r="AY23" s="18"/>
      <c r="AZ23" s="18"/>
      <c r="BD23" s="1176" t="s">
        <v>2447</v>
      </c>
      <c r="BE23" s="1178">
        <f>'Sources and Uses Budget'!B4</f>
        <v>2000000</v>
      </c>
    </row>
    <row r="24" spans="1:58" ht="12.9" customHeight="1">
      <c r="A24" s="1292"/>
      <c r="B24" s="1292"/>
      <c r="C24" s="1292"/>
      <c r="D24" s="1292"/>
      <c r="E24" s="1292"/>
      <c r="F24" s="1292"/>
      <c r="G24" s="1292"/>
      <c r="H24" s="1292"/>
      <c r="I24" s="1292"/>
      <c r="J24" s="1292"/>
      <c r="K24" s="1292"/>
      <c r="L24" s="1292"/>
      <c r="M24" s="1292"/>
      <c r="N24" s="1292"/>
      <c r="O24" s="1292"/>
      <c r="P24" s="1292"/>
      <c r="Q24" s="1292"/>
      <c r="R24" s="1292"/>
      <c r="S24" s="1292"/>
      <c r="T24" s="1292"/>
      <c r="U24" s="1292"/>
      <c r="V24" s="1292"/>
      <c r="W24" s="1292"/>
      <c r="X24" s="1292"/>
      <c r="Y24" s="1292"/>
      <c r="Z24" s="1292"/>
      <c r="AA24" s="1292"/>
      <c r="AB24" s="1292"/>
      <c r="AC24" s="1292"/>
      <c r="AD24" s="1292"/>
      <c r="AE24" s="1292"/>
      <c r="AF24" s="1292"/>
      <c r="AG24" s="1292"/>
      <c r="AH24" s="1292"/>
      <c r="AI24" s="1292"/>
      <c r="AJ24" s="1292"/>
      <c r="AK24" s="1292"/>
      <c r="AL24" s="1292"/>
      <c r="AM24" s="1292"/>
      <c r="AN24" s="1292"/>
      <c r="AO24" s="1292"/>
      <c r="AP24" s="1292"/>
      <c r="AQ24" s="1292"/>
      <c r="AR24" s="1292"/>
      <c r="AS24" s="1292"/>
      <c r="AT24" s="1292"/>
      <c r="AU24" s="18"/>
      <c r="AV24" s="18"/>
      <c r="AW24" s="18"/>
      <c r="AX24" s="18"/>
      <c r="AY24" s="18"/>
      <c r="AZ24" s="18"/>
      <c r="BD24" s="1177" t="s">
        <v>2448</v>
      </c>
      <c r="BE24" s="1178">
        <f>Application!AG459</f>
        <v>204524</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 customHeight="1">
      <c r="A26" s="4"/>
      <c r="C26" s="4"/>
      <c r="D26" s="4"/>
      <c r="E26" s="4"/>
      <c r="F26" s="4"/>
      <c r="G26" s="4"/>
      <c r="H26" s="4"/>
      <c r="I26" s="4"/>
      <c r="J26" s="4"/>
      <c r="K26" s="4"/>
      <c r="L26" s="4"/>
      <c r="M26" s="1464">
        <f>'Basis &amp; Credits'!AB56</f>
        <v>4648266</v>
      </c>
      <c r="N26" s="1464"/>
      <c r="O26" s="1464"/>
      <c r="P26" s="1464"/>
      <c r="Q26" s="1464"/>
      <c r="R26" s="4" t="s">
        <v>759</v>
      </c>
      <c r="S26" s="4"/>
      <c r="T26" s="4"/>
      <c r="U26" s="4"/>
      <c r="V26" s="4"/>
      <c r="W26" s="4"/>
      <c r="X26" s="4"/>
      <c r="Y26" s="4"/>
      <c r="Z26" s="4"/>
      <c r="AF26" s="4"/>
      <c r="AG26" s="4"/>
      <c r="AH26" s="4"/>
      <c r="AI26" s="4"/>
      <c r="AJ26" s="4"/>
      <c r="AK26" s="4"/>
      <c r="BD26" s="1177" t="s">
        <v>1627</v>
      </c>
      <c r="BE26" s="1178" t="b">
        <f>Application!M365="Yes"</f>
        <v>1</v>
      </c>
    </row>
    <row r="27" spans="1:58" ht="12.9" customHeight="1">
      <c r="A27" s="4"/>
      <c r="C27" s="4"/>
      <c r="D27" s="4"/>
      <c r="E27" s="4"/>
      <c r="F27" s="4"/>
      <c r="G27" s="4"/>
      <c r="H27" s="4"/>
      <c r="I27" s="4"/>
      <c r="J27" s="4"/>
      <c r="K27" s="4"/>
      <c r="L27" s="4"/>
      <c r="M27" s="1422">
        <f>'Basis &amp; Credits'!AB78</f>
        <v>0</v>
      </c>
      <c r="N27" s="1422"/>
      <c r="O27" s="1422"/>
      <c r="P27" s="1422"/>
      <c r="Q27" s="1422"/>
      <c r="R27" s="3" t="s">
        <v>1266</v>
      </c>
      <c r="S27" s="4"/>
      <c r="T27" s="4"/>
      <c r="U27" s="4"/>
      <c r="V27" s="4"/>
      <c r="W27" s="4"/>
      <c r="X27" s="4"/>
      <c r="Y27" s="4"/>
      <c r="Z27" s="4"/>
      <c r="AF27" s="4"/>
      <c r="AG27" s="4"/>
      <c r="AH27" s="4"/>
      <c r="AI27" s="4"/>
      <c r="AJ27" s="4"/>
      <c r="AK27" s="4"/>
      <c r="BD27" s="1176" t="s">
        <v>2048</v>
      </c>
      <c r="BE27" s="1178" t="b">
        <f>Application!M364="Yes"</f>
        <v>1</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 customHeight="1">
      <c r="A29" s="1458" t="s">
        <v>2096</v>
      </c>
      <c r="B29" s="1458"/>
      <c r="C29" s="1458"/>
      <c r="D29" s="1458"/>
      <c r="E29" s="1458"/>
      <c r="F29" s="1458"/>
      <c r="G29" s="1458"/>
      <c r="H29" s="1458"/>
      <c r="I29" s="1458"/>
      <c r="J29" s="1458"/>
      <c r="K29" s="1458"/>
      <c r="L29" s="1458"/>
      <c r="M29" s="1458"/>
      <c r="N29" s="1458"/>
      <c r="O29" s="1458"/>
      <c r="P29" s="1458"/>
      <c r="Q29" s="1458"/>
      <c r="R29" s="1458"/>
      <c r="S29" s="1458"/>
      <c r="T29" s="1458"/>
      <c r="U29" s="1458"/>
      <c r="V29" s="1458"/>
      <c r="W29" s="1458"/>
      <c r="X29" s="1458"/>
      <c r="Y29" s="1458"/>
      <c r="Z29" s="1458"/>
      <c r="AA29" s="1458"/>
      <c r="AB29" s="1458"/>
      <c r="AC29" s="1458"/>
      <c r="AD29" s="1458"/>
      <c r="AE29" s="1458"/>
      <c r="AF29" s="1458"/>
      <c r="AG29" s="1458"/>
      <c r="AH29" s="1458"/>
      <c r="AI29" s="1458"/>
      <c r="AJ29" s="1458"/>
      <c r="AK29" s="1458"/>
      <c r="AL29" s="1458"/>
      <c r="AM29" s="1458"/>
      <c r="AN29" s="1458"/>
      <c r="AO29" s="1458"/>
      <c r="AP29" s="1458"/>
      <c r="AQ29" s="1458"/>
      <c r="AR29" s="1458"/>
      <c r="AS29" s="1458"/>
      <c r="AT29" s="1458"/>
      <c r="BD29" s="1176" t="s">
        <v>2451</v>
      </c>
      <c r="BE29" s="1178" t="b">
        <f>Application!M367="Yes"</f>
        <v>0</v>
      </c>
    </row>
    <row r="30" spans="1:58" ht="12.9" customHeight="1">
      <c r="A30" s="1458"/>
      <c r="B30" s="1458"/>
      <c r="C30" s="1458"/>
      <c r="D30" s="1458"/>
      <c r="E30" s="1458"/>
      <c r="F30" s="1458"/>
      <c r="G30" s="1458"/>
      <c r="H30" s="1458"/>
      <c r="I30" s="1458"/>
      <c r="J30" s="1458"/>
      <c r="K30" s="1458"/>
      <c r="L30" s="1458"/>
      <c r="M30" s="1458"/>
      <c r="N30" s="1458"/>
      <c r="O30" s="1458"/>
      <c r="P30" s="1458"/>
      <c r="Q30" s="1458"/>
      <c r="R30" s="1458"/>
      <c r="S30" s="1458"/>
      <c r="T30" s="1458"/>
      <c r="U30" s="1458"/>
      <c r="V30" s="1458"/>
      <c r="W30" s="1458"/>
      <c r="X30" s="1458"/>
      <c r="Y30" s="1458"/>
      <c r="Z30" s="1458"/>
      <c r="AA30" s="1458"/>
      <c r="AB30" s="1458"/>
      <c r="AC30" s="1458"/>
      <c r="AD30" s="1458"/>
      <c r="AE30" s="1458"/>
      <c r="AF30" s="1458"/>
      <c r="AG30" s="1458"/>
      <c r="AH30" s="1458"/>
      <c r="AI30" s="1458"/>
      <c r="AJ30" s="1458"/>
      <c r="AK30" s="1458"/>
      <c r="AL30" s="1458"/>
      <c r="AM30" s="1458"/>
      <c r="AN30" s="1458"/>
      <c r="AO30" s="1458"/>
      <c r="AP30" s="1458"/>
      <c r="AQ30" s="1458"/>
      <c r="AR30" s="1458"/>
      <c r="AS30" s="1458"/>
      <c r="AT30" s="1458"/>
      <c r="AZ30" s="20"/>
      <c r="BD30" s="1177" t="s">
        <v>28</v>
      </c>
      <c r="BE30" s="1178" t="b">
        <f>Application!AJ364="Yes"</f>
        <v>0</v>
      </c>
    </row>
    <row r="31" spans="1:58" ht="12.9" customHeight="1">
      <c r="A31" s="1458"/>
      <c r="B31" s="1458"/>
      <c r="C31" s="1458"/>
      <c r="D31" s="1458"/>
      <c r="E31" s="1458"/>
      <c r="F31" s="1458"/>
      <c r="G31" s="1458"/>
      <c r="H31" s="1458"/>
      <c r="I31" s="1458"/>
      <c r="J31" s="1458"/>
      <c r="K31" s="1458"/>
      <c r="L31" s="1458"/>
      <c r="M31" s="1458"/>
      <c r="N31" s="1458"/>
      <c r="O31" s="1458"/>
      <c r="P31" s="1458"/>
      <c r="Q31" s="1458"/>
      <c r="R31" s="1458"/>
      <c r="S31" s="1458"/>
      <c r="T31" s="1458"/>
      <c r="U31" s="1458"/>
      <c r="V31" s="1458"/>
      <c r="W31" s="1458"/>
      <c r="X31" s="1458"/>
      <c r="Y31" s="1458"/>
      <c r="Z31" s="1458"/>
      <c r="AA31" s="1458"/>
      <c r="AB31" s="1458"/>
      <c r="AC31" s="1458"/>
      <c r="AD31" s="1458"/>
      <c r="AE31" s="1458"/>
      <c r="AF31" s="1458"/>
      <c r="AG31" s="1458"/>
      <c r="AH31" s="1458"/>
      <c r="AI31" s="1458"/>
      <c r="AJ31" s="1458"/>
      <c r="AK31" s="1458"/>
      <c r="AL31" s="1458"/>
      <c r="AM31" s="1458"/>
      <c r="AN31" s="1458"/>
      <c r="AO31" s="1458"/>
      <c r="AP31" s="1458"/>
      <c r="AQ31" s="1458"/>
      <c r="AR31" s="1458"/>
      <c r="AS31" s="1458"/>
      <c r="AT31" s="1458"/>
      <c r="AU31" s="20"/>
      <c r="AV31" s="20"/>
      <c r="AW31" s="20"/>
      <c r="AX31" s="20"/>
      <c r="AY31" s="20"/>
      <c r="AZ31" s="20"/>
      <c r="BD31" s="1176" t="s">
        <v>2452</v>
      </c>
      <c r="BE31" s="1178" t="str">
        <f>Application!D211</f>
        <v>Non-Targeted</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 hidden="1" customHeight="1">
      <c r="A33" s="515" t="s">
        <v>1277</v>
      </c>
      <c r="C33" s="515"/>
      <c r="D33" s="515"/>
      <c r="E33" s="515"/>
      <c r="F33" s="515"/>
      <c r="G33" s="515"/>
      <c r="H33" s="515"/>
      <c r="I33" s="515"/>
      <c r="J33" s="515"/>
      <c r="K33" s="515"/>
      <c r="L33" s="515"/>
      <c r="M33" s="515"/>
      <c r="N33" s="515"/>
      <c r="O33" s="1289" t="s">
        <v>669</v>
      </c>
      <c r="P33" s="1289"/>
      <c r="Q33" s="1459" t="s">
        <v>2097</v>
      </c>
      <c r="R33" s="1459"/>
      <c r="S33" s="1459"/>
      <c r="T33" s="1459"/>
      <c r="U33" s="1459"/>
      <c r="V33" s="1459"/>
      <c r="W33" s="1459"/>
      <c r="X33" s="1459"/>
      <c r="Y33" s="1459"/>
      <c r="Z33" s="1459"/>
      <c r="AA33" s="1459"/>
      <c r="AB33" s="1459"/>
      <c r="AC33" s="1459"/>
      <c r="AD33" s="1459"/>
      <c r="AE33" s="1459"/>
      <c r="AF33" s="1459"/>
      <c r="AG33" s="1459"/>
      <c r="AH33" s="1459"/>
      <c r="AI33" s="1459"/>
      <c r="AJ33" s="1459"/>
      <c r="AK33" s="1459"/>
      <c r="AL33" s="1459"/>
      <c r="AM33" s="1459"/>
      <c r="AN33" s="1459"/>
      <c r="AO33" s="1459"/>
      <c r="AP33" s="1459"/>
      <c r="AQ33" s="1459"/>
      <c r="AR33" s="1459"/>
      <c r="AS33" s="1459"/>
      <c r="AT33" s="1459"/>
      <c r="AU33" s="20"/>
      <c r="AV33" s="20"/>
      <c r="AW33" s="20"/>
      <c r="AX33" s="20"/>
      <c r="AY33" s="20"/>
      <c r="BD33" s="1176" t="s">
        <v>2518</v>
      </c>
      <c r="BE33" s="1178" t="str">
        <f>Application!D220</f>
        <v>San Diego County</v>
      </c>
    </row>
    <row r="34" spans="1:57" ht="12.9" hidden="1" customHeight="1">
      <c r="A34" s="1458" t="s">
        <v>2098</v>
      </c>
      <c r="B34" s="1458"/>
      <c r="C34" s="1458"/>
      <c r="D34" s="1458"/>
      <c r="E34" s="1458"/>
      <c r="F34" s="1458"/>
      <c r="G34" s="1458"/>
      <c r="H34" s="1458"/>
      <c r="I34" s="1458"/>
      <c r="J34" s="1458"/>
      <c r="K34" s="1458"/>
      <c r="L34" s="1458"/>
      <c r="M34" s="1458"/>
      <c r="N34" s="1458"/>
      <c r="O34" s="1458"/>
      <c r="P34" s="1458"/>
      <c r="Q34" s="1458"/>
      <c r="R34" s="1458"/>
      <c r="S34" s="1458"/>
      <c r="T34" s="1458"/>
      <c r="U34" s="1458"/>
      <c r="V34" s="1458"/>
      <c r="W34" s="1458"/>
      <c r="X34" s="1458"/>
      <c r="Y34" s="1458"/>
      <c r="Z34" s="1458"/>
      <c r="AA34" s="1458"/>
      <c r="AB34" s="1458"/>
      <c r="AC34" s="1458"/>
      <c r="AD34" s="1458"/>
      <c r="AE34" s="1458"/>
      <c r="AF34" s="1458"/>
      <c r="AG34" s="1458"/>
      <c r="AH34" s="1458"/>
      <c r="AI34" s="1458"/>
      <c r="AJ34" s="1458"/>
      <c r="AK34" s="1458"/>
      <c r="AL34" s="1458"/>
      <c r="AM34" s="1458"/>
      <c r="AN34" s="1458"/>
      <c r="AO34" s="1458"/>
      <c r="AP34" s="1458"/>
      <c r="AQ34" s="1458"/>
      <c r="AR34" s="1458"/>
      <c r="AS34" s="1458"/>
      <c r="AT34" s="1458"/>
      <c r="AU34" s="20"/>
      <c r="AV34" s="20"/>
      <c r="AW34" s="20"/>
      <c r="AX34" s="20"/>
      <c r="AY34" s="20"/>
      <c r="AZ34" s="20"/>
      <c r="BD34" s="1177" t="s">
        <v>2454</v>
      </c>
      <c r="BE34" s="1178" t="str">
        <f>Application!I185</f>
        <v xml:space="preserve">610 W Ash </v>
      </c>
    </row>
    <row r="35" spans="1:57" ht="12.9" hidden="1" customHeight="1">
      <c r="A35" s="1458"/>
      <c r="B35" s="1458"/>
      <c r="C35" s="1458"/>
      <c r="D35" s="1458"/>
      <c r="E35" s="1458"/>
      <c r="F35" s="1458"/>
      <c r="G35" s="1458"/>
      <c r="H35" s="1458"/>
      <c r="I35" s="1458"/>
      <c r="J35" s="1458"/>
      <c r="K35" s="1458"/>
      <c r="L35" s="1458"/>
      <c r="M35" s="1458"/>
      <c r="N35" s="1458"/>
      <c r="O35" s="1458"/>
      <c r="P35" s="1458"/>
      <c r="Q35" s="1458"/>
      <c r="R35" s="1458"/>
      <c r="S35" s="1458"/>
      <c r="T35" s="1458"/>
      <c r="U35" s="1458"/>
      <c r="V35" s="1458"/>
      <c r="W35" s="1458"/>
      <c r="X35" s="1458"/>
      <c r="Y35" s="1458"/>
      <c r="Z35" s="1458"/>
      <c r="AA35" s="1458"/>
      <c r="AB35" s="1458"/>
      <c r="AC35" s="1458"/>
      <c r="AD35" s="1458"/>
      <c r="AE35" s="1458"/>
      <c r="AF35" s="1458"/>
      <c r="AG35" s="1458"/>
      <c r="AH35" s="1458"/>
      <c r="AI35" s="1458"/>
      <c r="AJ35" s="1458"/>
      <c r="AK35" s="1458"/>
      <c r="AL35" s="1458"/>
      <c r="AM35" s="1458"/>
      <c r="AN35" s="1458"/>
      <c r="AO35" s="1458"/>
      <c r="AP35" s="1458"/>
      <c r="AQ35" s="1458"/>
      <c r="AR35" s="1458"/>
      <c r="AS35" s="1458"/>
      <c r="AT35" s="1458"/>
      <c r="AU35" s="20"/>
      <c r="AV35" s="20"/>
      <c r="AW35" s="20"/>
      <c r="AX35" s="20"/>
      <c r="AY35" s="20"/>
      <c r="AZ35" s="20"/>
      <c r="BD35" s="1176" t="s">
        <v>2455</v>
      </c>
      <c r="BE35" s="1178" t="str">
        <f>IF(Application!E187="","",Application!E187)</f>
        <v/>
      </c>
    </row>
    <row r="36" spans="1:57" ht="12.9" hidden="1" customHeight="1">
      <c r="A36" s="1458"/>
      <c r="B36" s="1458"/>
      <c r="C36" s="1458"/>
      <c r="D36" s="1458"/>
      <c r="E36" s="1458"/>
      <c r="F36" s="1458"/>
      <c r="G36" s="1458"/>
      <c r="H36" s="1458"/>
      <c r="I36" s="1458"/>
      <c r="J36" s="1458"/>
      <c r="K36" s="1458"/>
      <c r="L36" s="1458"/>
      <c r="M36" s="1458"/>
      <c r="N36" s="1458"/>
      <c r="O36" s="1458"/>
      <c r="P36" s="1458"/>
      <c r="Q36" s="1458"/>
      <c r="R36" s="1458"/>
      <c r="S36" s="1458"/>
      <c r="T36" s="1458"/>
      <c r="U36" s="1458"/>
      <c r="V36" s="1458"/>
      <c r="W36" s="1458"/>
      <c r="X36" s="1458"/>
      <c r="Y36" s="1458"/>
      <c r="Z36" s="1458"/>
      <c r="AA36" s="1458"/>
      <c r="AB36" s="1458"/>
      <c r="AC36" s="1458"/>
      <c r="AD36" s="1458"/>
      <c r="AE36" s="1458"/>
      <c r="AF36" s="1458"/>
      <c r="AG36" s="1458"/>
      <c r="AH36" s="1458"/>
      <c r="AI36" s="1458"/>
      <c r="AJ36" s="1458"/>
      <c r="AK36" s="1458"/>
      <c r="AL36" s="1458"/>
      <c r="AM36" s="1458"/>
      <c r="AN36" s="1458"/>
      <c r="AO36" s="1458"/>
      <c r="AP36" s="1458"/>
      <c r="AQ36" s="1458"/>
      <c r="AR36" s="1458"/>
      <c r="AS36" s="1458"/>
      <c r="AT36" s="1458"/>
      <c r="AU36" s="20"/>
      <c r="AV36" s="20"/>
      <c r="AW36" s="20"/>
      <c r="AX36" s="20"/>
      <c r="AY36" s="20"/>
      <c r="AZ36" s="20"/>
      <c r="BD36" s="1177" t="s">
        <v>2456</v>
      </c>
      <c r="BE36" s="1178" t="str">
        <f>Application!I189</f>
        <v>San Diego</v>
      </c>
    </row>
    <row r="37" spans="1:57" ht="12.9" hidden="1" customHeight="1">
      <c r="A37" s="1458"/>
      <c r="B37" s="1458"/>
      <c r="C37" s="1458"/>
      <c r="D37" s="1458"/>
      <c r="E37" s="1458"/>
      <c r="F37" s="1458"/>
      <c r="G37" s="1458"/>
      <c r="H37" s="1458"/>
      <c r="I37" s="1458"/>
      <c r="J37" s="1458"/>
      <c r="K37" s="1458"/>
      <c r="L37" s="1458"/>
      <c r="M37" s="1458"/>
      <c r="N37" s="1458"/>
      <c r="O37" s="1458"/>
      <c r="P37" s="1458"/>
      <c r="Q37" s="1458"/>
      <c r="R37" s="1458"/>
      <c r="S37" s="1458"/>
      <c r="T37" s="1458"/>
      <c r="U37" s="1458"/>
      <c r="V37" s="1458"/>
      <c r="W37" s="1458"/>
      <c r="X37" s="1458"/>
      <c r="Y37" s="1458"/>
      <c r="Z37" s="1458"/>
      <c r="AA37" s="1458"/>
      <c r="AB37" s="1458"/>
      <c r="AC37" s="1458"/>
      <c r="AD37" s="1458"/>
      <c r="AE37" s="1458"/>
      <c r="AF37" s="1458"/>
      <c r="AG37" s="1458"/>
      <c r="AH37" s="1458"/>
      <c r="AI37" s="1458"/>
      <c r="AJ37" s="1458"/>
      <c r="AK37" s="1458"/>
      <c r="AL37" s="1458"/>
      <c r="AM37" s="1458"/>
      <c r="AN37" s="1458"/>
      <c r="AO37" s="1458"/>
      <c r="AP37" s="1458"/>
      <c r="AQ37" s="1458"/>
      <c r="AR37" s="1458"/>
      <c r="AS37" s="1458"/>
      <c r="AT37" s="1458"/>
      <c r="AZ37" s="20"/>
      <c r="BD37" s="1176" t="s">
        <v>2457</v>
      </c>
      <c r="BE37" s="1178" t="str">
        <f>Application!T189</f>
        <v>San Diego</v>
      </c>
    </row>
    <row r="38" spans="1:57" ht="12.9" hidden="1" customHeight="1">
      <c r="A38" s="3"/>
      <c r="AZ38" s="20"/>
      <c r="BD38" s="1177" t="s">
        <v>2458</v>
      </c>
      <c r="BE38" s="1178">
        <f>Application!I190</f>
        <v>92101</v>
      </c>
    </row>
    <row r="39" spans="1:57" ht="12.9" customHeight="1">
      <c r="A39" s="1460" t="s">
        <v>2099</v>
      </c>
      <c r="B39" s="1460"/>
      <c r="C39" s="1460"/>
      <c r="D39" s="1460"/>
      <c r="E39" s="1460"/>
      <c r="F39" s="1460"/>
      <c r="G39" s="1460"/>
      <c r="H39" s="1460"/>
      <c r="I39" s="1460"/>
      <c r="J39" s="1460"/>
      <c r="K39" s="1460"/>
      <c r="L39" s="1460"/>
      <c r="M39" s="1460"/>
      <c r="N39" s="1460"/>
      <c r="O39" s="1460"/>
      <c r="P39" s="1460"/>
      <c r="Q39" s="1460"/>
      <c r="R39" s="1460"/>
      <c r="S39" s="1460"/>
      <c r="T39" s="1460"/>
      <c r="U39" s="1460"/>
      <c r="V39" s="1460"/>
      <c r="W39" s="1460"/>
      <c r="X39" s="1460"/>
      <c r="Y39" s="1460"/>
      <c r="Z39" s="1460"/>
      <c r="AA39" s="1460"/>
      <c r="AB39" s="1460"/>
      <c r="AC39" s="1460"/>
      <c r="AD39" s="1460"/>
      <c r="AE39" s="1460"/>
      <c r="AF39" s="1460"/>
      <c r="AG39" s="1460"/>
      <c r="AH39" s="1460"/>
      <c r="AI39" s="1460"/>
      <c r="AJ39" s="1460"/>
      <c r="AK39" s="1460"/>
      <c r="AL39" s="1460"/>
      <c r="AM39" s="1460"/>
      <c r="AN39" s="1460"/>
      <c r="AO39" s="1460"/>
      <c r="AP39" s="1460"/>
      <c r="AQ39" s="1460"/>
      <c r="AR39" s="1460"/>
      <c r="AS39" s="1460"/>
      <c r="AT39" s="1460"/>
      <c r="AZ39" s="20"/>
      <c r="BD39" s="1176" t="s">
        <v>2459</v>
      </c>
      <c r="BE39" s="1178">
        <f>Application!AG446</f>
        <v>184</v>
      </c>
    </row>
    <row r="40" spans="1:57" ht="12.9" customHeight="1">
      <c r="A40" s="1460"/>
      <c r="B40" s="1460"/>
      <c r="C40" s="1460"/>
      <c r="D40" s="1460"/>
      <c r="E40" s="1460"/>
      <c r="F40" s="1460"/>
      <c r="G40" s="1460"/>
      <c r="H40" s="1460"/>
      <c r="I40" s="1460"/>
      <c r="J40" s="1460"/>
      <c r="K40" s="1460"/>
      <c r="L40" s="1460"/>
      <c r="M40" s="1460"/>
      <c r="N40" s="1460"/>
      <c r="O40" s="1460"/>
      <c r="P40" s="1460"/>
      <c r="Q40" s="1460"/>
      <c r="R40" s="1460"/>
      <c r="S40" s="1460"/>
      <c r="T40" s="1460"/>
      <c r="U40" s="1460"/>
      <c r="V40" s="1460"/>
      <c r="W40" s="1460"/>
      <c r="X40" s="1460"/>
      <c r="Y40" s="1460"/>
      <c r="Z40" s="1460"/>
      <c r="AA40" s="1460"/>
      <c r="AB40" s="1460"/>
      <c r="AC40" s="1460"/>
      <c r="AD40" s="1460"/>
      <c r="AE40" s="1460"/>
      <c r="AF40" s="1460"/>
      <c r="AG40" s="1460"/>
      <c r="AH40" s="1460"/>
      <c r="AI40" s="1460"/>
      <c r="AJ40" s="1460"/>
      <c r="AK40" s="1460"/>
      <c r="AL40" s="1460"/>
      <c r="AM40" s="1460"/>
      <c r="AN40" s="1460"/>
      <c r="AO40" s="1460"/>
      <c r="AP40" s="1460"/>
      <c r="AQ40" s="1460"/>
      <c r="AR40" s="1460"/>
      <c r="AS40" s="1460"/>
      <c r="AT40" s="1460"/>
      <c r="AU40" s="20"/>
      <c r="AV40" s="20"/>
      <c r="AW40" s="20"/>
      <c r="AX40" s="20"/>
      <c r="AY40" s="20"/>
      <c r="AZ40" s="20"/>
      <c r="BD40" s="1177" t="s">
        <v>384</v>
      </c>
      <c r="BE40" s="1178">
        <f>Application!AG449</f>
        <v>182</v>
      </c>
    </row>
    <row r="41" spans="1:57" ht="12.9" customHeight="1">
      <c r="A41" s="1460"/>
      <c r="B41" s="1460"/>
      <c r="C41" s="1460"/>
      <c r="D41" s="1460"/>
      <c r="E41" s="1460"/>
      <c r="F41" s="1460"/>
      <c r="G41" s="1460"/>
      <c r="H41" s="1460"/>
      <c r="I41" s="1460"/>
      <c r="J41" s="1460"/>
      <c r="K41" s="1460"/>
      <c r="L41" s="1460"/>
      <c r="M41" s="1460"/>
      <c r="N41" s="1460"/>
      <c r="O41" s="1460"/>
      <c r="P41" s="1460"/>
      <c r="Q41" s="1460"/>
      <c r="R41" s="1460"/>
      <c r="S41" s="1460"/>
      <c r="T41" s="1460"/>
      <c r="U41" s="1460"/>
      <c r="V41" s="1460"/>
      <c r="W41" s="1460"/>
      <c r="X41" s="1460"/>
      <c r="Y41" s="1460"/>
      <c r="Z41" s="1460"/>
      <c r="AA41" s="1460"/>
      <c r="AB41" s="1460"/>
      <c r="AC41" s="1460"/>
      <c r="AD41" s="1460"/>
      <c r="AE41" s="1460"/>
      <c r="AF41" s="1460"/>
      <c r="AG41" s="1460"/>
      <c r="AH41" s="1460"/>
      <c r="AI41" s="1460"/>
      <c r="AJ41" s="1460"/>
      <c r="AK41" s="1460"/>
      <c r="AL41" s="1460"/>
      <c r="AM41" s="1460"/>
      <c r="AN41" s="1460"/>
      <c r="AO41" s="1460"/>
      <c r="AP41" s="1460"/>
      <c r="AQ41" s="1460"/>
      <c r="AR41" s="1460"/>
      <c r="AS41" s="1460"/>
      <c r="AT41" s="1460"/>
      <c r="AU41" s="20"/>
      <c r="AV41" s="20"/>
      <c r="AW41" s="20"/>
      <c r="AX41" s="20"/>
      <c r="AY41" s="20"/>
      <c r="AZ41" s="20"/>
      <c r="BD41" s="1176" t="s">
        <v>287</v>
      </c>
      <c r="BE41" s="1178">
        <f>Application!AG447</f>
        <v>0</v>
      </c>
    </row>
    <row r="42" spans="1:57" ht="12.9" customHeight="1">
      <c r="A42" s="1460"/>
      <c r="B42" s="1460"/>
      <c r="C42" s="1460"/>
      <c r="D42" s="1460"/>
      <c r="E42" s="1460"/>
      <c r="F42" s="1460"/>
      <c r="G42" s="1460"/>
      <c r="H42" s="1460"/>
      <c r="I42" s="1460"/>
      <c r="J42" s="1460"/>
      <c r="K42" s="1460"/>
      <c r="L42" s="1460"/>
      <c r="M42" s="1460"/>
      <c r="N42" s="1460"/>
      <c r="O42" s="1460"/>
      <c r="P42" s="1460"/>
      <c r="Q42" s="1460"/>
      <c r="R42" s="1460"/>
      <c r="S42" s="1460"/>
      <c r="T42" s="1460"/>
      <c r="U42" s="1460"/>
      <c r="V42" s="1460"/>
      <c r="W42" s="1460"/>
      <c r="X42" s="1460"/>
      <c r="Y42" s="1460"/>
      <c r="Z42" s="1460"/>
      <c r="AA42" s="1460"/>
      <c r="AB42" s="1460"/>
      <c r="AC42" s="1460"/>
      <c r="AD42" s="1460"/>
      <c r="AE42" s="1460"/>
      <c r="AF42" s="1460"/>
      <c r="AG42" s="1460"/>
      <c r="AH42" s="1460"/>
      <c r="AI42" s="1460"/>
      <c r="AJ42" s="1460"/>
      <c r="AK42" s="1460"/>
      <c r="AL42" s="1460"/>
      <c r="AM42" s="1460"/>
      <c r="AN42" s="1460"/>
      <c r="AO42" s="1460"/>
      <c r="AP42" s="1460"/>
      <c r="AQ42" s="1460"/>
      <c r="AR42" s="1460"/>
      <c r="AS42" s="1460"/>
      <c r="AT42" s="1460"/>
      <c r="AZ42" s="20"/>
      <c r="BD42" s="1177" t="s">
        <v>2460</v>
      </c>
      <c r="BE42" s="1180">
        <f>Application!AC761</f>
        <v>0.60000000000000009</v>
      </c>
    </row>
    <row r="43" spans="1:57" ht="12.9" customHeight="1">
      <c r="A43" s="1460"/>
      <c r="B43" s="1460"/>
      <c r="C43" s="1460"/>
      <c r="D43" s="1460"/>
      <c r="E43" s="1460"/>
      <c r="F43" s="1460"/>
      <c r="G43" s="1460"/>
      <c r="H43" s="1460"/>
      <c r="I43" s="1460"/>
      <c r="J43" s="1460"/>
      <c r="K43" s="1460"/>
      <c r="L43" s="1460"/>
      <c r="M43" s="1460"/>
      <c r="N43" s="1460"/>
      <c r="O43" s="1460"/>
      <c r="P43" s="1460"/>
      <c r="Q43" s="1460"/>
      <c r="R43" s="1460"/>
      <c r="S43" s="1460"/>
      <c r="T43" s="1460"/>
      <c r="U43" s="1460"/>
      <c r="V43" s="1460"/>
      <c r="W43" s="1460"/>
      <c r="X43" s="1460"/>
      <c r="Y43" s="1460"/>
      <c r="Z43" s="1460"/>
      <c r="AA43" s="1460"/>
      <c r="AB43" s="1460"/>
      <c r="AC43" s="1460"/>
      <c r="AD43" s="1460"/>
      <c r="AE43" s="1460"/>
      <c r="AF43" s="1460"/>
      <c r="AG43" s="1460"/>
      <c r="AH43" s="1460"/>
      <c r="AI43" s="1460"/>
      <c r="AJ43" s="1460"/>
      <c r="AK43" s="1460"/>
      <c r="AL43" s="1460"/>
      <c r="AM43" s="1460"/>
      <c r="AN43" s="1460"/>
      <c r="AO43" s="1460"/>
      <c r="AP43" s="1460"/>
      <c r="AQ43" s="1460"/>
      <c r="AR43" s="1460"/>
      <c r="AS43" s="1460"/>
      <c r="AT43" s="1460"/>
      <c r="AU43" s="20"/>
      <c r="AV43" s="20"/>
      <c r="AW43" s="20"/>
      <c r="AX43" s="20"/>
      <c r="AY43" s="20"/>
      <c r="AZ43" s="20"/>
      <c r="BD43" s="1176" t="s">
        <v>2461</v>
      </c>
      <c r="BE43" s="1180">
        <f>Application!AH761</f>
        <v>0.60005639466686367</v>
      </c>
    </row>
    <row r="44" spans="1:57" ht="12.9" customHeight="1">
      <c r="A44" s="1460"/>
      <c r="B44" s="1460"/>
      <c r="C44" s="1460"/>
      <c r="D44" s="1460"/>
      <c r="E44" s="1460"/>
      <c r="F44" s="1460"/>
      <c r="G44" s="1460"/>
      <c r="H44" s="1460"/>
      <c r="I44" s="1460"/>
      <c r="J44" s="1460"/>
      <c r="K44" s="1460"/>
      <c r="L44" s="1460"/>
      <c r="M44" s="1460"/>
      <c r="N44" s="1460"/>
      <c r="O44" s="1460"/>
      <c r="P44" s="1460"/>
      <c r="Q44" s="1460"/>
      <c r="R44" s="1460"/>
      <c r="S44" s="1460"/>
      <c r="T44" s="1460"/>
      <c r="U44" s="1460"/>
      <c r="V44" s="1460"/>
      <c r="W44" s="1460"/>
      <c r="X44" s="1460"/>
      <c r="Y44" s="1460"/>
      <c r="Z44" s="1460"/>
      <c r="AA44" s="1460"/>
      <c r="AB44" s="1460"/>
      <c r="AC44" s="1460"/>
      <c r="AD44" s="1460"/>
      <c r="AE44" s="1460"/>
      <c r="AF44" s="1460"/>
      <c r="AG44" s="1460"/>
      <c r="AH44" s="1460"/>
      <c r="AI44" s="1460"/>
      <c r="AJ44" s="1460"/>
      <c r="AK44" s="1460"/>
      <c r="AL44" s="1460"/>
      <c r="AM44" s="1460"/>
      <c r="AN44" s="1460"/>
      <c r="AO44" s="1460"/>
      <c r="AP44" s="1460"/>
      <c r="AQ44" s="1460"/>
      <c r="AR44" s="1460"/>
      <c r="AS44" s="1460"/>
      <c r="AT44" s="1460"/>
      <c r="AU44" s="20"/>
      <c r="AV44" s="20"/>
      <c r="AW44" s="20"/>
      <c r="AX44" s="20"/>
      <c r="AY44" s="20"/>
      <c r="AZ44" s="20"/>
      <c r="BD44" s="1177" t="s">
        <v>2462</v>
      </c>
      <c r="BE44" s="1178">
        <f>Application!AC463</f>
        <v>566296.36956521741</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 customHeight="1">
      <c r="A46" s="1292" t="s">
        <v>2100</v>
      </c>
      <c r="B46" s="1292"/>
      <c r="C46" s="1292"/>
      <c r="D46" s="1292"/>
      <c r="E46" s="1292"/>
      <c r="F46" s="1292"/>
      <c r="G46" s="1292"/>
      <c r="H46" s="1292"/>
      <c r="I46" s="1292"/>
      <c r="J46" s="1292"/>
      <c r="K46" s="1292"/>
      <c r="L46" s="1292"/>
      <c r="M46" s="1292"/>
      <c r="N46" s="1292"/>
      <c r="O46" s="1292"/>
      <c r="P46" s="1292"/>
      <c r="Q46" s="1292"/>
      <c r="R46" s="1292"/>
      <c r="S46" s="1292"/>
      <c r="T46" s="1292"/>
      <c r="U46" s="1292"/>
      <c r="V46" s="1292"/>
      <c r="W46" s="1292"/>
      <c r="X46" s="1292"/>
      <c r="Y46" s="1292"/>
      <c r="Z46" s="1292"/>
      <c r="AA46" s="1292"/>
      <c r="AB46" s="1292"/>
      <c r="AC46" s="1292"/>
      <c r="AD46" s="1292"/>
      <c r="AE46" s="1292"/>
      <c r="AF46" s="1292"/>
      <c r="AG46" s="1292"/>
      <c r="AH46" s="1292"/>
      <c r="AI46" s="1292"/>
      <c r="AJ46" s="1292"/>
      <c r="AK46" s="1292"/>
      <c r="AL46" s="1292"/>
      <c r="AM46" s="1292"/>
      <c r="AN46" s="1292"/>
      <c r="AO46" s="1292"/>
      <c r="AP46" s="1292"/>
      <c r="AQ46" s="1292"/>
      <c r="AR46" s="1292"/>
      <c r="AS46" s="1292"/>
      <c r="AT46" s="1292"/>
      <c r="AU46" s="20"/>
      <c r="AV46" s="20"/>
      <c r="AW46" s="20"/>
      <c r="AX46" s="20"/>
      <c r="AY46" s="20"/>
      <c r="AZ46" s="20"/>
      <c r="BD46" s="1177" t="s">
        <v>2464</v>
      </c>
      <c r="BE46" s="1178" t="b">
        <f>Application!T195="Yes"</f>
        <v>1</v>
      </c>
    </row>
    <row r="47" spans="1:57" ht="12.9" customHeight="1">
      <c r="A47" s="1292"/>
      <c r="B47" s="1292"/>
      <c r="C47" s="1292"/>
      <c r="D47" s="1292"/>
      <c r="E47" s="1292"/>
      <c r="F47" s="1292"/>
      <c r="G47" s="1292"/>
      <c r="H47" s="1292"/>
      <c r="I47" s="1292"/>
      <c r="J47" s="1292"/>
      <c r="K47" s="1292"/>
      <c r="L47" s="1292"/>
      <c r="M47" s="1292"/>
      <c r="N47" s="1292"/>
      <c r="O47" s="1292"/>
      <c r="P47" s="1292"/>
      <c r="Q47" s="1292"/>
      <c r="R47" s="1292"/>
      <c r="S47" s="1292"/>
      <c r="T47" s="1292"/>
      <c r="U47" s="1292"/>
      <c r="V47" s="1292"/>
      <c r="W47" s="1292"/>
      <c r="X47" s="1292"/>
      <c r="Y47" s="1292"/>
      <c r="Z47" s="1292"/>
      <c r="AA47" s="1292"/>
      <c r="AB47" s="1292"/>
      <c r="AC47" s="1292"/>
      <c r="AD47" s="1292"/>
      <c r="AE47" s="1292"/>
      <c r="AF47" s="1292"/>
      <c r="AG47" s="1292"/>
      <c r="AH47" s="1292"/>
      <c r="AI47" s="1292"/>
      <c r="AJ47" s="1292"/>
      <c r="AK47" s="1292"/>
      <c r="AL47" s="1292"/>
      <c r="AM47" s="1292"/>
      <c r="AN47" s="1292"/>
      <c r="AO47" s="1292"/>
      <c r="AP47" s="1292"/>
      <c r="AQ47" s="1292"/>
      <c r="AR47" s="1292"/>
      <c r="AS47" s="1292"/>
      <c r="AT47" s="1292"/>
      <c r="AU47" s="20"/>
      <c r="AV47" s="20"/>
      <c r="AW47" s="20"/>
      <c r="AX47" s="20"/>
      <c r="AY47" s="20"/>
      <c r="AZ47" s="20"/>
      <c r="BD47" s="1176" t="s">
        <v>2465</v>
      </c>
      <c r="BE47" s="1178" t="b">
        <f>Application!T196="Yes"</f>
        <v>0</v>
      </c>
    </row>
    <row r="48" spans="1:57" ht="12.9" customHeight="1">
      <c r="A48" s="1292"/>
      <c r="B48" s="1292"/>
      <c r="C48" s="1292"/>
      <c r="D48" s="1292"/>
      <c r="E48" s="1292"/>
      <c r="F48" s="1292"/>
      <c r="G48" s="1292"/>
      <c r="H48" s="1292"/>
      <c r="I48" s="1292"/>
      <c r="J48" s="1292"/>
      <c r="K48" s="1292"/>
      <c r="L48" s="1292"/>
      <c r="M48" s="1292"/>
      <c r="N48" s="1292"/>
      <c r="O48" s="1292"/>
      <c r="P48" s="1292"/>
      <c r="Q48" s="1292"/>
      <c r="R48" s="1292"/>
      <c r="S48" s="1292"/>
      <c r="T48" s="1292"/>
      <c r="U48" s="1292"/>
      <c r="V48" s="1292"/>
      <c r="W48" s="1292"/>
      <c r="X48" s="1292"/>
      <c r="Y48" s="1292"/>
      <c r="Z48" s="1292"/>
      <c r="AA48" s="1292"/>
      <c r="AB48" s="1292"/>
      <c r="AC48" s="1292"/>
      <c r="AD48" s="1292"/>
      <c r="AE48" s="1292"/>
      <c r="AF48" s="1292"/>
      <c r="AG48" s="1292"/>
      <c r="AH48" s="1292"/>
      <c r="AI48" s="1292"/>
      <c r="AJ48" s="1292"/>
      <c r="AK48" s="1292"/>
      <c r="AL48" s="1292"/>
      <c r="AM48" s="1292"/>
      <c r="AN48" s="1292"/>
      <c r="AO48" s="1292"/>
      <c r="AP48" s="1292"/>
      <c r="AQ48" s="1292"/>
      <c r="AR48" s="1292"/>
      <c r="AS48" s="1292"/>
      <c r="AT48" s="1292"/>
      <c r="AU48" s="20"/>
      <c r="AV48" s="20"/>
      <c r="AW48" s="20"/>
      <c r="AX48" s="20"/>
      <c r="AY48" s="20"/>
      <c r="AZ48" s="20"/>
      <c r="BD48" s="1177" t="s">
        <v>2466</v>
      </c>
      <c r="BE48" s="1178" t="str">
        <f>Application!M252</f>
        <v>610 West by Vintage Partners, LLC</v>
      </c>
    </row>
    <row r="49" spans="1:57" ht="12.9" customHeight="1">
      <c r="A49" s="1292"/>
      <c r="B49" s="1292"/>
      <c r="C49" s="1292"/>
      <c r="D49" s="1292"/>
      <c r="E49" s="1292"/>
      <c r="F49" s="1292"/>
      <c r="G49" s="1292"/>
      <c r="H49" s="1292"/>
      <c r="I49" s="1292"/>
      <c r="J49" s="1292"/>
      <c r="K49" s="1292"/>
      <c r="L49" s="1292"/>
      <c r="M49" s="1292"/>
      <c r="N49" s="1292"/>
      <c r="O49" s="1292"/>
      <c r="P49" s="1292"/>
      <c r="Q49" s="1292"/>
      <c r="R49" s="1292"/>
      <c r="S49" s="1292"/>
      <c r="T49" s="1292"/>
      <c r="U49" s="1292"/>
      <c r="V49" s="1292"/>
      <c r="W49" s="1292"/>
      <c r="X49" s="1292"/>
      <c r="Y49" s="1292"/>
      <c r="Z49" s="1292"/>
      <c r="AA49" s="1292"/>
      <c r="AB49" s="1292"/>
      <c r="AC49" s="1292"/>
      <c r="AD49" s="1292"/>
      <c r="AE49" s="1292"/>
      <c r="AF49" s="1292"/>
      <c r="AG49" s="1292"/>
      <c r="AH49" s="1292"/>
      <c r="AI49" s="1292"/>
      <c r="AJ49" s="1292"/>
      <c r="AK49" s="1292"/>
      <c r="AL49" s="1292"/>
      <c r="AM49" s="1292"/>
      <c r="AN49" s="1292"/>
      <c r="AO49" s="1292"/>
      <c r="AP49" s="1292"/>
      <c r="AQ49" s="1292"/>
      <c r="AR49" s="1292"/>
      <c r="AS49" s="1292"/>
      <c r="AT49" s="1292"/>
      <c r="AU49" s="20"/>
      <c r="AV49" s="20"/>
      <c r="AW49" s="20"/>
      <c r="AX49" s="20"/>
      <c r="AY49" s="20"/>
      <c r="AZ49" s="20"/>
      <c r="BD49" s="1176" t="s">
        <v>2467</v>
      </c>
      <c r="BE49" s="1178" t="str">
        <f>Application!M255</f>
        <v>Michael K. Gancar</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Sierra VHH Holdings, LLC / Pinnacles Advisors, LLC</v>
      </c>
    </row>
    <row r="51" spans="1:57" ht="12.9" customHeight="1">
      <c r="A51" s="1460" t="s">
        <v>2101</v>
      </c>
      <c r="B51" s="1460"/>
      <c r="C51" s="1460"/>
      <c r="D51" s="1460"/>
      <c r="E51" s="1460"/>
      <c r="F51" s="1460"/>
      <c r="G51" s="1460"/>
      <c r="H51" s="1460"/>
      <c r="I51" s="1460"/>
      <c r="J51" s="1460"/>
      <c r="K51" s="1460"/>
      <c r="L51" s="1460"/>
      <c r="M51" s="1460"/>
      <c r="N51" s="1460"/>
      <c r="O51" s="1460"/>
      <c r="P51" s="1460"/>
      <c r="Q51" s="1460"/>
      <c r="R51" s="1460"/>
      <c r="S51" s="1460"/>
      <c r="T51" s="1460"/>
      <c r="U51" s="1460"/>
      <c r="V51" s="1460"/>
      <c r="W51" s="1460"/>
      <c r="X51" s="1460"/>
      <c r="Y51" s="1460"/>
      <c r="Z51" s="1460"/>
      <c r="AA51" s="1460"/>
      <c r="AB51" s="1460"/>
      <c r="AC51" s="1460"/>
      <c r="AD51" s="1460"/>
      <c r="AE51" s="1460"/>
      <c r="AF51" s="1460"/>
      <c r="AG51" s="1460"/>
      <c r="AH51" s="1460"/>
      <c r="AI51" s="1460"/>
      <c r="AJ51" s="1460"/>
      <c r="AK51" s="1460"/>
      <c r="AL51" s="1460"/>
      <c r="AM51" s="1460"/>
      <c r="AN51" s="1460"/>
      <c r="AO51" s="1460"/>
      <c r="AP51" s="1460"/>
      <c r="AQ51" s="1460"/>
      <c r="AR51" s="1460"/>
      <c r="AS51" s="1460"/>
      <c r="AT51" s="1460"/>
      <c r="AU51" s="20"/>
      <c r="AV51" s="20"/>
      <c r="AW51" s="20"/>
      <c r="AX51" s="20"/>
      <c r="AY51" s="20"/>
      <c r="AZ51" s="20"/>
      <c r="BD51" s="1176" t="s">
        <v>2469</v>
      </c>
      <c r="BE51" s="1178" t="str">
        <f>Application!M260</f>
        <v>Hearthstone CA Properties VI, LLC</v>
      </c>
    </row>
    <row r="52" spans="1:57" ht="12.9" customHeight="1">
      <c r="A52" s="1460"/>
      <c r="B52" s="1460"/>
      <c r="C52" s="1460"/>
      <c r="D52" s="1460"/>
      <c r="E52" s="1460"/>
      <c r="F52" s="1460"/>
      <c r="G52" s="1460"/>
      <c r="H52" s="1460"/>
      <c r="I52" s="1460"/>
      <c r="J52" s="1460"/>
      <c r="K52" s="1460"/>
      <c r="L52" s="1460"/>
      <c r="M52" s="1460"/>
      <c r="N52" s="1460"/>
      <c r="O52" s="1460"/>
      <c r="P52" s="1460"/>
      <c r="Q52" s="1460"/>
      <c r="R52" s="1460"/>
      <c r="S52" s="1460"/>
      <c r="T52" s="1460"/>
      <c r="U52" s="1460"/>
      <c r="V52" s="1460"/>
      <c r="W52" s="1460"/>
      <c r="X52" s="1460"/>
      <c r="Y52" s="1460"/>
      <c r="Z52" s="1460"/>
      <c r="AA52" s="1460"/>
      <c r="AB52" s="1460"/>
      <c r="AC52" s="1460"/>
      <c r="AD52" s="1460"/>
      <c r="AE52" s="1460"/>
      <c r="AF52" s="1460"/>
      <c r="AG52" s="1460"/>
      <c r="AH52" s="1460"/>
      <c r="AI52" s="1460"/>
      <c r="AJ52" s="1460"/>
      <c r="AK52" s="1460"/>
      <c r="AL52" s="1460"/>
      <c r="AM52" s="1460"/>
      <c r="AN52" s="1460"/>
      <c r="AO52" s="1460"/>
      <c r="AP52" s="1460"/>
      <c r="AQ52" s="1460"/>
      <c r="AR52" s="1460"/>
      <c r="AS52" s="1460"/>
      <c r="AT52" s="1460"/>
      <c r="AU52" s="20"/>
      <c r="AV52" s="20"/>
      <c r="AW52" s="20"/>
      <c r="AX52" s="20"/>
      <c r="AY52" s="20"/>
      <c r="AZ52" s="20"/>
      <c r="BD52" s="1177" t="s">
        <v>2470</v>
      </c>
      <c r="BE52" s="1178" t="str">
        <f>Application!M263</f>
        <v>Socorro Vasquez</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 xml:space="preserve">Hearthstone Housing Foundation </v>
      </c>
    </row>
    <row r="54" spans="1:57" ht="12.9" customHeight="1">
      <c r="A54" s="1460" t="s">
        <v>2102</v>
      </c>
      <c r="B54" s="1460"/>
      <c r="C54" s="1460"/>
      <c r="D54" s="1460"/>
      <c r="E54" s="1460"/>
      <c r="F54" s="1460"/>
      <c r="G54" s="1460"/>
      <c r="H54" s="1460"/>
      <c r="I54" s="1460"/>
      <c r="J54" s="1460"/>
      <c r="K54" s="1460"/>
      <c r="L54" s="1460"/>
      <c r="M54" s="1460"/>
      <c r="N54" s="1460"/>
      <c r="O54" s="1460"/>
      <c r="P54" s="1460"/>
      <c r="Q54" s="1460"/>
      <c r="R54" s="1460"/>
      <c r="S54" s="1460"/>
      <c r="T54" s="1460"/>
      <c r="U54" s="1460"/>
      <c r="V54" s="1460"/>
      <c r="W54" s="1460"/>
      <c r="X54" s="1460"/>
      <c r="Y54" s="1460"/>
      <c r="Z54" s="1460"/>
      <c r="AA54" s="1460"/>
      <c r="AB54" s="1460"/>
      <c r="AC54" s="1460"/>
      <c r="AD54" s="1460"/>
      <c r="AE54" s="1460"/>
      <c r="AF54" s="1460"/>
      <c r="AG54" s="1460"/>
      <c r="AH54" s="1460"/>
      <c r="AI54" s="1460"/>
      <c r="AJ54" s="1460"/>
      <c r="AK54" s="1460"/>
      <c r="AL54" s="1460"/>
      <c r="AM54" s="1460"/>
      <c r="AN54" s="1460"/>
      <c r="AO54" s="1460"/>
      <c r="AP54" s="1460"/>
      <c r="AQ54" s="1460"/>
      <c r="AR54" s="1460"/>
      <c r="AS54" s="1460"/>
      <c r="AT54" s="1460"/>
      <c r="AU54" s="20"/>
      <c r="AV54" s="20"/>
      <c r="AW54" s="20"/>
      <c r="AX54" s="20"/>
      <c r="AY54" s="20"/>
      <c r="AZ54" s="21"/>
      <c r="BD54" s="1177" t="s">
        <v>2472</v>
      </c>
      <c r="BE54" s="1178">
        <f>Application!M268</f>
        <v>0</v>
      </c>
    </row>
    <row r="55" spans="1:57" ht="12.9" customHeight="1">
      <c r="A55" s="1460"/>
      <c r="B55" s="1460"/>
      <c r="C55" s="1460"/>
      <c r="D55" s="1460"/>
      <c r="E55" s="1460"/>
      <c r="F55" s="1460"/>
      <c r="G55" s="1460"/>
      <c r="H55" s="1460"/>
      <c r="I55" s="1460"/>
      <c r="J55" s="1460"/>
      <c r="K55" s="1460"/>
      <c r="L55" s="1460"/>
      <c r="M55" s="1460"/>
      <c r="N55" s="1460"/>
      <c r="O55" s="1460"/>
      <c r="P55" s="1460"/>
      <c r="Q55" s="1460"/>
      <c r="R55" s="1460"/>
      <c r="S55" s="1460"/>
      <c r="T55" s="1460"/>
      <c r="U55" s="1460"/>
      <c r="V55" s="1460"/>
      <c r="W55" s="1460"/>
      <c r="X55" s="1460"/>
      <c r="Y55" s="1460"/>
      <c r="Z55" s="1460"/>
      <c r="AA55" s="1460"/>
      <c r="AB55" s="1460"/>
      <c r="AC55" s="1460"/>
      <c r="AD55" s="1460"/>
      <c r="AE55" s="1460"/>
      <c r="AF55" s="1460"/>
      <c r="AG55" s="1460"/>
      <c r="AH55" s="1460"/>
      <c r="AI55" s="1460"/>
      <c r="AJ55" s="1460"/>
      <c r="AK55" s="1460"/>
      <c r="AL55" s="1460"/>
      <c r="AM55" s="1460"/>
      <c r="AN55" s="1460"/>
      <c r="AO55" s="1460"/>
      <c r="AP55" s="1460"/>
      <c r="AQ55" s="1460"/>
      <c r="AR55" s="1460"/>
      <c r="AS55" s="1460"/>
      <c r="AT55" s="1460"/>
      <c r="AZ55" s="21"/>
      <c r="BD55" s="1176" t="s">
        <v>2473</v>
      </c>
      <c r="BE55" s="1178">
        <f>Application!M271</f>
        <v>0</v>
      </c>
    </row>
    <row r="56" spans="1:57" ht="12.9" customHeight="1">
      <c r="A56" s="1460"/>
      <c r="B56" s="1460"/>
      <c r="C56" s="1460"/>
      <c r="D56" s="1460"/>
      <c r="E56" s="1460"/>
      <c r="F56" s="1460"/>
      <c r="G56" s="1460"/>
      <c r="H56" s="1460"/>
      <c r="I56" s="1460"/>
      <c r="J56" s="1460"/>
      <c r="K56" s="1460"/>
      <c r="L56" s="1460"/>
      <c r="M56" s="1460"/>
      <c r="N56" s="1460"/>
      <c r="O56" s="1460"/>
      <c r="P56" s="1460"/>
      <c r="Q56" s="1460"/>
      <c r="R56" s="1460"/>
      <c r="S56" s="1460"/>
      <c r="T56" s="1460"/>
      <c r="U56" s="1460"/>
      <c r="V56" s="1460"/>
      <c r="W56" s="1460"/>
      <c r="X56" s="1460"/>
      <c r="Y56" s="1460"/>
      <c r="Z56" s="1460"/>
      <c r="AA56" s="1460"/>
      <c r="AB56" s="1460"/>
      <c r="AC56" s="1460"/>
      <c r="AD56" s="1460"/>
      <c r="AE56" s="1460"/>
      <c r="AF56" s="1460"/>
      <c r="AG56" s="1460"/>
      <c r="AH56" s="1460"/>
      <c r="AI56" s="1460"/>
      <c r="AJ56" s="1460"/>
      <c r="AK56" s="1460"/>
      <c r="AL56" s="1460"/>
      <c r="AM56" s="1460"/>
      <c r="AN56" s="1460"/>
      <c r="AO56" s="1460"/>
      <c r="AP56" s="1460"/>
      <c r="AQ56" s="1460"/>
      <c r="AR56" s="1460"/>
      <c r="AS56" s="1460"/>
      <c r="AT56" s="1460"/>
      <c r="BD56" s="1177" t="s">
        <v>2474</v>
      </c>
      <c r="BE56" s="1178">
        <f>Application!AA274</f>
        <v>0</v>
      </c>
    </row>
    <row r="57" spans="1:57" ht="12.9" customHeight="1">
      <c r="A57" s="1460"/>
      <c r="B57" s="1460"/>
      <c r="C57" s="1460"/>
      <c r="D57" s="1460"/>
      <c r="E57" s="1460"/>
      <c r="F57" s="1460"/>
      <c r="G57" s="1460"/>
      <c r="H57" s="1460"/>
      <c r="I57" s="1460"/>
      <c r="J57" s="1460"/>
      <c r="K57" s="1460"/>
      <c r="L57" s="1460"/>
      <c r="M57" s="1460"/>
      <c r="N57" s="1460"/>
      <c r="O57" s="1460"/>
      <c r="P57" s="1460"/>
      <c r="Q57" s="1460"/>
      <c r="R57" s="1460"/>
      <c r="S57" s="1460"/>
      <c r="T57" s="1460"/>
      <c r="U57" s="1460"/>
      <c r="V57" s="1460"/>
      <c r="W57" s="1460"/>
      <c r="X57" s="1460"/>
      <c r="Y57" s="1460"/>
      <c r="Z57" s="1460"/>
      <c r="AA57" s="1460"/>
      <c r="AB57" s="1460"/>
      <c r="AC57" s="1460"/>
      <c r="AD57" s="1460"/>
      <c r="AE57" s="1460"/>
      <c r="AF57" s="1460"/>
      <c r="AG57" s="1460"/>
      <c r="AH57" s="1460"/>
      <c r="AI57" s="1460"/>
      <c r="AJ57" s="1460"/>
      <c r="AK57" s="1460"/>
      <c r="AL57" s="1460"/>
      <c r="AM57" s="1460"/>
      <c r="AN57" s="1460"/>
      <c r="AO57" s="1460"/>
      <c r="AP57" s="1460"/>
      <c r="AQ57" s="1460"/>
      <c r="AR57" s="1460"/>
      <c r="AS57" s="1460"/>
      <c r="AT57" s="1460"/>
      <c r="BD57" s="1176" t="s">
        <v>2475</v>
      </c>
      <c r="BE57" s="1178" t="str">
        <f>Application!H296</f>
        <v>Vintage Housing Development, Inc</v>
      </c>
    </row>
    <row r="58" spans="1:57" ht="12.9" customHeight="1">
      <c r="A58" s="1460"/>
      <c r="B58" s="1460"/>
      <c r="C58" s="1460"/>
      <c r="D58" s="1460"/>
      <c r="E58" s="1460"/>
      <c r="F58" s="1460"/>
      <c r="G58" s="1460"/>
      <c r="H58" s="1460"/>
      <c r="I58" s="1460"/>
      <c r="J58" s="1460"/>
      <c r="K58" s="1460"/>
      <c r="L58" s="1460"/>
      <c r="M58" s="1460"/>
      <c r="N58" s="1460"/>
      <c r="O58" s="1460"/>
      <c r="P58" s="1460"/>
      <c r="Q58" s="1460"/>
      <c r="R58" s="1460"/>
      <c r="S58" s="1460"/>
      <c r="T58" s="1460"/>
      <c r="U58" s="1460"/>
      <c r="V58" s="1460"/>
      <c r="W58" s="1460"/>
      <c r="X58" s="1460"/>
      <c r="Y58" s="1460"/>
      <c r="Z58" s="1460"/>
      <c r="AA58" s="1460"/>
      <c r="AB58" s="1460"/>
      <c r="AC58" s="1460"/>
      <c r="AD58" s="1460"/>
      <c r="AE58" s="1460"/>
      <c r="AF58" s="1460"/>
      <c r="AG58" s="1460"/>
      <c r="AH58" s="1460"/>
      <c r="AI58" s="1460"/>
      <c r="AJ58" s="1460"/>
      <c r="AK58" s="1460"/>
      <c r="AL58" s="1460"/>
      <c r="AM58" s="1460"/>
      <c r="AN58" s="1460"/>
      <c r="AO58" s="1460"/>
      <c r="AP58" s="1460"/>
      <c r="AQ58" s="1460"/>
      <c r="AR58" s="1460"/>
      <c r="AS58" s="1460"/>
      <c r="AT58" s="1460"/>
      <c r="BD58" s="1177" t="s">
        <v>2476</v>
      </c>
      <c r="BE58" s="1178" t="str">
        <f>Application!H297</f>
        <v>3569 San Miguel Drive, Suite 135</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Newport Beach, CA 92660</v>
      </c>
    </row>
    <row r="60" spans="1:57" ht="12.9" customHeight="1">
      <c r="A60" s="1460" t="s">
        <v>2103</v>
      </c>
      <c r="B60" s="1460"/>
      <c r="C60" s="1460"/>
      <c r="D60" s="1460"/>
      <c r="E60" s="1460"/>
      <c r="F60" s="1460"/>
      <c r="G60" s="1460"/>
      <c r="H60" s="1460"/>
      <c r="I60" s="1460"/>
      <c r="J60" s="1460"/>
      <c r="K60" s="1460"/>
      <c r="L60" s="1460"/>
      <c r="M60" s="1460"/>
      <c r="N60" s="1460"/>
      <c r="O60" s="1460"/>
      <c r="P60" s="1460"/>
      <c r="Q60" s="1460"/>
      <c r="R60" s="1460"/>
      <c r="S60" s="1460"/>
      <c r="T60" s="1460"/>
      <c r="U60" s="1460"/>
      <c r="V60" s="1460"/>
      <c r="W60" s="1460"/>
      <c r="X60" s="1460"/>
      <c r="Y60" s="1460"/>
      <c r="Z60" s="1460"/>
      <c r="AA60" s="1460"/>
      <c r="AB60" s="1460"/>
      <c r="AC60" s="1460"/>
      <c r="AD60" s="1460"/>
      <c r="AE60" s="1460"/>
      <c r="AF60" s="1460"/>
      <c r="AG60" s="1460"/>
      <c r="AH60" s="1460"/>
      <c r="AI60" s="1460"/>
      <c r="AJ60" s="1460"/>
      <c r="AK60" s="1460"/>
      <c r="AL60" s="1460"/>
      <c r="AM60" s="1460"/>
      <c r="AN60" s="1460"/>
      <c r="AO60" s="1460"/>
      <c r="AP60" s="1460"/>
      <c r="AQ60" s="1460"/>
      <c r="AR60" s="1460"/>
      <c r="AS60" s="1460"/>
      <c r="AT60" s="1460"/>
      <c r="AU60" s="20"/>
      <c r="AV60" s="20"/>
      <c r="AW60" s="20"/>
      <c r="AX60" s="20"/>
      <c r="AY60" s="20"/>
      <c r="AZ60" s="20"/>
      <c r="BD60" s="1177" t="s">
        <v>2478</v>
      </c>
      <c r="BE60" s="1178" t="str">
        <f>Application!H299</f>
        <v xml:space="preserve">Michael Gancar </v>
      </c>
    </row>
    <row r="61" spans="1:57" ht="12.9" customHeight="1">
      <c r="A61" s="1460"/>
      <c r="B61" s="1460"/>
      <c r="C61" s="1460"/>
      <c r="D61" s="1460"/>
      <c r="E61" s="1460"/>
      <c r="F61" s="1460"/>
      <c r="G61" s="1460"/>
      <c r="H61" s="1460"/>
      <c r="I61" s="1460"/>
      <c r="J61" s="1460"/>
      <c r="K61" s="1460"/>
      <c r="L61" s="1460"/>
      <c r="M61" s="1460"/>
      <c r="N61" s="1460"/>
      <c r="O61" s="1460"/>
      <c r="P61" s="1460"/>
      <c r="Q61" s="1460"/>
      <c r="R61" s="1460"/>
      <c r="S61" s="1460"/>
      <c r="T61" s="1460"/>
      <c r="U61" s="1460"/>
      <c r="V61" s="1460"/>
      <c r="W61" s="1460"/>
      <c r="X61" s="1460"/>
      <c r="Y61" s="1460"/>
      <c r="Z61" s="1460"/>
      <c r="AA61" s="1460"/>
      <c r="AB61" s="1460"/>
      <c r="AC61" s="1460"/>
      <c r="AD61" s="1460"/>
      <c r="AE61" s="1460"/>
      <c r="AF61" s="1460"/>
      <c r="AG61" s="1460"/>
      <c r="AH61" s="1460"/>
      <c r="AI61" s="1460"/>
      <c r="AJ61" s="1460"/>
      <c r="AK61" s="1460"/>
      <c r="AL61" s="1460"/>
      <c r="AM61" s="1460"/>
      <c r="AN61" s="1460"/>
      <c r="AO61" s="1460"/>
      <c r="AP61" s="1460"/>
      <c r="AQ61" s="1460"/>
      <c r="AR61" s="1460"/>
      <c r="AS61" s="1460"/>
      <c r="AT61" s="1460"/>
      <c r="AU61" s="20"/>
      <c r="AV61" s="20"/>
      <c r="AW61" s="20"/>
      <c r="AX61" s="20"/>
      <c r="AY61" s="20"/>
      <c r="AZ61" s="20"/>
      <c r="BD61" s="1176" t="s">
        <v>2479</v>
      </c>
      <c r="BE61" s="1178" t="str">
        <f>Application!H302</f>
        <v>mgancar@vintagehousing.com</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v>
      </c>
    </row>
    <row r="63" spans="1:57" ht="12.9"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 customHeight="1">
      <c r="A65" s="1461" t="s">
        <v>2105</v>
      </c>
      <c r="B65" s="1461"/>
      <c r="C65" s="1461"/>
      <c r="D65" s="1461"/>
      <c r="E65" s="1461"/>
      <c r="F65" s="1461"/>
      <c r="G65" s="1461"/>
      <c r="H65" s="1461"/>
      <c r="I65" s="1461"/>
      <c r="J65" s="1461"/>
      <c r="K65" s="1461"/>
      <c r="L65" s="1461"/>
      <c r="M65" s="1461"/>
      <c r="N65" s="1461"/>
      <c r="O65" s="1461"/>
      <c r="P65" s="1461"/>
      <c r="Q65" s="1461"/>
      <c r="R65" s="1461"/>
      <c r="S65" s="1461"/>
      <c r="T65" s="1461"/>
      <c r="U65" s="1461"/>
      <c r="V65" s="1461"/>
      <c r="W65" s="1461"/>
      <c r="X65" s="1461"/>
      <c r="Y65" s="1461"/>
      <c r="Z65" s="1461"/>
      <c r="AA65" s="1461"/>
      <c r="AB65" s="1461"/>
      <c r="AC65" s="1461"/>
      <c r="AD65" s="1461"/>
      <c r="AE65" s="1461"/>
      <c r="AF65" s="1461"/>
      <c r="AG65" s="1461"/>
      <c r="AH65" s="1461"/>
      <c r="AI65" s="1461"/>
      <c r="AJ65" s="1461"/>
      <c r="AK65" s="1461"/>
      <c r="AL65" s="1461"/>
      <c r="AM65" s="1461"/>
      <c r="AN65" s="1461"/>
      <c r="AO65" s="1461"/>
      <c r="AP65" s="1461"/>
      <c r="AQ65" s="1461"/>
      <c r="AR65" s="1461"/>
      <c r="AS65" s="1461"/>
      <c r="AT65" s="1461"/>
      <c r="AU65" s="21"/>
      <c r="AV65" s="21"/>
      <c r="AW65" s="21"/>
      <c r="AX65" s="21"/>
      <c r="AY65" s="21"/>
      <c r="AZ65" s="20"/>
      <c r="BD65" s="1176" t="s">
        <v>2515</v>
      </c>
      <c r="BE65" s="1178" t="str">
        <f>Z205</f>
        <v>(select)</v>
      </c>
    </row>
    <row r="66" spans="1:57" ht="12.9" customHeight="1">
      <c r="A66" s="1461"/>
      <c r="B66" s="1461"/>
      <c r="C66" s="1461"/>
      <c r="D66" s="1461"/>
      <c r="E66" s="1461"/>
      <c r="F66" s="1461"/>
      <c r="G66" s="1461"/>
      <c r="H66" s="1461"/>
      <c r="I66" s="1461"/>
      <c r="J66" s="1461"/>
      <c r="K66" s="1461"/>
      <c r="L66" s="1461"/>
      <c r="M66" s="1461"/>
      <c r="N66" s="1461"/>
      <c r="O66" s="1461"/>
      <c r="P66" s="1461"/>
      <c r="Q66" s="1461"/>
      <c r="R66" s="1461"/>
      <c r="S66" s="1461"/>
      <c r="T66" s="1461"/>
      <c r="U66" s="1461"/>
      <c r="V66" s="1461"/>
      <c r="W66" s="1461"/>
      <c r="X66" s="1461"/>
      <c r="Y66" s="1461"/>
      <c r="Z66" s="1461"/>
      <c r="AA66" s="1461"/>
      <c r="AB66" s="1461"/>
      <c r="AC66" s="1461"/>
      <c r="AD66" s="1461"/>
      <c r="AE66" s="1461"/>
      <c r="AF66" s="1461"/>
      <c r="AG66" s="1461"/>
      <c r="AH66" s="1461"/>
      <c r="AI66" s="1461"/>
      <c r="AJ66" s="1461"/>
      <c r="AK66" s="1461"/>
      <c r="AL66" s="1461"/>
      <c r="AM66" s="1461"/>
      <c r="AN66" s="1461"/>
      <c r="AO66" s="1461"/>
      <c r="AP66" s="1461"/>
      <c r="AQ66" s="1461"/>
      <c r="AR66" s="1461"/>
      <c r="AS66" s="1461"/>
      <c r="AT66" s="1461"/>
      <c r="AU66" s="21"/>
      <c r="AV66" s="21"/>
      <c r="AW66" s="21"/>
      <c r="AX66" s="21"/>
      <c r="AY66" s="21"/>
      <c r="AZ66" s="20"/>
      <c r="BD66" s="1177" t="s">
        <v>2482</v>
      </c>
      <c r="BE66" s="1178" t="b">
        <f>Application!Z205="State Farmworker Credit"</f>
        <v>0</v>
      </c>
    </row>
    <row r="67" spans="1:57" ht="12.9" customHeight="1">
      <c r="A67" s="1461"/>
      <c r="B67" s="1461"/>
      <c r="C67" s="1461"/>
      <c r="D67" s="1461"/>
      <c r="E67" s="1461"/>
      <c r="F67" s="1461"/>
      <c r="G67" s="1461"/>
      <c r="H67" s="1461"/>
      <c r="I67" s="1461"/>
      <c r="J67" s="1461"/>
      <c r="K67" s="1461"/>
      <c r="L67" s="1461"/>
      <c r="M67" s="1461"/>
      <c r="N67" s="1461"/>
      <c r="O67" s="1461"/>
      <c r="P67" s="1461"/>
      <c r="Q67" s="1461"/>
      <c r="R67" s="1461"/>
      <c r="S67" s="1461"/>
      <c r="T67" s="1461"/>
      <c r="U67" s="1461"/>
      <c r="V67" s="1461"/>
      <c r="W67" s="1461"/>
      <c r="X67" s="1461"/>
      <c r="Y67" s="1461"/>
      <c r="Z67" s="1461"/>
      <c r="AA67" s="1461"/>
      <c r="AB67" s="1461"/>
      <c r="AC67" s="1461"/>
      <c r="AD67" s="1461"/>
      <c r="AE67" s="1461"/>
      <c r="AF67" s="1461"/>
      <c r="AG67" s="1461"/>
      <c r="AH67" s="1461"/>
      <c r="AI67" s="1461"/>
      <c r="AJ67" s="1461"/>
      <c r="AK67" s="1461"/>
      <c r="AL67" s="1461"/>
      <c r="AM67" s="1461"/>
      <c r="AN67" s="1461"/>
      <c r="AO67" s="1461"/>
      <c r="AP67" s="1461"/>
      <c r="AQ67" s="1461"/>
      <c r="AR67" s="1461"/>
      <c r="AS67" s="1461"/>
      <c r="AT67" s="1461"/>
      <c r="AZ67" s="20"/>
      <c r="BD67" s="1176" t="s">
        <v>2483</v>
      </c>
      <c r="BE67" s="1178"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 customHeight="1">
      <c r="A69" s="1461" t="s">
        <v>2106</v>
      </c>
      <c r="B69" s="1461"/>
      <c r="C69" s="1461"/>
      <c r="D69" s="1461"/>
      <c r="E69" s="1461"/>
      <c r="F69" s="1461"/>
      <c r="G69" s="1461"/>
      <c r="H69" s="1461"/>
      <c r="I69" s="1461"/>
      <c r="J69" s="1461"/>
      <c r="K69" s="1461"/>
      <c r="L69" s="1461"/>
      <c r="M69" s="1461"/>
      <c r="N69" s="1461"/>
      <c r="O69" s="1461"/>
      <c r="P69" s="1461"/>
      <c r="Q69" s="1461"/>
      <c r="R69" s="1461"/>
      <c r="S69" s="1461"/>
      <c r="T69" s="1461"/>
      <c r="U69" s="1461"/>
      <c r="V69" s="1461"/>
      <c r="W69" s="1461"/>
      <c r="X69" s="1461"/>
      <c r="Y69" s="1461"/>
      <c r="Z69" s="1461"/>
      <c r="AA69" s="1461"/>
      <c r="AB69" s="1461"/>
      <c r="AC69" s="1461"/>
      <c r="AD69" s="1461"/>
      <c r="AE69" s="1461"/>
      <c r="AF69" s="1461"/>
      <c r="AG69" s="1461"/>
      <c r="AH69" s="1461"/>
      <c r="AI69" s="1461"/>
      <c r="AJ69" s="1461"/>
      <c r="AK69" s="1461"/>
      <c r="AL69" s="1461"/>
      <c r="AM69" s="1461"/>
      <c r="AN69" s="1461"/>
      <c r="AO69" s="1461"/>
      <c r="AP69" s="1461"/>
      <c r="AQ69" s="1461"/>
      <c r="AR69" s="1461"/>
      <c r="AS69" s="1461"/>
      <c r="AT69" s="1461"/>
      <c r="AZ69" s="20"/>
      <c r="BD69" s="1176" t="s">
        <v>2485</v>
      </c>
      <c r="BE69" s="1178" t="str">
        <f>Application!W708</f>
        <v>California Municipal Finance Authority</v>
      </c>
    </row>
    <row r="70" spans="1:57" ht="12.9" customHeight="1">
      <c r="A70" s="1461"/>
      <c r="B70" s="1461"/>
      <c r="C70" s="1461"/>
      <c r="D70" s="1461"/>
      <c r="E70" s="1461"/>
      <c r="F70" s="1461"/>
      <c r="G70" s="1461"/>
      <c r="H70" s="1461"/>
      <c r="I70" s="1461"/>
      <c r="J70" s="1461"/>
      <c r="K70" s="1461"/>
      <c r="L70" s="1461"/>
      <c r="M70" s="1461"/>
      <c r="N70" s="1461"/>
      <c r="O70" s="1461"/>
      <c r="P70" s="1461"/>
      <c r="Q70" s="1461"/>
      <c r="R70" s="1461"/>
      <c r="S70" s="1461"/>
      <c r="T70" s="1461"/>
      <c r="U70" s="1461"/>
      <c r="V70" s="1461"/>
      <c r="W70" s="1461"/>
      <c r="X70" s="1461"/>
      <c r="Y70" s="1461"/>
      <c r="Z70" s="1461"/>
      <c r="AA70" s="1461"/>
      <c r="AB70" s="1461"/>
      <c r="AC70" s="1461"/>
      <c r="AD70" s="1461"/>
      <c r="AE70" s="1461"/>
      <c r="AF70" s="1461"/>
      <c r="AG70" s="1461"/>
      <c r="AH70" s="1461"/>
      <c r="AI70" s="1461"/>
      <c r="AJ70" s="1461"/>
      <c r="AK70" s="1461"/>
      <c r="AL70" s="1461"/>
      <c r="AM70" s="1461"/>
      <c r="AN70" s="1461"/>
      <c r="AO70" s="1461"/>
      <c r="AP70" s="1461"/>
      <c r="AQ70" s="1461"/>
      <c r="AR70" s="1461"/>
      <c r="AS70" s="1461"/>
      <c r="AT70" s="1461"/>
      <c r="AU70" s="20"/>
      <c r="AV70" s="20"/>
      <c r="AW70" s="20"/>
      <c r="AX70" s="20"/>
      <c r="AY70" s="20"/>
      <c r="AZ70" s="20"/>
      <c r="BD70" s="1177" t="s">
        <v>2486</v>
      </c>
      <c r="BE70" s="1178">
        <f ca="1">'Points System'!AF893</f>
        <v>111</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 customHeight="1">
      <c r="A72" s="1458" t="s">
        <v>2107</v>
      </c>
      <c r="B72" s="1458"/>
      <c r="C72" s="1458"/>
      <c r="D72" s="1458"/>
      <c r="E72" s="1458"/>
      <c r="F72" s="1458"/>
      <c r="G72" s="1458"/>
      <c r="H72" s="1458"/>
      <c r="I72" s="1458"/>
      <c r="J72" s="1458"/>
      <c r="K72" s="1458"/>
      <c r="L72" s="1458"/>
      <c r="M72" s="1458"/>
      <c r="N72" s="1458"/>
      <c r="O72" s="1458"/>
      <c r="P72" s="1458"/>
      <c r="Q72" s="1458"/>
      <c r="R72" s="1458"/>
      <c r="S72" s="1458"/>
      <c r="T72" s="1458"/>
      <c r="U72" s="1458"/>
      <c r="V72" s="1458"/>
      <c r="W72" s="1458"/>
      <c r="X72" s="1458"/>
      <c r="Y72" s="1458"/>
      <c r="Z72" s="1458"/>
      <c r="AA72" s="1458"/>
      <c r="AB72" s="1458"/>
      <c r="AC72" s="1458"/>
      <c r="AD72" s="1458"/>
      <c r="AE72" s="1458"/>
      <c r="AF72" s="1458"/>
      <c r="AG72" s="1458"/>
      <c r="AH72" s="1458"/>
      <c r="AI72" s="1458"/>
      <c r="AJ72" s="1458"/>
      <c r="AK72" s="1458"/>
      <c r="AL72" s="1458"/>
      <c r="AM72" s="1458"/>
      <c r="AN72" s="1458"/>
      <c r="AO72" s="1458"/>
      <c r="AP72" s="1458"/>
      <c r="AQ72" s="1458"/>
      <c r="AR72" s="1458"/>
      <c r="AS72" s="1458"/>
      <c r="AT72" s="1458"/>
      <c r="AU72" s="20"/>
      <c r="AV72" s="20"/>
      <c r="AW72" s="20"/>
      <c r="AX72" s="20"/>
      <c r="AY72" s="20"/>
      <c r="AZ72" s="20"/>
      <c r="BD72" s="1177" t="s">
        <v>2487</v>
      </c>
      <c r="BE72" s="1178">
        <f>'Points System'!AF877</f>
        <v>10</v>
      </c>
    </row>
    <row r="73" spans="1:57" ht="12.9" customHeight="1">
      <c r="A73" s="1458"/>
      <c r="B73" s="1458"/>
      <c r="C73" s="1458"/>
      <c r="D73" s="1458"/>
      <c r="E73" s="1458"/>
      <c r="F73" s="1458"/>
      <c r="G73" s="1458"/>
      <c r="H73" s="1458"/>
      <c r="I73" s="1458"/>
      <c r="J73" s="1458"/>
      <c r="K73" s="1458"/>
      <c r="L73" s="1458"/>
      <c r="M73" s="1458"/>
      <c r="N73" s="1458"/>
      <c r="O73" s="1458"/>
      <c r="P73" s="1458"/>
      <c r="Q73" s="1458"/>
      <c r="R73" s="1458"/>
      <c r="S73" s="1458"/>
      <c r="T73" s="1458"/>
      <c r="U73" s="1458"/>
      <c r="V73" s="1458"/>
      <c r="W73" s="1458"/>
      <c r="X73" s="1458"/>
      <c r="Y73" s="1458"/>
      <c r="Z73" s="1458"/>
      <c r="AA73" s="1458"/>
      <c r="AB73" s="1458"/>
      <c r="AC73" s="1458"/>
      <c r="AD73" s="1458"/>
      <c r="AE73" s="1458"/>
      <c r="AF73" s="1458"/>
      <c r="AG73" s="1458"/>
      <c r="AH73" s="1458"/>
      <c r="AI73" s="1458"/>
      <c r="AJ73" s="1458"/>
      <c r="AK73" s="1458"/>
      <c r="AL73" s="1458"/>
      <c r="AM73" s="1458"/>
      <c r="AN73" s="1458"/>
      <c r="AO73" s="1458"/>
      <c r="AP73" s="1458"/>
      <c r="AQ73" s="1458"/>
      <c r="AR73" s="1458"/>
      <c r="AS73" s="1458"/>
      <c r="AT73" s="1458"/>
      <c r="AU73" s="20"/>
      <c r="AV73" s="20"/>
      <c r="AW73" s="20"/>
      <c r="AX73" s="20"/>
      <c r="AY73" s="20"/>
      <c r="AZ73" s="20"/>
      <c r="BD73" s="1176" t="s">
        <v>2488</v>
      </c>
      <c r="BE73" s="1178">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 customHeight="1">
      <c r="A75" s="1750" t="s">
        <v>2108</v>
      </c>
      <c r="B75" s="1750"/>
      <c r="C75" s="1750"/>
      <c r="D75" s="1750"/>
      <c r="E75" s="1750"/>
      <c r="F75" s="1750"/>
      <c r="G75" s="1750"/>
      <c r="H75" s="1750"/>
      <c r="I75" s="1750"/>
      <c r="J75" s="1750"/>
      <c r="K75" s="1750"/>
      <c r="L75" s="1750"/>
      <c r="M75" s="1750"/>
      <c r="N75" s="1750"/>
      <c r="O75" s="1750"/>
      <c r="P75" s="1750"/>
      <c r="Q75" s="1750"/>
      <c r="R75" s="1750"/>
      <c r="S75" s="1750"/>
      <c r="T75" s="1750"/>
      <c r="U75" s="1750"/>
      <c r="V75" s="1750"/>
      <c r="W75" s="1750"/>
      <c r="X75" s="1750"/>
      <c r="Y75" s="1750"/>
      <c r="Z75" s="1750"/>
      <c r="AA75" s="1750"/>
      <c r="AB75" s="1750"/>
      <c r="AC75" s="1750"/>
      <c r="AD75" s="1750"/>
      <c r="AE75" s="1750"/>
      <c r="AF75" s="1750"/>
      <c r="AG75" s="1750"/>
      <c r="AH75" s="1750"/>
      <c r="AI75" s="1750"/>
      <c r="AJ75" s="1750"/>
      <c r="AK75" s="1750"/>
      <c r="AL75" s="1750"/>
      <c r="AM75" s="1750"/>
      <c r="AN75" s="1750"/>
      <c r="AO75" s="1750"/>
      <c r="AP75" s="1750"/>
      <c r="AQ75" s="1750"/>
      <c r="AR75" s="1750"/>
      <c r="AS75" s="1750"/>
      <c r="AT75" s="1750"/>
      <c r="AU75" s="20"/>
      <c r="AV75" s="20"/>
      <c r="AW75" s="20"/>
      <c r="AX75" s="20"/>
      <c r="AY75" s="20"/>
      <c r="AZ75" s="20"/>
      <c r="BD75" s="1176" t="s">
        <v>2490</v>
      </c>
      <c r="BE75" s="1178">
        <f>'Points System'!AF880</f>
        <v>10</v>
      </c>
    </row>
    <row r="76" spans="1:57" ht="12.9" customHeight="1">
      <c r="A76" s="1750"/>
      <c r="B76" s="1750"/>
      <c r="C76" s="1750"/>
      <c r="D76" s="1750"/>
      <c r="E76" s="1750"/>
      <c r="F76" s="1750"/>
      <c r="G76" s="1750"/>
      <c r="H76" s="1750"/>
      <c r="I76" s="1750"/>
      <c r="J76" s="1750"/>
      <c r="K76" s="1750"/>
      <c r="L76" s="1750"/>
      <c r="M76" s="1750"/>
      <c r="N76" s="1750"/>
      <c r="O76" s="1750"/>
      <c r="P76" s="1750"/>
      <c r="Q76" s="1750"/>
      <c r="R76" s="1750"/>
      <c r="S76" s="1750"/>
      <c r="T76" s="1750"/>
      <c r="U76" s="1750"/>
      <c r="V76" s="1750"/>
      <c r="W76" s="1750"/>
      <c r="X76" s="1750"/>
      <c r="Y76" s="1750"/>
      <c r="Z76" s="1750"/>
      <c r="AA76" s="1750"/>
      <c r="AB76" s="1750"/>
      <c r="AC76" s="1750"/>
      <c r="AD76" s="1750"/>
      <c r="AE76" s="1750"/>
      <c r="AF76" s="1750"/>
      <c r="AG76" s="1750"/>
      <c r="AH76" s="1750"/>
      <c r="AI76" s="1750"/>
      <c r="AJ76" s="1750"/>
      <c r="AK76" s="1750"/>
      <c r="AL76" s="1750"/>
      <c r="AM76" s="1750"/>
      <c r="AN76" s="1750"/>
      <c r="AO76" s="1750"/>
      <c r="AP76" s="1750"/>
      <c r="AQ76" s="1750"/>
      <c r="AR76" s="1750"/>
      <c r="AS76" s="1750"/>
      <c r="AT76" s="1750"/>
      <c r="AU76" s="20"/>
      <c r="AV76" s="20"/>
      <c r="AW76" s="20"/>
      <c r="AX76" s="20"/>
      <c r="AY76" s="20"/>
      <c r="AZ76" s="17"/>
      <c r="BD76" s="1177" t="s">
        <v>2491</v>
      </c>
      <c r="BE76" s="1178">
        <f>'Points System'!AF883</f>
        <v>10</v>
      </c>
    </row>
    <row r="77" spans="1:57" ht="12.9" customHeight="1">
      <c r="A77" s="1750"/>
      <c r="B77" s="1750"/>
      <c r="C77" s="1750"/>
      <c r="D77" s="1750"/>
      <c r="E77" s="1750"/>
      <c r="F77" s="1750"/>
      <c r="G77" s="1750"/>
      <c r="H77" s="1750"/>
      <c r="I77" s="1750"/>
      <c r="J77" s="1750"/>
      <c r="K77" s="1750"/>
      <c r="L77" s="1750"/>
      <c r="M77" s="1750"/>
      <c r="N77" s="1750"/>
      <c r="O77" s="1750"/>
      <c r="P77" s="1750"/>
      <c r="Q77" s="1750"/>
      <c r="R77" s="1750"/>
      <c r="S77" s="1750"/>
      <c r="T77" s="1750"/>
      <c r="U77" s="1750"/>
      <c r="V77" s="1750"/>
      <c r="W77" s="1750"/>
      <c r="X77" s="1750"/>
      <c r="Y77" s="1750"/>
      <c r="Z77" s="1750"/>
      <c r="AA77" s="1750"/>
      <c r="AB77" s="1750"/>
      <c r="AC77" s="1750"/>
      <c r="AD77" s="1750"/>
      <c r="AE77" s="1750"/>
      <c r="AF77" s="1750"/>
      <c r="AG77" s="1750"/>
      <c r="AH77" s="1750"/>
      <c r="AI77" s="1750"/>
      <c r="AJ77" s="1750"/>
      <c r="AK77" s="1750"/>
      <c r="AL77" s="1750"/>
      <c r="AM77" s="1750"/>
      <c r="AN77" s="1750"/>
      <c r="AO77" s="1750"/>
      <c r="AP77" s="1750"/>
      <c r="AQ77" s="1750"/>
      <c r="AR77" s="1750"/>
      <c r="AS77" s="1750"/>
      <c r="AT77" s="1750"/>
      <c r="AU77" s="20"/>
      <c r="AV77" s="20"/>
      <c r="AW77" s="20"/>
      <c r="AX77" s="20"/>
      <c r="AY77" s="20"/>
      <c r="AZ77" s="17"/>
      <c r="BD77" s="1176" t="s">
        <v>2492</v>
      </c>
      <c r="BE77" s="1178">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 customHeight="1">
      <c r="A79" s="1461" t="s">
        <v>2109</v>
      </c>
      <c r="B79" s="1461"/>
      <c r="C79" s="1461"/>
      <c r="D79" s="1461"/>
      <c r="E79" s="1461"/>
      <c r="F79" s="1461"/>
      <c r="G79" s="1461"/>
      <c r="H79" s="1461"/>
      <c r="I79" s="1461"/>
      <c r="J79" s="1461"/>
      <c r="K79" s="1461"/>
      <c r="L79" s="1461"/>
      <c r="M79" s="1461"/>
      <c r="N79" s="1461"/>
      <c r="O79" s="1461"/>
      <c r="P79" s="1461"/>
      <c r="Q79" s="1461"/>
      <c r="R79" s="1461"/>
      <c r="S79" s="1461"/>
      <c r="T79" s="1461"/>
      <c r="U79" s="1461"/>
      <c r="V79" s="1461"/>
      <c r="W79" s="1461"/>
      <c r="X79" s="1461"/>
      <c r="Y79" s="1461"/>
      <c r="Z79" s="1461"/>
      <c r="AA79" s="1461"/>
      <c r="AB79" s="1461"/>
      <c r="AC79" s="1461"/>
      <c r="AD79" s="1461"/>
      <c r="AE79" s="1461"/>
      <c r="AF79" s="1461"/>
      <c r="AG79" s="1461"/>
      <c r="AH79" s="1461"/>
      <c r="AI79" s="1461"/>
      <c r="AJ79" s="1461"/>
      <c r="AK79" s="1461"/>
      <c r="AL79" s="1461"/>
      <c r="AM79" s="1461"/>
      <c r="AN79" s="1461"/>
      <c r="AO79" s="1461"/>
      <c r="AP79" s="1461"/>
      <c r="AQ79" s="1461"/>
      <c r="AR79" s="1461"/>
      <c r="AS79" s="1461"/>
      <c r="AT79" s="1461"/>
      <c r="AU79" s="20"/>
      <c r="AV79" s="20"/>
      <c r="AW79" s="20"/>
      <c r="AX79" s="20"/>
      <c r="AY79" s="20"/>
      <c r="AZ79" s="20"/>
      <c r="BD79" s="1176" t="s">
        <v>2607</v>
      </c>
      <c r="BE79" s="1178">
        <f>'Points System'!AF887</f>
        <v>9</v>
      </c>
    </row>
    <row r="80" spans="1:57" ht="12.9" customHeight="1">
      <c r="A80" s="1461"/>
      <c r="B80" s="1461"/>
      <c r="C80" s="1461"/>
      <c r="D80" s="1461"/>
      <c r="E80" s="1461"/>
      <c r="F80" s="1461"/>
      <c r="G80" s="1461"/>
      <c r="H80" s="1461"/>
      <c r="I80" s="1461"/>
      <c r="J80" s="1461"/>
      <c r="K80" s="1461"/>
      <c r="L80" s="1461"/>
      <c r="M80" s="1461"/>
      <c r="N80" s="1461"/>
      <c r="O80" s="1461"/>
      <c r="P80" s="1461"/>
      <c r="Q80" s="1461"/>
      <c r="R80" s="1461"/>
      <c r="S80" s="1461"/>
      <c r="T80" s="1461"/>
      <c r="U80" s="1461"/>
      <c r="V80" s="1461"/>
      <c r="W80" s="1461"/>
      <c r="X80" s="1461"/>
      <c r="Y80" s="1461"/>
      <c r="Z80" s="1461"/>
      <c r="AA80" s="1461"/>
      <c r="AB80" s="1461"/>
      <c r="AC80" s="1461"/>
      <c r="AD80" s="1461"/>
      <c r="AE80" s="1461"/>
      <c r="AF80" s="1461"/>
      <c r="AG80" s="1461"/>
      <c r="AH80" s="1461"/>
      <c r="AI80" s="1461"/>
      <c r="AJ80" s="1461"/>
      <c r="AK80" s="1461"/>
      <c r="AL80" s="1461"/>
      <c r="AM80" s="1461"/>
      <c r="AN80" s="1461"/>
      <c r="AO80" s="1461"/>
      <c r="AP80" s="1461"/>
      <c r="AQ80" s="1461"/>
      <c r="AR80" s="1461"/>
      <c r="AS80" s="1461"/>
      <c r="AT80" s="1461"/>
      <c r="AU80" s="20"/>
      <c r="AV80" s="20"/>
      <c r="AW80" s="20"/>
      <c r="AX80" s="20"/>
      <c r="AY80" s="20"/>
      <c r="AZ80" s="20"/>
      <c r="BD80" s="1177" t="s">
        <v>2494</v>
      </c>
      <c r="BE80" s="1178">
        <f>'Points System'!AF889</f>
        <v>10</v>
      </c>
    </row>
    <row r="81" spans="1:57" ht="12.9" customHeight="1">
      <c r="A81" s="1461"/>
      <c r="B81" s="1461"/>
      <c r="C81" s="1461"/>
      <c r="D81" s="1461"/>
      <c r="E81" s="1461"/>
      <c r="F81" s="1461"/>
      <c r="G81" s="1461"/>
      <c r="H81" s="1461"/>
      <c r="I81" s="1461"/>
      <c r="J81" s="1461"/>
      <c r="K81" s="1461"/>
      <c r="L81" s="1461"/>
      <c r="M81" s="1461"/>
      <c r="N81" s="1461"/>
      <c r="O81" s="1461"/>
      <c r="P81" s="1461"/>
      <c r="Q81" s="1461"/>
      <c r="R81" s="1461"/>
      <c r="S81" s="1461"/>
      <c r="T81" s="1461"/>
      <c r="U81" s="1461"/>
      <c r="V81" s="1461"/>
      <c r="W81" s="1461"/>
      <c r="X81" s="1461"/>
      <c r="Y81" s="1461"/>
      <c r="Z81" s="1461"/>
      <c r="AA81" s="1461"/>
      <c r="AB81" s="1461"/>
      <c r="AC81" s="1461"/>
      <c r="AD81" s="1461"/>
      <c r="AE81" s="1461"/>
      <c r="AF81" s="1461"/>
      <c r="AG81" s="1461"/>
      <c r="AH81" s="1461"/>
      <c r="AI81" s="1461"/>
      <c r="AJ81" s="1461"/>
      <c r="AK81" s="1461"/>
      <c r="AL81" s="1461"/>
      <c r="AM81" s="1461"/>
      <c r="AN81" s="1461"/>
      <c r="AO81" s="1461"/>
      <c r="AP81" s="1461"/>
      <c r="AQ81" s="1461"/>
      <c r="AR81" s="1461"/>
      <c r="AS81" s="1461"/>
      <c r="AT81" s="1461"/>
      <c r="AU81" s="20"/>
      <c r="AV81" s="20"/>
      <c r="AW81" s="20"/>
      <c r="AX81" s="20"/>
      <c r="AY81" s="20"/>
      <c r="AZ81" s="20"/>
      <c r="BD81" s="1176" t="s">
        <v>2495</v>
      </c>
      <c r="BE81" s="1178">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 customHeight="1">
      <c r="A83" s="1460" t="s">
        <v>2110</v>
      </c>
      <c r="B83" s="1460"/>
      <c r="C83" s="1460"/>
      <c r="D83" s="1460"/>
      <c r="E83" s="1460"/>
      <c r="F83" s="1460"/>
      <c r="G83" s="1460"/>
      <c r="H83" s="1460"/>
      <c r="I83" s="1460"/>
      <c r="J83" s="1460"/>
      <c r="K83" s="1460"/>
      <c r="L83" s="1460"/>
      <c r="M83" s="1460"/>
      <c r="N83" s="1460"/>
      <c r="O83" s="1460"/>
      <c r="P83" s="1460"/>
      <c r="Q83" s="1460"/>
      <c r="R83" s="1460"/>
      <c r="S83" s="1460"/>
      <c r="T83" s="1460"/>
      <c r="U83" s="1460"/>
      <c r="V83" s="1460"/>
      <c r="W83" s="1460"/>
      <c r="X83" s="1460"/>
      <c r="Y83" s="1460"/>
      <c r="Z83" s="1460"/>
      <c r="AA83" s="1460"/>
      <c r="AB83" s="1460"/>
      <c r="AC83" s="1460"/>
      <c r="AD83" s="1460"/>
      <c r="AE83" s="1460"/>
      <c r="AF83" s="1460"/>
      <c r="AG83" s="1460"/>
      <c r="AH83" s="1460"/>
      <c r="AI83" s="1460"/>
      <c r="AJ83" s="1460"/>
      <c r="AK83" s="1460"/>
      <c r="AL83" s="1460"/>
      <c r="AM83" s="1460"/>
      <c r="AN83" s="1460"/>
      <c r="AO83" s="1460"/>
      <c r="AP83" s="1460"/>
      <c r="AQ83" s="1460"/>
      <c r="AR83" s="1460"/>
      <c r="AS83" s="1460"/>
      <c r="AT83" s="1460"/>
      <c r="AU83" s="20"/>
      <c r="AV83" s="20"/>
      <c r="AW83" s="20"/>
      <c r="AX83" s="20"/>
      <c r="AY83" s="20"/>
      <c r="AZ83" s="20"/>
      <c r="BD83" s="1176" t="s">
        <v>2497</v>
      </c>
      <c r="BE83" s="1182">
        <f>'Tie Breaker'!H5</f>
        <v>1.6858265585639129</v>
      </c>
    </row>
    <row r="84" spans="1:57" ht="12.9" customHeight="1">
      <c r="A84" s="1460"/>
      <c r="B84" s="1460"/>
      <c r="C84" s="1460"/>
      <c r="D84" s="1460"/>
      <c r="E84" s="1460"/>
      <c r="F84" s="1460"/>
      <c r="G84" s="1460"/>
      <c r="H84" s="1460"/>
      <c r="I84" s="1460"/>
      <c r="J84" s="1460"/>
      <c r="K84" s="1460"/>
      <c r="L84" s="1460"/>
      <c r="M84" s="1460"/>
      <c r="N84" s="1460"/>
      <c r="O84" s="1460"/>
      <c r="P84" s="1460"/>
      <c r="Q84" s="1460"/>
      <c r="R84" s="1460"/>
      <c r="S84" s="1460"/>
      <c r="T84" s="1460"/>
      <c r="U84" s="1460"/>
      <c r="V84" s="1460"/>
      <c r="W84" s="1460"/>
      <c r="X84" s="1460"/>
      <c r="Y84" s="1460"/>
      <c r="Z84" s="1460"/>
      <c r="AA84" s="1460"/>
      <c r="AB84" s="1460"/>
      <c r="AC84" s="1460"/>
      <c r="AD84" s="1460"/>
      <c r="AE84" s="1460"/>
      <c r="AF84" s="1460"/>
      <c r="AG84" s="1460"/>
      <c r="AH84" s="1460"/>
      <c r="AI84" s="1460"/>
      <c r="AJ84" s="1460"/>
      <c r="AK84" s="1460"/>
      <c r="AL84" s="1460"/>
      <c r="AM84" s="1460"/>
      <c r="AN84" s="1460"/>
      <c r="AO84" s="1460"/>
      <c r="AP84" s="1460"/>
      <c r="AQ84" s="1460"/>
      <c r="AR84" s="1460"/>
      <c r="AS84" s="1460"/>
      <c r="AT84" s="1460"/>
      <c r="AU84" s="20"/>
      <c r="AV84" s="20"/>
      <c r="AW84" s="20"/>
      <c r="AX84" s="20"/>
      <c r="AY84" s="20"/>
      <c r="AZ84" s="20"/>
      <c r="BD84" s="1177" t="s">
        <v>2498</v>
      </c>
      <c r="BE84" s="1178" t="str">
        <f>Application!O153</f>
        <v>San Diego Housing Commission / City of San Diego</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Colin Miller</v>
      </c>
    </row>
    <row r="86" spans="1:57" ht="12.9" customHeight="1">
      <c r="A86" s="1460" t="s">
        <v>2111</v>
      </c>
      <c r="B86" s="1460"/>
      <c r="C86" s="1460"/>
      <c r="D86" s="1460"/>
      <c r="E86" s="1460"/>
      <c r="F86" s="1460"/>
      <c r="G86" s="1460"/>
      <c r="H86" s="1460"/>
      <c r="I86" s="1460"/>
      <c r="J86" s="1460"/>
      <c r="K86" s="1460"/>
      <c r="L86" s="1460"/>
      <c r="M86" s="1460"/>
      <c r="N86" s="1460"/>
      <c r="O86" s="1460"/>
      <c r="P86" s="1460"/>
      <c r="Q86" s="1460"/>
      <c r="R86" s="1460"/>
      <c r="S86" s="1460"/>
      <c r="T86" s="1460"/>
      <c r="U86" s="1460"/>
      <c r="V86" s="1460"/>
      <c r="W86" s="1460"/>
      <c r="X86" s="1460"/>
      <c r="Y86" s="1460"/>
      <c r="Z86" s="1460"/>
      <c r="AA86" s="1460"/>
      <c r="AB86" s="1460"/>
      <c r="AC86" s="1460"/>
      <c r="AD86" s="1460"/>
      <c r="AE86" s="1460"/>
      <c r="AF86" s="1460"/>
      <c r="AG86" s="1460"/>
      <c r="AH86" s="1460"/>
      <c r="AI86" s="1460"/>
      <c r="AJ86" s="1460"/>
      <c r="AK86" s="1460"/>
      <c r="AL86" s="1460"/>
      <c r="AM86" s="1460"/>
      <c r="AN86" s="1460"/>
      <c r="AO86" s="1460"/>
      <c r="AP86" s="1460"/>
      <c r="AQ86" s="1460"/>
      <c r="AR86" s="1460"/>
      <c r="AS86" s="1460"/>
      <c r="AT86" s="1460"/>
      <c r="AU86" s="20"/>
      <c r="AV86" s="20"/>
      <c r="AW86" s="20"/>
      <c r="AX86" s="20"/>
      <c r="AY86" s="20"/>
      <c r="AZ86" s="20"/>
      <c r="BD86" s="1177" t="s">
        <v>2500</v>
      </c>
      <c r="BE86" s="1178" t="str">
        <f>Application!O155</f>
        <v>City Manager</v>
      </c>
    </row>
    <row r="87" spans="1:57" ht="12.9" customHeight="1">
      <c r="A87" s="1460"/>
      <c r="B87" s="1460"/>
      <c r="C87" s="1460"/>
      <c r="D87" s="1460"/>
      <c r="E87" s="1460"/>
      <c r="F87" s="1460"/>
      <c r="G87" s="1460"/>
      <c r="H87" s="1460"/>
      <c r="I87" s="1460"/>
      <c r="J87" s="1460"/>
      <c r="K87" s="1460"/>
      <c r="L87" s="1460"/>
      <c r="M87" s="1460"/>
      <c r="N87" s="1460"/>
      <c r="O87" s="1460"/>
      <c r="P87" s="1460"/>
      <c r="Q87" s="1460"/>
      <c r="R87" s="1460"/>
      <c r="S87" s="1460"/>
      <c r="T87" s="1460"/>
      <c r="U87" s="1460"/>
      <c r="V87" s="1460"/>
      <c r="W87" s="1460"/>
      <c r="X87" s="1460"/>
      <c r="Y87" s="1460"/>
      <c r="Z87" s="1460"/>
      <c r="AA87" s="1460"/>
      <c r="AB87" s="1460"/>
      <c r="AC87" s="1460"/>
      <c r="AD87" s="1460"/>
      <c r="AE87" s="1460"/>
      <c r="AF87" s="1460"/>
      <c r="AG87" s="1460"/>
      <c r="AH87" s="1460"/>
      <c r="AI87" s="1460"/>
      <c r="AJ87" s="1460"/>
      <c r="AK87" s="1460"/>
      <c r="AL87" s="1460"/>
      <c r="AM87" s="1460"/>
      <c r="AN87" s="1460"/>
      <c r="AO87" s="1460"/>
      <c r="AP87" s="1460"/>
      <c r="AQ87" s="1460"/>
      <c r="AR87" s="1460"/>
      <c r="AS87" s="1460"/>
      <c r="AT87" s="1460"/>
      <c r="AU87" s="20"/>
      <c r="AV87" s="20"/>
      <c r="AW87" s="20"/>
      <c r="AX87" s="20"/>
      <c r="AY87" s="20"/>
      <c r="AZ87" s="20"/>
      <c r="BD87" s="1176" t="s">
        <v>2501</v>
      </c>
      <c r="BE87" s="1178" t="str">
        <f>Application!O156</f>
        <v>1122 Broadway, Suite 300</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San Diego</v>
      </c>
    </row>
    <row r="89" spans="1:57" ht="12.9" customHeight="1">
      <c r="A89" s="1749" t="s">
        <v>2112</v>
      </c>
      <c r="B89" s="1749"/>
      <c r="C89" s="1749"/>
      <c r="D89" s="1749"/>
      <c r="E89" s="1749"/>
      <c r="F89" s="1749"/>
      <c r="G89" s="1749"/>
      <c r="H89" s="1749"/>
      <c r="I89" s="1749"/>
      <c r="J89" s="1749"/>
      <c r="K89" s="1749"/>
      <c r="L89" s="1749"/>
      <c r="M89" s="1749"/>
      <c r="N89" s="1749"/>
      <c r="O89" s="1749"/>
      <c r="P89" s="1749"/>
      <c r="Q89" s="1749"/>
      <c r="R89" s="1749"/>
      <c r="S89" s="1749"/>
      <c r="T89" s="1749"/>
      <c r="U89" s="1749"/>
      <c r="V89" s="1749"/>
      <c r="W89" s="1749"/>
      <c r="X89" s="1749"/>
      <c r="Y89" s="1749"/>
      <c r="Z89" s="1749"/>
      <c r="AA89" s="1749"/>
      <c r="AB89" s="1749"/>
      <c r="AC89" s="1749"/>
      <c r="AD89" s="1749"/>
      <c r="AE89" s="1749"/>
      <c r="AF89" s="1749"/>
      <c r="AG89" s="1749"/>
      <c r="AH89" s="1749"/>
      <c r="AI89" s="1749"/>
      <c r="AJ89" s="1749"/>
      <c r="AK89" s="1749"/>
      <c r="AL89" s="1749"/>
      <c r="AM89" s="1749"/>
      <c r="AN89" s="1749"/>
      <c r="AO89" s="1749"/>
      <c r="AP89" s="1749"/>
      <c r="AQ89" s="1749"/>
      <c r="AR89" s="1749"/>
      <c r="AS89" s="1749"/>
      <c r="AT89" s="1749"/>
      <c r="AU89" s="17"/>
      <c r="AV89" s="17"/>
      <c r="AW89" s="17"/>
      <c r="AX89" s="17"/>
      <c r="AY89" s="17"/>
      <c r="AZ89" s="20"/>
      <c r="BD89" s="1176" t="s">
        <v>2503</v>
      </c>
      <c r="BE89" s="1178">
        <f>Application!O158</f>
        <v>92101</v>
      </c>
    </row>
    <row r="90" spans="1:57" ht="12.9" customHeight="1">
      <c r="A90" s="1749"/>
      <c r="B90" s="1749"/>
      <c r="C90" s="1749"/>
      <c r="D90" s="1749"/>
      <c r="E90" s="1749"/>
      <c r="F90" s="1749"/>
      <c r="G90" s="1749"/>
      <c r="H90" s="1749"/>
      <c r="I90" s="1749"/>
      <c r="J90" s="1749"/>
      <c r="K90" s="1749"/>
      <c r="L90" s="1749"/>
      <c r="M90" s="1749"/>
      <c r="N90" s="1749"/>
      <c r="O90" s="1749"/>
      <c r="P90" s="1749"/>
      <c r="Q90" s="1749"/>
      <c r="R90" s="1749"/>
      <c r="S90" s="1749"/>
      <c r="T90" s="1749"/>
      <c r="U90" s="1749"/>
      <c r="V90" s="1749"/>
      <c r="W90" s="1749"/>
      <c r="X90" s="1749"/>
      <c r="Y90" s="1749"/>
      <c r="Z90" s="1749"/>
      <c r="AA90" s="1749"/>
      <c r="AB90" s="1749"/>
      <c r="AC90" s="1749"/>
      <c r="AD90" s="1749"/>
      <c r="AE90" s="1749"/>
      <c r="AF90" s="1749"/>
      <c r="AG90" s="1749"/>
      <c r="AH90" s="1749"/>
      <c r="AI90" s="1749"/>
      <c r="AJ90" s="1749"/>
      <c r="AK90" s="1749"/>
      <c r="AL90" s="1749"/>
      <c r="AM90" s="1749"/>
      <c r="AN90" s="1749"/>
      <c r="AO90" s="1749"/>
      <c r="AP90" s="1749"/>
      <c r="AQ90" s="1749"/>
      <c r="AR90" s="1749"/>
      <c r="AS90" s="1749"/>
      <c r="AT90" s="1749"/>
      <c r="AU90" s="17"/>
      <c r="AV90" s="17"/>
      <c r="AW90" s="17"/>
      <c r="AX90" s="17"/>
      <c r="AY90" s="17"/>
      <c r="AZ90" s="20"/>
      <c r="BD90" s="1177" t="s">
        <v>2504</v>
      </c>
      <c r="BE90" s="1178" t="str">
        <f>Application!H16</f>
        <v>610 West by Vintage Partners, LLC</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369 San Miguel Drive, Suite 135</v>
      </c>
    </row>
    <row r="92" spans="1:57" ht="12.9" customHeight="1">
      <c r="A92" s="1750" t="s">
        <v>2113</v>
      </c>
      <c r="B92" s="1750"/>
      <c r="C92" s="1750"/>
      <c r="D92" s="1750"/>
      <c r="E92" s="1750"/>
      <c r="F92" s="1750"/>
      <c r="G92" s="1750"/>
      <c r="H92" s="1750"/>
      <c r="I92" s="1750"/>
      <c r="J92" s="1750"/>
      <c r="K92" s="1750"/>
      <c r="L92" s="1750"/>
      <c r="M92" s="1750"/>
      <c r="N92" s="1750"/>
      <c r="O92" s="1750"/>
      <c r="P92" s="1750"/>
      <c r="Q92" s="1750"/>
      <c r="R92" s="1750"/>
      <c r="S92" s="1750"/>
      <c r="T92" s="1750"/>
      <c r="U92" s="1750"/>
      <c r="V92" s="1750"/>
      <c r="W92" s="1750"/>
      <c r="X92" s="1750"/>
      <c r="Y92" s="1750"/>
      <c r="Z92" s="1750"/>
      <c r="AA92" s="1750"/>
      <c r="AB92" s="1750"/>
      <c r="AC92" s="1750"/>
      <c r="AD92" s="1750"/>
      <c r="AE92" s="1750"/>
      <c r="AF92" s="1750"/>
      <c r="AG92" s="1750"/>
      <c r="AH92" s="1750"/>
      <c r="AI92" s="1750"/>
      <c r="AJ92" s="1750"/>
      <c r="AK92" s="1750"/>
      <c r="AL92" s="1750"/>
      <c r="AM92" s="1750"/>
      <c r="AN92" s="1750"/>
      <c r="AO92" s="1750"/>
      <c r="AP92" s="1750"/>
      <c r="AQ92" s="1750"/>
      <c r="AR92" s="1750"/>
      <c r="AS92" s="1750"/>
      <c r="AT92" s="1750"/>
      <c r="AU92" s="20"/>
      <c r="AV92" s="20"/>
      <c r="AW92" s="20"/>
      <c r="AX92" s="20"/>
      <c r="AY92" s="20"/>
      <c r="AZ92" s="20"/>
      <c r="BD92" s="1177" t="s">
        <v>2506</v>
      </c>
      <c r="BE92" s="1178" t="str">
        <f>Application!M243</f>
        <v>Newport Beach</v>
      </c>
    </row>
    <row r="93" spans="1:57" ht="12.9" customHeight="1">
      <c r="A93" s="1750"/>
      <c r="B93" s="1750"/>
      <c r="C93" s="1750"/>
      <c r="D93" s="1750"/>
      <c r="E93" s="1750"/>
      <c r="F93" s="1750"/>
      <c r="G93" s="1750"/>
      <c r="H93" s="1750"/>
      <c r="I93" s="1750"/>
      <c r="J93" s="1750"/>
      <c r="K93" s="1750"/>
      <c r="L93" s="1750"/>
      <c r="M93" s="1750"/>
      <c r="N93" s="1750"/>
      <c r="O93" s="1750"/>
      <c r="P93" s="1750"/>
      <c r="Q93" s="1750"/>
      <c r="R93" s="1750"/>
      <c r="S93" s="1750"/>
      <c r="T93" s="1750"/>
      <c r="U93" s="1750"/>
      <c r="V93" s="1750"/>
      <c r="W93" s="1750"/>
      <c r="X93" s="1750"/>
      <c r="Y93" s="1750"/>
      <c r="Z93" s="1750"/>
      <c r="AA93" s="1750"/>
      <c r="AB93" s="1750"/>
      <c r="AC93" s="1750"/>
      <c r="AD93" s="1750"/>
      <c r="AE93" s="1750"/>
      <c r="AF93" s="1750"/>
      <c r="AG93" s="1750"/>
      <c r="AH93" s="1750"/>
      <c r="AI93" s="1750"/>
      <c r="AJ93" s="1750"/>
      <c r="AK93" s="1750"/>
      <c r="AL93" s="1750"/>
      <c r="AM93" s="1750"/>
      <c r="AN93" s="1750"/>
      <c r="AO93" s="1750"/>
      <c r="AP93" s="1750"/>
      <c r="AQ93" s="1750"/>
      <c r="AR93" s="1750"/>
      <c r="AS93" s="1750"/>
      <c r="AT93" s="1750"/>
      <c r="AU93" s="20"/>
      <c r="AV93" s="20"/>
      <c r="AW93" s="20"/>
      <c r="AX93" s="20"/>
      <c r="AY93" s="20"/>
      <c r="AZ93" s="20"/>
      <c r="BD93" s="1176" t="s">
        <v>2507</v>
      </c>
      <c r="BE93" s="1178" t="str">
        <f>Application!W243</f>
        <v>CA</v>
      </c>
    </row>
    <row r="94" spans="1:57" ht="12.9" customHeight="1">
      <c r="A94" s="1750"/>
      <c r="B94" s="1750"/>
      <c r="C94" s="1750"/>
      <c r="D94" s="1750"/>
      <c r="E94" s="1750"/>
      <c r="F94" s="1750"/>
      <c r="G94" s="1750"/>
      <c r="H94" s="1750"/>
      <c r="I94" s="1750"/>
      <c r="J94" s="1750"/>
      <c r="K94" s="1750"/>
      <c r="L94" s="1750"/>
      <c r="M94" s="1750"/>
      <c r="N94" s="1750"/>
      <c r="O94" s="1750"/>
      <c r="P94" s="1750"/>
      <c r="Q94" s="1750"/>
      <c r="R94" s="1750"/>
      <c r="S94" s="1750"/>
      <c r="T94" s="1750"/>
      <c r="U94" s="1750"/>
      <c r="V94" s="1750"/>
      <c r="W94" s="1750"/>
      <c r="X94" s="1750"/>
      <c r="Y94" s="1750"/>
      <c r="Z94" s="1750"/>
      <c r="AA94" s="1750"/>
      <c r="AB94" s="1750"/>
      <c r="AC94" s="1750"/>
      <c r="AD94" s="1750"/>
      <c r="AE94" s="1750"/>
      <c r="AF94" s="1750"/>
      <c r="AG94" s="1750"/>
      <c r="AH94" s="1750"/>
      <c r="AI94" s="1750"/>
      <c r="AJ94" s="1750"/>
      <c r="AK94" s="1750"/>
      <c r="AL94" s="1750"/>
      <c r="AM94" s="1750"/>
      <c r="AN94" s="1750"/>
      <c r="AO94" s="1750"/>
      <c r="AP94" s="1750"/>
      <c r="AQ94" s="1750"/>
      <c r="AR94" s="1750"/>
      <c r="AS94" s="1750"/>
      <c r="AT94" s="1750"/>
      <c r="AU94" s="20"/>
      <c r="AV94" s="20"/>
      <c r="AW94" s="20"/>
      <c r="AX94" s="20"/>
      <c r="AY94" s="20"/>
      <c r="AZ94" s="20"/>
      <c r="BD94" s="1177" t="s">
        <v>2508</v>
      </c>
      <c r="BE94" s="1178">
        <f>Application!AC243</f>
        <v>92260</v>
      </c>
    </row>
    <row r="95" spans="1:57" ht="12.9" customHeight="1">
      <c r="A95" s="1750"/>
      <c r="B95" s="1750"/>
      <c r="C95" s="1750"/>
      <c r="D95" s="1750"/>
      <c r="E95" s="1750"/>
      <c r="F95" s="1750"/>
      <c r="G95" s="1750"/>
      <c r="H95" s="1750"/>
      <c r="I95" s="1750"/>
      <c r="J95" s="1750"/>
      <c r="K95" s="1750"/>
      <c r="L95" s="1750"/>
      <c r="M95" s="1750"/>
      <c r="N95" s="1750"/>
      <c r="O95" s="1750"/>
      <c r="P95" s="1750"/>
      <c r="Q95" s="1750"/>
      <c r="R95" s="1750"/>
      <c r="S95" s="1750"/>
      <c r="T95" s="1750"/>
      <c r="U95" s="1750"/>
      <c r="V95" s="1750"/>
      <c r="W95" s="1750"/>
      <c r="X95" s="1750"/>
      <c r="Y95" s="1750"/>
      <c r="Z95" s="1750"/>
      <c r="AA95" s="1750"/>
      <c r="AB95" s="1750"/>
      <c r="AC95" s="1750"/>
      <c r="AD95" s="1750"/>
      <c r="AE95" s="1750"/>
      <c r="AF95" s="1750"/>
      <c r="AG95" s="1750"/>
      <c r="AH95" s="1750"/>
      <c r="AI95" s="1750"/>
      <c r="AJ95" s="1750"/>
      <c r="AK95" s="1750"/>
      <c r="AL95" s="1750"/>
      <c r="AM95" s="1750"/>
      <c r="AN95" s="1750"/>
      <c r="AO95" s="1750"/>
      <c r="AP95" s="1750"/>
      <c r="AQ95" s="1750"/>
      <c r="AR95" s="1750"/>
      <c r="AS95" s="1750"/>
      <c r="AT95" s="1750"/>
      <c r="AU95" s="20"/>
      <c r="AV95" s="20"/>
      <c r="AW95" s="20"/>
      <c r="AX95" s="20"/>
      <c r="AY95" s="20"/>
      <c r="AZ95" s="20"/>
      <c r="BD95" s="1176" t="s">
        <v>2509</v>
      </c>
      <c r="BE95" s="1178" t="str">
        <f>Application!M244</f>
        <v>Michael K. Gancar</v>
      </c>
    </row>
    <row r="96" spans="1:57" ht="12.9" customHeight="1">
      <c r="A96" s="1750"/>
      <c r="B96" s="1750"/>
      <c r="C96" s="1750"/>
      <c r="D96" s="1750"/>
      <c r="E96" s="1750"/>
      <c r="F96" s="1750"/>
      <c r="G96" s="1750"/>
      <c r="H96" s="1750"/>
      <c r="I96" s="1750"/>
      <c r="J96" s="1750"/>
      <c r="K96" s="1750"/>
      <c r="L96" s="1750"/>
      <c r="M96" s="1750"/>
      <c r="N96" s="1750"/>
      <c r="O96" s="1750"/>
      <c r="P96" s="1750"/>
      <c r="Q96" s="1750"/>
      <c r="R96" s="1750"/>
      <c r="S96" s="1750"/>
      <c r="T96" s="1750"/>
      <c r="U96" s="1750"/>
      <c r="V96" s="1750"/>
      <c r="W96" s="1750"/>
      <c r="X96" s="1750"/>
      <c r="Y96" s="1750"/>
      <c r="Z96" s="1750"/>
      <c r="AA96" s="1750"/>
      <c r="AB96" s="1750"/>
      <c r="AC96" s="1750"/>
      <c r="AD96" s="1750"/>
      <c r="AE96" s="1750"/>
      <c r="AF96" s="1750"/>
      <c r="AG96" s="1750"/>
      <c r="AH96" s="1750"/>
      <c r="AI96" s="1750"/>
      <c r="AJ96" s="1750"/>
      <c r="AK96" s="1750"/>
      <c r="AL96" s="1750"/>
      <c r="AM96" s="1750"/>
      <c r="AN96" s="1750"/>
      <c r="AO96" s="1750"/>
      <c r="AP96" s="1750"/>
      <c r="AQ96" s="1750"/>
      <c r="AR96" s="1750"/>
      <c r="AS96" s="1750"/>
      <c r="AT96" s="1750"/>
      <c r="AU96" s="20"/>
      <c r="AV96" s="20"/>
      <c r="AW96" s="20"/>
      <c r="AX96" s="20"/>
      <c r="AY96" s="20"/>
      <c r="AZ96" s="20"/>
      <c r="BD96" s="1177" t="s">
        <v>2510</v>
      </c>
      <c r="BE96" s="1178" t="str">
        <f>Application!M246</f>
        <v>mgancar@vintagehousing.com</v>
      </c>
    </row>
    <row r="97" spans="1:57" ht="12.9" customHeight="1">
      <c r="A97" s="1750"/>
      <c r="B97" s="1750"/>
      <c r="C97" s="1750"/>
      <c r="D97" s="1750"/>
      <c r="E97" s="1750"/>
      <c r="F97" s="1750"/>
      <c r="G97" s="1750"/>
      <c r="H97" s="1750"/>
      <c r="I97" s="1750"/>
      <c r="J97" s="1750"/>
      <c r="K97" s="1750"/>
      <c r="L97" s="1750"/>
      <c r="M97" s="1750"/>
      <c r="N97" s="1750"/>
      <c r="O97" s="1750"/>
      <c r="P97" s="1750"/>
      <c r="Q97" s="1750"/>
      <c r="R97" s="1750"/>
      <c r="S97" s="1750"/>
      <c r="T97" s="1750"/>
      <c r="U97" s="1750"/>
      <c r="V97" s="1750"/>
      <c r="W97" s="1750"/>
      <c r="X97" s="1750"/>
      <c r="Y97" s="1750"/>
      <c r="Z97" s="1750"/>
      <c r="AA97" s="1750"/>
      <c r="AB97" s="1750"/>
      <c r="AC97" s="1750"/>
      <c r="AD97" s="1750"/>
      <c r="AE97" s="1750"/>
      <c r="AF97" s="1750"/>
      <c r="AG97" s="1750"/>
      <c r="AH97" s="1750"/>
      <c r="AI97" s="1750"/>
      <c r="AJ97" s="1750"/>
      <c r="AK97" s="1750"/>
      <c r="AL97" s="1750"/>
      <c r="AM97" s="1750"/>
      <c r="AN97" s="1750"/>
      <c r="AO97" s="1750"/>
      <c r="AP97" s="1750"/>
      <c r="AQ97" s="1750"/>
      <c r="AR97" s="1750"/>
      <c r="AS97" s="1750"/>
      <c r="AT97" s="1750"/>
      <c r="AU97" s="20"/>
      <c r="AV97" s="20"/>
      <c r="AW97" s="20"/>
      <c r="AX97" s="20"/>
      <c r="AY97" s="20"/>
      <c r="AZ97" s="20"/>
      <c r="BD97" s="1176" t="s">
        <v>2511</v>
      </c>
      <c r="BE97" s="1178" t="str">
        <f>Application!M257</f>
        <v>mgancar@vintagehousing.com</v>
      </c>
    </row>
    <row r="98" spans="1:57" ht="12.9" customHeight="1">
      <c r="A98" s="1750"/>
      <c r="B98" s="1750"/>
      <c r="C98" s="1750"/>
      <c r="D98" s="1750"/>
      <c r="E98" s="1750"/>
      <c r="F98" s="1750"/>
      <c r="G98" s="1750"/>
      <c r="H98" s="1750"/>
      <c r="I98" s="1750"/>
      <c r="J98" s="1750"/>
      <c r="K98" s="1750"/>
      <c r="L98" s="1750"/>
      <c r="M98" s="1750"/>
      <c r="N98" s="1750"/>
      <c r="O98" s="1750"/>
      <c r="P98" s="1750"/>
      <c r="Q98" s="1750"/>
      <c r="R98" s="1750"/>
      <c r="S98" s="1750"/>
      <c r="T98" s="1750"/>
      <c r="U98" s="1750"/>
      <c r="V98" s="1750"/>
      <c r="W98" s="1750"/>
      <c r="X98" s="1750"/>
      <c r="Y98" s="1750"/>
      <c r="Z98" s="1750"/>
      <c r="AA98" s="1750"/>
      <c r="AB98" s="1750"/>
      <c r="AC98" s="1750"/>
      <c r="AD98" s="1750"/>
      <c r="AE98" s="1750"/>
      <c r="AF98" s="1750"/>
      <c r="AG98" s="1750"/>
      <c r="AH98" s="1750"/>
      <c r="AI98" s="1750"/>
      <c r="AJ98" s="1750"/>
      <c r="AK98" s="1750"/>
      <c r="AL98" s="1750"/>
      <c r="AM98" s="1750"/>
      <c r="AN98" s="1750"/>
      <c r="AO98" s="1750"/>
      <c r="AP98" s="1750"/>
      <c r="AQ98" s="1750"/>
      <c r="AR98" s="1750"/>
      <c r="AS98" s="1750"/>
      <c r="AT98" s="1750"/>
      <c r="AU98" s="20"/>
      <c r="AV98" s="20"/>
      <c r="AW98" s="20"/>
      <c r="AX98" s="20"/>
      <c r="AY98" s="20"/>
      <c r="AZ98" s="20"/>
      <c r="BD98" s="1177" t="s">
        <v>2512</v>
      </c>
      <c r="BE98" s="1178" t="str">
        <f>Application!M265</f>
        <v>coco@hearthstonehousing.org</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 customHeight="1">
      <c r="A100" s="1751" t="s">
        <v>2114</v>
      </c>
      <c r="B100" s="1751"/>
      <c r="C100" s="1751"/>
      <c r="D100" s="1751"/>
      <c r="E100" s="1751"/>
      <c r="F100" s="1751"/>
      <c r="G100" s="1751"/>
      <c r="H100" s="1751"/>
      <c r="I100" s="1751"/>
      <c r="J100" s="1751"/>
      <c r="K100" s="1751"/>
      <c r="L100" s="1751"/>
      <c r="M100" s="1751"/>
      <c r="N100" s="1751"/>
      <c r="O100" s="1751"/>
      <c r="P100" s="1751"/>
      <c r="Q100" s="1751"/>
      <c r="R100" s="1751"/>
      <c r="S100" s="1751"/>
      <c r="T100" s="1751"/>
      <c r="U100" s="1751"/>
      <c r="V100" s="1751"/>
      <c r="W100" s="1751"/>
      <c r="X100" s="1751"/>
      <c r="Y100" s="1751"/>
      <c r="Z100" s="1751"/>
      <c r="AA100" s="1751"/>
      <c r="AB100" s="1751"/>
      <c r="AC100" s="1751"/>
      <c r="AD100" s="1751"/>
      <c r="AE100" s="1751"/>
      <c r="AF100" s="1751"/>
      <c r="AG100" s="1751"/>
      <c r="AH100" s="1751"/>
      <c r="AI100" s="1751"/>
      <c r="AJ100" s="1751"/>
      <c r="AK100" s="1751"/>
      <c r="AL100" s="1751"/>
      <c r="AM100" s="1751"/>
      <c r="AN100" s="1751"/>
      <c r="AO100" s="1751"/>
      <c r="AP100" s="1751"/>
      <c r="AQ100" s="1751"/>
      <c r="AR100" s="1751"/>
      <c r="AS100" s="1751"/>
      <c r="AT100" s="1751"/>
      <c r="AU100" s="20"/>
      <c r="AV100" s="20"/>
      <c r="AW100" s="20"/>
      <c r="AX100" s="20"/>
      <c r="AY100" s="20"/>
      <c r="AZ100" s="20"/>
      <c r="BD100" s="1177" t="s">
        <v>2514</v>
      </c>
      <c r="BE100" s="1178" t="str">
        <f>Application!L288</f>
        <v>sstrain@sabelhauslaw.ocm</v>
      </c>
    </row>
    <row r="101" spans="1:57" ht="12.9" customHeight="1">
      <c r="A101" s="1751"/>
      <c r="B101" s="1751"/>
      <c r="C101" s="1751"/>
      <c r="D101" s="1751"/>
      <c r="E101" s="1751"/>
      <c r="F101" s="1751"/>
      <c r="G101" s="1751"/>
      <c r="H101" s="1751"/>
      <c r="I101" s="1751"/>
      <c r="J101" s="1751"/>
      <c r="K101" s="1751"/>
      <c r="L101" s="1751"/>
      <c r="M101" s="1751"/>
      <c r="N101" s="1751"/>
      <c r="O101" s="1751"/>
      <c r="P101" s="1751"/>
      <c r="Q101" s="1751"/>
      <c r="R101" s="1751"/>
      <c r="S101" s="1751"/>
      <c r="T101" s="1751"/>
      <c r="U101" s="1751"/>
      <c r="V101" s="1751"/>
      <c r="W101" s="1751"/>
      <c r="X101" s="1751"/>
      <c r="Y101" s="1751"/>
      <c r="Z101" s="1751"/>
      <c r="AA101" s="1751"/>
      <c r="AB101" s="1751"/>
      <c r="AC101" s="1751"/>
      <c r="AD101" s="1751"/>
      <c r="AE101" s="1751"/>
      <c r="AF101" s="1751"/>
      <c r="AG101" s="1751"/>
      <c r="AH101" s="1751"/>
      <c r="AI101" s="1751"/>
      <c r="AJ101" s="1751"/>
      <c r="AK101" s="1751"/>
      <c r="AL101" s="1751"/>
      <c r="AM101" s="1751"/>
      <c r="AN101" s="1751"/>
      <c r="AO101" s="1751"/>
      <c r="AP101" s="1751"/>
      <c r="AQ101" s="1751"/>
      <c r="AR101" s="1751"/>
      <c r="AS101" s="1751"/>
      <c r="AT101" s="1751"/>
      <c r="AU101" s="20"/>
      <c r="AV101" s="20"/>
      <c r="AW101" s="20"/>
      <c r="AX101" s="20"/>
      <c r="AY101" s="20"/>
      <c r="AZ101" s="20"/>
      <c r="BD101" s="3" t="s">
        <v>2519</v>
      </c>
      <c r="BE101">
        <f>'Sources and Uses Budget'!C105</f>
        <v>104198532</v>
      </c>
    </row>
    <row r="102" spans="1:57" ht="12.9" customHeight="1">
      <c r="A102" s="1751"/>
      <c r="B102" s="1751"/>
      <c r="C102" s="1751"/>
      <c r="D102" s="1751"/>
      <c r="E102" s="1751"/>
      <c r="F102" s="1751"/>
      <c r="G102" s="1751"/>
      <c r="H102" s="1751"/>
      <c r="I102" s="1751"/>
      <c r="J102" s="1751"/>
      <c r="K102" s="1751"/>
      <c r="L102" s="1751"/>
      <c r="M102" s="1751"/>
      <c r="N102" s="1751"/>
      <c r="O102" s="1751"/>
      <c r="P102" s="1751"/>
      <c r="Q102" s="1751"/>
      <c r="R102" s="1751"/>
      <c r="S102" s="1751"/>
      <c r="T102" s="1751"/>
      <c r="U102" s="1751"/>
      <c r="V102" s="1751"/>
      <c r="W102" s="1751"/>
      <c r="X102" s="1751"/>
      <c r="Y102" s="1751"/>
      <c r="Z102" s="1751"/>
      <c r="AA102" s="1751"/>
      <c r="AB102" s="1751"/>
      <c r="AC102" s="1751"/>
      <c r="AD102" s="1751"/>
      <c r="AE102" s="1751"/>
      <c r="AF102" s="1751"/>
      <c r="AG102" s="1751"/>
      <c r="AH102" s="1751"/>
      <c r="AI102" s="1751"/>
      <c r="AJ102" s="1751"/>
      <c r="AK102" s="1751"/>
      <c r="AL102" s="1751"/>
      <c r="AM102" s="1751"/>
      <c r="AN102" s="1751"/>
      <c r="AO102" s="1751"/>
      <c r="AP102" s="1751"/>
      <c r="AQ102" s="1751"/>
      <c r="AR102" s="1751"/>
      <c r="AS102" s="1751"/>
      <c r="AT102" s="1751"/>
      <c r="AU102" s="20"/>
      <c r="AV102" s="20"/>
      <c r="AW102" s="20"/>
      <c r="AX102" s="20"/>
      <c r="AY102" s="20"/>
      <c r="AZ102" s="20"/>
      <c r="BD102" s="3" t="s">
        <v>2520</v>
      </c>
      <c r="BE102" t="b">
        <f>T197="Yes"</f>
        <v>0</v>
      </c>
    </row>
    <row r="103" spans="1:57" ht="12.9" customHeight="1">
      <c r="A103" s="1751"/>
      <c r="B103" s="1751"/>
      <c r="C103" s="1751"/>
      <c r="D103" s="1751"/>
      <c r="E103" s="1751"/>
      <c r="F103" s="1751"/>
      <c r="G103" s="1751"/>
      <c r="H103" s="1751"/>
      <c r="I103" s="1751"/>
      <c r="J103" s="1751"/>
      <c r="K103" s="1751"/>
      <c r="L103" s="1751"/>
      <c r="M103" s="1751"/>
      <c r="N103" s="1751"/>
      <c r="O103" s="1751"/>
      <c r="P103" s="1751"/>
      <c r="Q103" s="1751"/>
      <c r="R103" s="1751"/>
      <c r="S103" s="1751"/>
      <c r="T103" s="1751"/>
      <c r="U103" s="1751"/>
      <c r="V103" s="1751"/>
      <c r="W103" s="1751"/>
      <c r="X103" s="1751"/>
      <c r="Y103" s="1751"/>
      <c r="Z103" s="1751"/>
      <c r="AA103" s="1751"/>
      <c r="AB103" s="1751"/>
      <c r="AC103" s="1751"/>
      <c r="AD103" s="1751"/>
      <c r="AE103" s="1751"/>
      <c r="AF103" s="1751"/>
      <c r="AG103" s="1751"/>
      <c r="AH103" s="1751"/>
      <c r="AI103" s="1751"/>
      <c r="AJ103" s="1751"/>
      <c r="AK103" s="1751"/>
      <c r="AL103" s="1751"/>
      <c r="AM103" s="1751"/>
      <c r="AN103" s="1751"/>
      <c r="AO103" s="1751"/>
      <c r="AP103" s="1751"/>
      <c r="AQ103" s="1751"/>
      <c r="AR103" s="1751"/>
      <c r="AS103" s="1751"/>
      <c r="AT103" s="1751"/>
      <c r="AU103" s="20"/>
      <c r="AV103" s="20"/>
      <c r="AW103" s="20"/>
      <c r="AX103" s="20"/>
      <c r="AY103" s="20"/>
      <c r="BD103" t="s">
        <v>2124</v>
      </c>
      <c r="BE103" s="1178" t="b">
        <f>T199="Yes"</f>
        <v>0</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 customHeight="1">
      <c r="A105" s="1751" t="s">
        <v>2115</v>
      </c>
      <c r="B105" s="1751"/>
      <c r="C105" s="1751"/>
      <c r="D105" s="1751"/>
      <c r="E105" s="1751"/>
      <c r="F105" s="1751"/>
      <c r="G105" s="1751"/>
      <c r="H105" s="1751"/>
      <c r="I105" s="1751"/>
      <c r="J105" s="1751"/>
      <c r="K105" s="1751"/>
      <c r="L105" s="1751"/>
      <c r="M105" s="1751"/>
      <c r="N105" s="1751"/>
      <c r="O105" s="1751"/>
      <c r="P105" s="1751"/>
      <c r="Q105" s="1751"/>
      <c r="R105" s="1751"/>
      <c r="S105" s="1751"/>
      <c r="T105" s="1751"/>
      <c r="U105" s="1751"/>
      <c r="V105" s="1751"/>
      <c r="W105" s="1751"/>
      <c r="X105" s="1751"/>
      <c r="Y105" s="1751"/>
      <c r="Z105" s="1751"/>
      <c r="AA105" s="1751"/>
      <c r="AB105" s="1751"/>
      <c r="AC105" s="1751"/>
      <c r="AD105" s="1751"/>
      <c r="AE105" s="1751"/>
      <c r="AF105" s="1751"/>
      <c r="AG105" s="1751"/>
      <c r="AH105" s="1751"/>
      <c r="AI105" s="1751"/>
      <c r="AJ105" s="1751"/>
      <c r="AK105" s="1751"/>
      <c r="AL105" s="1751"/>
      <c r="AM105" s="1751"/>
      <c r="AN105" s="1751"/>
      <c r="AO105" s="1751"/>
      <c r="AP105" s="1751"/>
      <c r="AQ105" s="1751"/>
      <c r="AR105" s="1751"/>
      <c r="AS105" s="1751"/>
      <c r="AT105" s="1751"/>
      <c r="AU105" s="20"/>
      <c r="AV105" s="20"/>
      <c r="AW105" s="20"/>
      <c r="AX105" s="20"/>
      <c r="AY105" s="20"/>
      <c r="BD105" s="3" t="s">
        <v>2533</v>
      </c>
      <c r="BE105" s="1178" t="b">
        <f>V224="Yes"</f>
        <v>0</v>
      </c>
    </row>
    <row r="106" spans="1:57" ht="12.9" customHeight="1">
      <c r="A106" s="1751"/>
      <c r="B106" s="1751"/>
      <c r="C106" s="1751"/>
      <c r="D106" s="1751"/>
      <c r="E106" s="1751"/>
      <c r="F106" s="1751"/>
      <c r="G106" s="1751"/>
      <c r="H106" s="1751"/>
      <c r="I106" s="1751"/>
      <c r="J106" s="1751"/>
      <c r="K106" s="1751"/>
      <c r="L106" s="1751"/>
      <c r="M106" s="1751"/>
      <c r="N106" s="1751"/>
      <c r="O106" s="1751"/>
      <c r="P106" s="1751"/>
      <c r="Q106" s="1751"/>
      <c r="R106" s="1751"/>
      <c r="S106" s="1751"/>
      <c r="T106" s="1751"/>
      <c r="U106" s="1751"/>
      <c r="V106" s="1751"/>
      <c r="W106" s="1751"/>
      <c r="X106" s="1751"/>
      <c r="Y106" s="1751"/>
      <c r="Z106" s="1751"/>
      <c r="AA106" s="1751"/>
      <c r="AB106" s="1751"/>
      <c r="AC106" s="1751"/>
      <c r="AD106" s="1751"/>
      <c r="AE106" s="1751"/>
      <c r="AF106" s="1751"/>
      <c r="AG106" s="1751"/>
      <c r="AH106" s="1751"/>
      <c r="AI106" s="1751"/>
      <c r="AJ106" s="1751"/>
      <c r="AK106" s="1751"/>
      <c r="AL106" s="1751"/>
      <c r="AM106" s="1751"/>
      <c r="AN106" s="1751"/>
      <c r="AO106" s="1751"/>
      <c r="AP106" s="1751"/>
      <c r="AQ106" s="1751"/>
      <c r="AR106" s="1751"/>
      <c r="AS106" s="1751"/>
      <c r="AT106" s="1751"/>
      <c r="AU106" s="20"/>
      <c r="AV106" s="20"/>
      <c r="AW106" s="20"/>
      <c r="AX106" s="20"/>
      <c r="AY106" s="20"/>
      <c r="BD106" s="3" t="s">
        <v>2534</v>
      </c>
      <c r="BE106" s="1178" t="b">
        <f t="shared" ref="BE106:BE110" si="0">V225="Yes"</f>
        <v>0</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181</v>
      </c>
      <c r="G113" s="1752" t="s">
        <v>2821</v>
      </c>
      <c r="H113" s="1752"/>
      <c r="I113" s="3" t="s">
        <v>182</v>
      </c>
      <c r="L113" s="1752" t="s">
        <v>2822</v>
      </c>
      <c r="M113" s="1752"/>
      <c r="N113" s="1752"/>
      <c r="O113" s="1752"/>
      <c r="P113" s="1759" t="s">
        <v>2600</v>
      </c>
      <c r="Q113" s="1759"/>
      <c r="R113" s="1759"/>
      <c r="S113" s="175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764" t="s">
        <v>729</v>
      </c>
      <c r="D115" s="1764"/>
      <c r="E115" s="1764"/>
      <c r="F115" s="1764"/>
      <c r="G115" s="1764"/>
      <c r="H115" s="1764"/>
      <c r="I115" s="1764"/>
      <c r="J115" s="1764"/>
      <c r="K115" s="1764"/>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628</v>
      </c>
      <c r="Y117" s="1752"/>
      <c r="Z117" s="1752"/>
      <c r="AA117" s="1752"/>
      <c r="AB117" s="1752"/>
      <c r="AC117" s="1752"/>
      <c r="AD117" s="1752"/>
      <c r="AE117" s="1752"/>
      <c r="AF117" s="1752"/>
      <c r="AG117" s="1752"/>
      <c r="AH117" s="1752"/>
      <c r="AI117" s="1752"/>
      <c r="AJ117" s="1752"/>
      <c r="AK117" s="1752"/>
    </row>
    <row r="118" spans="1:117" ht="12.9" customHeight="1">
      <c r="X118" s="3"/>
      <c r="Y118" s="3"/>
      <c r="Z118" s="3" t="s">
        <v>629</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752" t="s">
        <v>2704</v>
      </c>
      <c r="Z120" s="1752"/>
      <c r="AA120" s="1752"/>
      <c r="AB120" s="1752"/>
      <c r="AC120" s="1752"/>
      <c r="AD120" s="1752"/>
      <c r="AE120" s="1752"/>
      <c r="AF120" s="1752"/>
      <c r="AG120" s="1752"/>
      <c r="AH120" s="1752"/>
      <c r="AI120" s="1752"/>
      <c r="AJ120" s="1752"/>
      <c r="AK120" s="1752"/>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53" t="s">
        <v>469</v>
      </c>
      <c r="CV122" s="1654"/>
      <c r="CW122" s="14"/>
      <c r="CX122" s="14" t="s">
        <v>634</v>
      </c>
      <c r="CY122" s="14"/>
      <c r="CZ122" s="14"/>
      <c r="DA122" s="14"/>
      <c r="DB122" s="14"/>
      <c r="DC122" s="14"/>
      <c r="DD122" s="14"/>
      <c r="DE122" s="14"/>
      <c r="DF122" s="14"/>
      <c r="DG122" s="1650" t="str">
        <f>T189</f>
        <v>San Diego</v>
      </c>
      <c r="DH122" s="1651"/>
      <c r="DI122" s="1651"/>
      <c r="DJ122" s="1651"/>
      <c r="DK122" s="1651"/>
      <c r="DL122" s="1651"/>
      <c r="DM122" s="1652"/>
    </row>
    <row r="123" spans="1:117" ht="12.9" customHeight="1">
      <c r="A123" s="3"/>
      <c r="B123" s="3"/>
      <c r="T123" s="3"/>
      <c r="U123" s="3"/>
      <c r="V123" s="3"/>
      <c r="W123" s="3"/>
      <c r="X123" s="3"/>
      <c r="Y123" s="1752" t="s">
        <v>2823</v>
      </c>
      <c r="Z123" s="1752"/>
      <c r="AA123" s="1752"/>
      <c r="AB123" s="1752"/>
      <c r="AC123" s="1752"/>
      <c r="AD123" s="1752"/>
      <c r="AE123" s="1752"/>
      <c r="AF123" s="1752"/>
      <c r="AG123" s="1752"/>
      <c r="AH123" s="1752"/>
      <c r="AI123" s="1752"/>
      <c r="AJ123" s="1752"/>
      <c r="AK123" s="1752"/>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 customHeight="1">
      <c r="A150" s="3"/>
      <c r="B150" s="3"/>
      <c r="D150" s="3"/>
      <c r="E150" s="3"/>
      <c r="F150" s="1288"/>
      <c r="G150" s="1288"/>
      <c r="H150" s="1288"/>
      <c r="I150" s="1288"/>
      <c r="J150" s="1288"/>
      <c r="K150" s="1288"/>
      <c r="L150" s="1288"/>
      <c r="M150" s="1288"/>
      <c r="N150" s="1288"/>
      <c r="O150" s="1288"/>
      <c r="P150" s="1288"/>
      <c r="Q150" s="1288"/>
      <c r="R150" s="1288"/>
      <c r="S150" s="1288"/>
      <c r="T150" s="128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 customHeight="1">
      <c r="BM152">
        <v>4</v>
      </c>
      <c r="BN152" s="3" t="s">
        <v>2389</v>
      </c>
    </row>
    <row r="153" spans="1:108" ht="12.9" customHeight="1">
      <c r="D153" t="s">
        <v>645</v>
      </c>
      <c r="O153" s="1462" t="s">
        <v>2687</v>
      </c>
      <c r="P153" s="1463"/>
      <c r="Q153" s="1463"/>
      <c r="R153" s="1463"/>
      <c r="S153" s="1463"/>
      <c r="T153" s="1463"/>
      <c r="U153" s="1463"/>
      <c r="V153" s="1463"/>
      <c r="W153" s="1463"/>
      <c r="X153" s="1463"/>
      <c r="Y153" s="1463"/>
      <c r="Z153" s="1463"/>
      <c r="AA153" s="1463"/>
      <c r="AB153" s="1463"/>
      <c r="AC153" s="1463"/>
      <c r="AD153" s="1463"/>
      <c r="AE153" s="1463"/>
      <c r="AF153" s="1463"/>
      <c r="AG153" s="1463"/>
      <c r="AH153" s="1463"/>
      <c r="BM153">
        <v>5</v>
      </c>
      <c r="BN153" s="3" t="s">
        <v>2391</v>
      </c>
      <c r="CR153" s="31" t="s">
        <v>2628</v>
      </c>
      <c r="CS153" s="32"/>
      <c r="CT153" s="32"/>
      <c r="CU153" s="32"/>
      <c r="CV153" s="32"/>
      <c r="CW153" s="32"/>
      <c r="CX153" s="14"/>
      <c r="CY153" s="31" t="s">
        <v>2629</v>
      </c>
      <c r="CZ153" s="14"/>
      <c r="DA153" s="14"/>
      <c r="DB153" s="14"/>
      <c r="DC153" s="14"/>
      <c r="DD153" s="14"/>
    </row>
    <row r="154" spans="1:108" ht="12.9" customHeight="1">
      <c r="D154" s="303" t="s">
        <v>439</v>
      </c>
      <c r="O154" s="1387" t="s">
        <v>2688</v>
      </c>
      <c r="P154" s="1439"/>
      <c r="Q154" s="1439"/>
      <c r="R154" s="1439"/>
      <c r="S154" s="1439"/>
      <c r="T154" s="1439"/>
      <c r="U154" s="1439"/>
      <c r="V154" s="1439"/>
      <c r="W154" s="1439"/>
      <c r="X154" s="1439"/>
      <c r="Y154" s="1439"/>
      <c r="Z154" s="1439"/>
      <c r="AA154" s="1439"/>
      <c r="AB154" s="1439"/>
      <c r="AC154" s="1439"/>
      <c r="AD154" s="1439"/>
      <c r="AE154" s="1439"/>
      <c r="AF154" s="1439"/>
      <c r="AG154" s="1439"/>
      <c r="AH154" s="1439"/>
      <c r="BM154">
        <v>6</v>
      </c>
      <c r="BN154" s="3" t="s">
        <v>2392</v>
      </c>
      <c r="CR154" s="31"/>
      <c r="CS154" s="32"/>
      <c r="CT154" s="32"/>
      <c r="CU154" s="32"/>
      <c r="CV154" s="32"/>
      <c r="CW154" s="32"/>
      <c r="CX154" s="14"/>
      <c r="CY154" s="31"/>
      <c r="CZ154" s="14"/>
      <c r="DA154" s="14"/>
      <c r="DB154" s="14"/>
      <c r="DC154" s="14"/>
      <c r="DD154" s="14"/>
    </row>
    <row r="155" spans="1:108" ht="12.9" customHeight="1">
      <c r="D155" s="8" t="s">
        <v>441</v>
      </c>
      <c r="F155" s="8"/>
      <c r="G155" s="8"/>
      <c r="H155" s="8"/>
      <c r="I155" s="8"/>
      <c r="J155" s="8"/>
      <c r="K155" s="8"/>
      <c r="L155" s="8"/>
      <c r="M155" s="8"/>
      <c r="N155" s="8"/>
      <c r="O155" s="1770" t="s">
        <v>440</v>
      </c>
      <c r="P155" s="1770"/>
      <c r="Q155" s="1770"/>
      <c r="R155" s="1770"/>
      <c r="S155" s="1770"/>
      <c r="T155" s="1770"/>
      <c r="U155" s="1770"/>
      <c r="V155" s="1770"/>
      <c r="W155" s="1770"/>
      <c r="X155" s="1770"/>
      <c r="Y155" s="1770"/>
      <c r="Z155" s="1770"/>
      <c r="AA155" s="1770"/>
      <c r="AB155" s="1770"/>
      <c r="AC155" s="1770"/>
      <c r="AD155" s="1770"/>
      <c r="AE155" s="1770"/>
      <c r="AF155" s="1770"/>
      <c r="AG155" s="1770"/>
      <c r="AH155" s="1770"/>
      <c r="BM155">
        <v>7</v>
      </c>
      <c r="BN155" s="3" t="s">
        <v>591</v>
      </c>
      <c r="CR155" s="31"/>
      <c r="CS155" s="32"/>
      <c r="CT155" s="32"/>
      <c r="CU155" s="32"/>
      <c r="CV155" s="32"/>
      <c r="CW155" s="32"/>
      <c r="CX155" s="14"/>
      <c r="CY155" s="31"/>
      <c r="CZ155" s="14"/>
      <c r="DA155" s="14"/>
      <c r="DB155" s="14"/>
      <c r="DC155" s="14"/>
      <c r="DD155" s="14"/>
    </row>
    <row r="156" spans="1:108" ht="12.9" customHeight="1">
      <c r="D156" t="s">
        <v>313</v>
      </c>
      <c r="O156" s="1440" t="s">
        <v>2689</v>
      </c>
      <c r="P156" s="1440"/>
      <c r="Q156" s="1440"/>
      <c r="R156" s="1440"/>
      <c r="S156" s="1440"/>
      <c r="T156" s="1440"/>
      <c r="U156" s="1440"/>
      <c r="V156" s="1440"/>
      <c r="W156" s="1440"/>
      <c r="X156" s="1440"/>
      <c r="Y156" s="1440"/>
      <c r="Z156" s="1440"/>
      <c r="AA156" s="1440"/>
      <c r="AB156" s="1440"/>
      <c r="AC156" s="1440"/>
      <c r="AD156" s="1440"/>
      <c r="AE156" s="1440"/>
      <c r="AF156" s="1440"/>
      <c r="AG156" s="1440"/>
      <c r="AH156" s="1440"/>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 customHeight="1">
      <c r="D157" t="s">
        <v>314</v>
      </c>
      <c r="O157" s="1462" t="s">
        <v>729</v>
      </c>
      <c r="P157" s="1463"/>
      <c r="Q157" s="1463"/>
      <c r="R157" s="1463"/>
      <c r="S157" s="1463"/>
      <c r="T157" s="1463"/>
      <c r="U157" s="1463"/>
      <c r="V157" s="1463"/>
      <c r="W157" s="1463"/>
      <c r="X157" s="1463"/>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 customHeight="1">
      <c r="D158" t="s">
        <v>315</v>
      </c>
      <c r="O158" s="1755">
        <v>92101</v>
      </c>
      <c r="P158" s="1755"/>
      <c r="Q158" s="1755"/>
      <c r="R158" s="1755"/>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316</v>
      </c>
      <c r="O159" s="1744" t="s">
        <v>2690</v>
      </c>
      <c r="P159" s="1744"/>
      <c r="Q159" s="1744"/>
      <c r="R159" s="1744"/>
      <c r="S159" s="1744"/>
      <c r="T159" s="1744"/>
      <c r="V159" s="97" t="s">
        <v>271</v>
      </c>
      <c r="W159" s="1756"/>
      <c r="X159" s="1756"/>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 customHeight="1">
      <c r="D160" t="s">
        <v>317</v>
      </c>
      <c r="O160" s="1744" t="s">
        <v>2691</v>
      </c>
      <c r="P160" s="1744"/>
      <c r="Q160" s="1744"/>
      <c r="R160" s="1744"/>
      <c r="S160" s="1744"/>
      <c r="T160" s="1744"/>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 customHeight="1">
      <c r="D161" t="s">
        <v>318</v>
      </c>
      <c r="O161" s="1742" t="s">
        <v>2692</v>
      </c>
      <c r="P161" s="1742"/>
      <c r="Q161" s="1742"/>
      <c r="R161" s="1742"/>
      <c r="S161" s="1742"/>
      <c r="T161" s="1742"/>
      <c r="U161" s="1742"/>
      <c r="V161" s="1742"/>
      <c r="W161" s="1742"/>
      <c r="X161" s="1742"/>
      <c r="Y161" s="1742"/>
      <c r="Z161" s="1742"/>
      <c r="AA161" s="1742"/>
      <c r="AB161" s="1742"/>
      <c r="AC161" s="1742"/>
      <c r="AD161" s="1742"/>
      <c r="AE161" s="1742"/>
      <c r="AF161" s="1742"/>
      <c r="AG161" s="1742"/>
      <c r="AH161" s="1742"/>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 customHeight="1">
      <c r="C164" s="27"/>
      <c r="D164" s="1765" t="s">
        <v>2165</v>
      </c>
      <c r="E164" s="1765"/>
      <c r="F164" s="1765"/>
      <c r="G164" s="1765"/>
      <c r="H164" s="1765"/>
      <c r="I164" s="1765"/>
      <c r="J164" s="1765"/>
      <c r="K164" s="1765"/>
      <c r="L164" s="1765"/>
      <c r="M164" s="1765"/>
      <c r="N164" s="1765"/>
      <c r="O164" s="1765"/>
      <c r="P164" s="1765"/>
      <c r="Q164" s="1765"/>
      <c r="R164" s="1765"/>
      <c r="S164" s="1765"/>
      <c r="T164" s="1765"/>
      <c r="U164" s="1765"/>
      <c r="V164" s="1765"/>
      <c r="W164" s="1765"/>
      <c r="X164" s="1765"/>
      <c r="Y164" s="1765"/>
      <c r="Z164" s="1765"/>
      <c r="AA164" s="1765"/>
      <c r="AB164" s="1765"/>
      <c r="AC164" s="1765"/>
      <c r="AD164" s="1765"/>
      <c r="AE164" s="1765"/>
      <c r="AF164" s="1765"/>
      <c r="AG164" s="1765"/>
      <c r="AH164" s="1765"/>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 customHeight="1">
      <c r="A169" s="1359" t="s">
        <v>539</v>
      </c>
      <c r="B169" s="1359"/>
      <c r="C169" s="1359"/>
      <c r="D169" s="1359"/>
      <c r="E169" s="1359"/>
      <c r="F169" s="1359"/>
      <c r="G169" s="1359"/>
      <c r="H169" s="1359"/>
      <c r="I169" s="1359"/>
      <c r="J169" s="1359"/>
      <c r="K169" s="1359"/>
      <c r="L169" s="1359"/>
      <c r="M169" s="1359"/>
      <c r="N169" s="1359"/>
      <c r="O169" s="1359"/>
      <c r="P169" s="1359"/>
      <c r="Q169" s="1359"/>
      <c r="R169" s="1359"/>
      <c r="S169" s="1359"/>
      <c r="T169" s="1359"/>
      <c r="U169" s="1359"/>
      <c r="V169" s="1359"/>
      <c r="W169" s="1359"/>
      <c r="X169" s="1359"/>
      <c r="Y169" s="1359"/>
      <c r="Z169" s="1359"/>
      <c r="AA169" s="1359"/>
      <c r="AB169" s="1359"/>
      <c r="AC169" s="1359"/>
      <c r="AD169" s="1359"/>
      <c r="AE169" s="1359"/>
      <c r="AF169" s="1359"/>
      <c r="AG169" s="1359"/>
      <c r="AH169" s="1359"/>
      <c r="AI169" s="1359"/>
      <c r="AJ169" s="1359"/>
      <c r="AK169" s="1359"/>
      <c r="AL169" s="1359"/>
      <c r="AM169" s="1359"/>
      <c r="AN169" s="1359"/>
      <c r="AO169" s="1359"/>
      <c r="AP169" s="1359"/>
      <c r="AQ169" s="1359"/>
      <c r="AR169" s="1359"/>
      <c r="AS169" s="1359"/>
      <c r="AT169" s="1359"/>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 customHeight="1">
      <c r="A170" s="1359"/>
      <c r="B170" s="1359"/>
      <c r="C170" s="1359"/>
      <c r="D170" s="1359"/>
      <c r="E170" s="1359"/>
      <c r="F170" s="1359"/>
      <c r="G170" s="1359"/>
      <c r="H170" s="1359"/>
      <c r="I170" s="1359"/>
      <c r="J170" s="1359"/>
      <c r="K170" s="1359"/>
      <c r="L170" s="1359"/>
      <c r="M170" s="1359"/>
      <c r="N170" s="1359"/>
      <c r="O170" s="1359"/>
      <c r="P170" s="1359"/>
      <c r="Q170" s="1359"/>
      <c r="R170" s="1359"/>
      <c r="S170" s="1359"/>
      <c r="T170" s="1359"/>
      <c r="U170" s="1359"/>
      <c r="V170" s="1359"/>
      <c r="W170" s="1359"/>
      <c r="X170" s="1359"/>
      <c r="Y170" s="1359"/>
      <c r="Z170" s="1359"/>
      <c r="AA170" s="1359"/>
      <c r="AB170" s="1359"/>
      <c r="AC170" s="1359"/>
      <c r="AD170" s="1359"/>
      <c r="AE170" s="1359"/>
      <c r="AF170" s="1359"/>
      <c r="AG170" s="1359"/>
      <c r="AH170" s="1359"/>
      <c r="AI170" s="1359"/>
      <c r="AJ170" s="1359"/>
      <c r="AK170" s="1359"/>
      <c r="AL170" s="1359"/>
      <c r="AM170" s="1359"/>
      <c r="AN170" s="1359"/>
      <c r="AO170" s="1359"/>
      <c r="AP170" s="1359"/>
      <c r="AQ170" s="1359"/>
      <c r="AR170" s="1359"/>
      <c r="AS170" s="1359"/>
      <c r="AT170" s="1359"/>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 customHeight="1">
      <c r="C173" s="24"/>
      <c r="D173" t="s">
        <v>321</v>
      </c>
      <c r="J173" s="1762" t="s">
        <v>371</v>
      </c>
      <c r="K173" s="1762"/>
      <c r="L173" s="1762"/>
      <c r="M173" s="1762"/>
      <c r="N173" s="1762"/>
      <c r="O173" s="1762"/>
      <c r="P173" s="1762"/>
      <c r="Q173" s="1762"/>
      <c r="R173" s="1762"/>
      <c r="S173" s="1762"/>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 customHeight="1">
      <c r="C174" s="24"/>
      <c r="D174" s="3" t="s">
        <v>1201</v>
      </c>
      <c r="J174" s="1440" t="s">
        <v>2051</v>
      </c>
      <c r="K174" s="1440"/>
      <c r="L174" s="1440"/>
      <c r="M174" s="1440"/>
      <c r="N174" s="1440"/>
      <c r="O174" s="1440"/>
      <c r="P174" s="1440"/>
      <c r="Q174" s="1440"/>
      <c r="R174" s="1440"/>
      <c r="S174" s="1440"/>
      <c r="T174" s="1440"/>
      <c r="U174" s="1440"/>
      <c r="V174" s="1440"/>
      <c r="W174" s="1440"/>
      <c r="X174" s="1440"/>
      <c r="Y174" s="1440"/>
      <c r="Z174" s="1440"/>
      <c r="AA174" s="1440"/>
      <c r="AB174" s="1440"/>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 customHeight="1">
      <c r="C175" s="8"/>
      <c r="D175" s="3" t="s">
        <v>322</v>
      </c>
      <c r="O175" s="27"/>
      <c r="U175" s="1289" t="s">
        <v>669</v>
      </c>
      <c r="V175" s="1289"/>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 customHeight="1">
      <c r="C176" s="8"/>
      <c r="D176" s="26"/>
      <c r="E176" t="s">
        <v>304</v>
      </c>
      <c r="O176" s="27"/>
      <c r="P176" t="s">
        <v>2030</v>
      </c>
      <c r="T176" s="27" t="s">
        <v>305</v>
      </c>
      <c r="U176" s="1471"/>
      <c r="V176" s="1471"/>
      <c r="W176" s="1" t="s">
        <v>306</v>
      </c>
      <c r="X176" s="1747"/>
      <c r="Y176" s="1747"/>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 customHeight="1">
      <c r="C177" s="24"/>
      <c r="D177" t="s">
        <v>249</v>
      </c>
      <c r="R177" s="1289" t="s">
        <v>669</v>
      </c>
      <c r="S177" s="1289"/>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 customHeight="1">
      <c r="C178" s="24"/>
      <c r="D178" s="3" t="s">
        <v>1202</v>
      </c>
      <c r="AA178" t="s">
        <v>2030</v>
      </c>
      <c r="AE178" s="27" t="s">
        <v>305</v>
      </c>
      <c r="AF178" s="1746"/>
      <c r="AG178" s="1746"/>
      <c r="AH178" s="1" t="s">
        <v>306</v>
      </c>
      <c r="AI178" s="1731"/>
      <c r="AJ178" s="1731"/>
      <c r="AK178" s="1731"/>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 customHeight="1">
      <c r="C180" s="24"/>
      <c r="D180" s="3" t="s">
        <v>2624</v>
      </c>
      <c r="X180" s="1289"/>
      <c r="Y180" s="1289"/>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 customHeight="1">
      <c r="C184" s="21"/>
      <c r="D184" t="s">
        <v>578</v>
      </c>
      <c r="I184" s="1428" t="str">
        <f>H18</f>
        <v xml:space="preserve">610 W Ash </v>
      </c>
      <c r="J184" s="1428"/>
      <c r="K184" s="1428"/>
      <c r="L184" s="1428"/>
      <c r="M184" s="1428"/>
      <c r="N184" s="1428"/>
      <c r="O184" s="1428"/>
      <c r="P184" s="1428"/>
      <c r="Q184" s="1428"/>
      <c r="R184" s="1428"/>
      <c r="S184" s="1428"/>
      <c r="T184" s="1428"/>
      <c r="U184" s="1428"/>
      <c r="V184" s="1428"/>
      <c r="W184" s="1428"/>
      <c r="X184" s="1428"/>
      <c r="Y184" s="1428"/>
      <c r="Z184" s="1428"/>
      <c r="AA184" s="1428"/>
      <c r="AB184" s="1428"/>
      <c r="AC184" s="1428"/>
      <c r="AD184" s="1428"/>
      <c r="AE184" s="1428"/>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 customHeight="1">
      <c r="C185" s="21"/>
      <c r="D185" t="s">
        <v>579</v>
      </c>
      <c r="I185" s="1424" t="s">
        <v>2686</v>
      </c>
      <c r="J185" s="1424"/>
      <c r="K185" s="1424"/>
      <c r="L185" s="1424"/>
      <c r="M185" s="1424"/>
      <c r="N185" s="1424"/>
      <c r="O185" s="1424"/>
      <c r="P185" s="1424"/>
      <c r="Q185" s="1424"/>
      <c r="R185" s="1424"/>
      <c r="S185" s="1424"/>
      <c r="T185" s="1424"/>
      <c r="U185" s="1424"/>
      <c r="V185" s="1424"/>
      <c r="W185" s="1424"/>
      <c r="X185" s="1424"/>
      <c r="Y185" s="1424"/>
      <c r="Z185" s="1424"/>
      <c r="AA185" s="1424"/>
      <c r="AB185" s="1424"/>
      <c r="AC185" s="1424"/>
      <c r="AD185" s="1424"/>
      <c r="AE185" s="1424"/>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 customHeight="1">
      <c r="C187" s="21"/>
      <c r="E187" s="1767"/>
      <c r="F187" s="1767"/>
      <c r="G187" s="1767"/>
      <c r="H187" s="1767"/>
      <c r="I187" s="1767"/>
      <c r="J187" s="1767"/>
      <c r="K187" s="1767"/>
      <c r="L187" s="1767"/>
      <c r="M187" s="1767"/>
      <c r="N187" s="1767"/>
      <c r="O187" s="1767"/>
      <c r="P187" s="1767"/>
      <c r="Q187" s="1767"/>
      <c r="R187" s="1767"/>
      <c r="S187" s="1767"/>
      <c r="T187" s="1767"/>
      <c r="U187" s="1767"/>
      <c r="V187" s="1767"/>
      <c r="W187" s="1767"/>
      <c r="X187" s="1767"/>
      <c r="Y187" s="1767"/>
      <c r="Z187" s="1767"/>
      <c r="AA187" s="1767"/>
      <c r="AB187" s="1767"/>
      <c r="AC187" s="1767"/>
      <c r="AD187" s="1767"/>
      <c r="AE187" s="1767"/>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 customHeight="1">
      <c r="C188" s="21"/>
      <c r="E188" s="1768"/>
      <c r="F188" s="1768"/>
      <c r="G188" s="1768"/>
      <c r="H188" s="1768"/>
      <c r="I188" s="1768"/>
      <c r="J188" s="1768"/>
      <c r="K188" s="1768"/>
      <c r="L188" s="1768"/>
      <c r="M188" s="1768"/>
      <c r="N188" s="1768"/>
      <c r="O188" s="1768"/>
      <c r="P188" s="1768"/>
      <c r="Q188" s="1768"/>
      <c r="R188" s="1768"/>
      <c r="S188" s="1768"/>
      <c r="T188" s="1768"/>
      <c r="U188" s="1768"/>
      <c r="V188" s="1768"/>
      <c r="W188" s="1768"/>
      <c r="X188" s="1768"/>
      <c r="Y188" s="1768"/>
      <c r="Z188" s="1768"/>
      <c r="AA188" s="1768"/>
      <c r="AB188" s="1768"/>
      <c r="AC188" s="1768"/>
      <c r="AD188" s="1768"/>
      <c r="AE188" s="176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 customHeight="1">
      <c r="C189" s="21"/>
      <c r="D189" t="s">
        <v>580</v>
      </c>
      <c r="I189" s="1462" t="s">
        <v>729</v>
      </c>
      <c r="J189" s="1440"/>
      <c r="K189" s="1440"/>
      <c r="L189" s="1440"/>
      <c r="M189" s="1440"/>
      <c r="N189" s="1440"/>
      <c r="O189" s="1440"/>
      <c r="P189" s="1440"/>
      <c r="Q189" t="s">
        <v>582</v>
      </c>
      <c r="T189" s="1440" t="s">
        <v>729</v>
      </c>
      <c r="U189" s="1440"/>
      <c r="V189" s="1440"/>
      <c r="W189" s="1440"/>
      <c r="X189" s="1440"/>
      <c r="Y189" s="1440"/>
      <c r="Z189" s="1440"/>
      <c r="AA189" s="1440"/>
      <c r="AB189" s="1440"/>
      <c r="AC189" s="1440"/>
      <c r="AD189" s="1440"/>
      <c r="AE189" s="1440"/>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 customHeight="1">
      <c r="C190" s="21"/>
      <c r="D190" t="s">
        <v>583</v>
      </c>
      <c r="I190" s="1424">
        <v>92101</v>
      </c>
      <c r="J190" s="1424"/>
      <c r="K190" s="1424"/>
      <c r="L190" s="1424"/>
      <c r="M190" s="1424"/>
      <c r="N190" s="1424"/>
      <c r="O190" t="s">
        <v>585</v>
      </c>
      <c r="T190" s="1753">
        <v>58.02</v>
      </c>
      <c r="U190" s="1753"/>
      <c r="V190" s="1753"/>
      <c r="W190" s="1753"/>
      <c r="X190" s="1753"/>
      <c r="Y190" s="1753"/>
      <c r="Z190" s="1753"/>
      <c r="AA190" s="1753"/>
      <c r="AB190" s="1753"/>
      <c r="AC190" s="1753"/>
      <c r="AD190" s="1753"/>
      <c r="AE190" s="1753"/>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 customHeight="1">
      <c r="C191" s="21"/>
      <c r="D191" t="s">
        <v>462</v>
      </c>
      <c r="N191" s="1767" t="s">
        <v>2787</v>
      </c>
      <c r="O191" s="1767"/>
      <c r="P191" s="1767"/>
      <c r="Q191" s="1767"/>
      <c r="R191" s="1767"/>
      <c r="S191" s="1767"/>
      <c r="T191" s="1767"/>
      <c r="U191" s="1767"/>
      <c r="V191" s="1767"/>
      <c r="W191" s="1767"/>
      <c r="X191" s="1767"/>
      <c r="Y191" s="1767"/>
      <c r="Z191" s="1767"/>
      <c r="AA191" s="1767"/>
      <c r="AB191" s="1767"/>
      <c r="AC191" s="1767"/>
      <c r="AD191" s="1767"/>
      <c r="AE191" s="1767"/>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 customHeight="1">
      <c r="C192" s="21"/>
      <c r="M192" s="40"/>
      <c r="N192" s="1768"/>
      <c r="O192" s="1768"/>
      <c r="P192" s="1768"/>
      <c r="Q192" s="1768"/>
      <c r="R192" s="1768"/>
      <c r="S192" s="1768"/>
      <c r="T192" s="1768"/>
      <c r="U192" s="1768"/>
      <c r="V192" s="1768"/>
      <c r="W192" s="1768"/>
      <c r="X192" s="1768"/>
      <c r="Y192" s="1768"/>
      <c r="Z192" s="1768"/>
      <c r="AA192" s="1768"/>
      <c r="AB192" s="1768"/>
      <c r="AC192" s="1768"/>
      <c r="AD192" s="1768"/>
      <c r="AE192" s="1768"/>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 customHeight="1">
      <c r="C193" s="21"/>
      <c r="D193" t="s">
        <v>2031</v>
      </c>
      <c r="M193" s="40"/>
      <c r="N193" s="885"/>
      <c r="O193" s="885"/>
      <c r="P193" s="885"/>
      <c r="Q193" s="885"/>
      <c r="R193" s="885"/>
      <c r="S193" s="885"/>
      <c r="T193" s="1757" t="s">
        <v>1938</v>
      </c>
      <c r="U193" s="1757"/>
      <c r="V193" s="1757"/>
      <c r="W193" s="1757"/>
      <c r="X193" s="1757"/>
      <c r="Y193" s="1757"/>
      <c r="Z193" s="1757"/>
      <c r="AA193" s="1757"/>
      <c r="AB193" s="1757"/>
      <c r="AC193" s="1757"/>
      <c r="AD193" s="1757"/>
      <c r="AE193" s="1757"/>
      <c r="AF193" s="1757"/>
      <c r="AG193" s="1757"/>
      <c r="AH193" s="1757"/>
      <c r="AI193" s="1757"/>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 customHeight="1">
      <c r="C194" s="21"/>
      <c r="D194" s="3" t="s">
        <v>2164</v>
      </c>
      <c r="M194" s="40"/>
      <c r="N194" s="885"/>
      <c r="O194" s="885"/>
      <c r="P194" s="885"/>
      <c r="Q194" s="885"/>
      <c r="R194" s="885"/>
      <c r="S194" s="885"/>
      <c r="AH194" s="1289" t="s">
        <v>669</v>
      </c>
      <c r="AI194" s="1289"/>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 customHeight="1">
      <c r="C195" s="21"/>
      <c r="D195" t="s">
        <v>331</v>
      </c>
      <c r="T195" s="1289" t="s">
        <v>545</v>
      </c>
      <c r="U195" s="1289"/>
      <c r="W195" t="s">
        <v>684</v>
      </c>
      <c r="AH195" s="1289">
        <v>50</v>
      </c>
      <c r="AI195" s="1289"/>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 customHeight="1">
      <c r="C196" s="21"/>
      <c r="D196" t="s">
        <v>386</v>
      </c>
      <c r="T196" s="1384" t="s">
        <v>669</v>
      </c>
      <c r="U196" s="1384"/>
      <c r="W196" t="s">
        <v>685</v>
      </c>
      <c r="AH196" s="1289">
        <v>77</v>
      </c>
      <c r="AI196" s="1289"/>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 customHeight="1">
      <c r="C197" s="21"/>
      <c r="D197" s="3" t="s">
        <v>169</v>
      </c>
      <c r="T197" s="1384" t="s">
        <v>669</v>
      </c>
      <c r="U197" s="1384"/>
      <c r="W197" t="s">
        <v>686</v>
      </c>
      <c r="AH197" s="1289">
        <v>39</v>
      </c>
      <c r="AI197" s="1289"/>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 customHeight="1">
      <c r="A198"/>
      <c r="B198"/>
      <c r="C198" s="21"/>
      <c r="D198" s="3" t="s">
        <v>1640</v>
      </c>
      <c r="E198"/>
      <c r="F198"/>
      <c r="G198"/>
      <c r="H198"/>
      <c r="I198"/>
      <c r="J198"/>
      <c r="K198"/>
      <c r="L198"/>
      <c r="M198"/>
      <c r="N198"/>
      <c r="O198"/>
      <c r="P198"/>
      <c r="Q198"/>
      <c r="R198"/>
      <c r="S198"/>
      <c r="T198" s="1384"/>
      <c r="U198" s="1384"/>
      <c r="V198"/>
      <c r="X198" s="1458" t="s">
        <v>2438</v>
      </c>
      <c r="Y198" s="1458"/>
      <c r="Z198" s="1458"/>
      <c r="AA198" s="1458"/>
      <c r="AB198" s="1458"/>
      <c r="AC198" s="1458"/>
      <c r="AD198" s="1458"/>
      <c r="AE198" s="1458"/>
      <c r="AF198" s="1458"/>
      <c r="AG198" s="1458"/>
      <c r="AH198" s="1458"/>
      <c r="AI198" s="1458"/>
      <c r="AJ198" s="1458"/>
      <c r="AK198" s="1458"/>
      <c r="AL198" s="1458"/>
      <c r="AM198" s="1458"/>
      <c r="AN198" s="1458"/>
      <c r="AO198" s="1458"/>
      <c r="AP198" s="1458"/>
      <c r="AQ198" s="1458"/>
      <c r="AR198" s="1458"/>
      <c r="AS198" s="1458"/>
      <c r="AT198" s="1458"/>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 customHeight="1">
      <c r="A199"/>
      <c r="B199"/>
      <c r="C199" s="21"/>
      <c r="D199" s="118" t="s">
        <v>2441</v>
      </c>
      <c r="E199"/>
      <c r="F199"/>
      <c r="G199"/>
      <c r="H199"/>
      <c r="I199"/>
      <c r="J199"/>
      <c r="K199"/>
      <c r="L199"/>
      <c r="M199"/>
      <c r="N199"/>
      <c r="O199"/>
      <c r="P199"/>
      <c r="Q199"/>
      <c r="R199"/>
      <c r="S199"/>
      <c r="T199" s="1289" t="s">
        <v>669</v>
      </c>
      <c r="U199" s="1289"/>
      <c r="V199"/>
      <c r="W199"/>
      <c r="X199" s="1458"/>
      <c r="Y199" s="1458"/>
      <c r="Z199" s="1458"/>
      <c r="AA199" s="1458"/>
      <c r="AB199" s="1458"/>
      <c r="AC199" s="1458"/>
      <c r="AD199" s="1458"/>
      <c r="AE199" s="1458"/>
      <c r="AF199" s="1458"/>
      <c r="AG199" s="1458"/>
      <c r="AH199" s="1458"/>
      <c r="AI199" s="1458"/>
      <c r="AJ199" s="1458"/>
      <c r="AK199" s="1458"/>
      <c r="AL199" s="1458"/>
      <c r="AM199" s="1458"/>
      <c r="AN199" s="1458"/>
      <c r="AO199" s="1458"/>
      <c r="AP199" s="1458"/>
      <c r="AQ199" s="1458"/>
      <c r="AR199" s="1458"/>
      <c r="AS199" s="1458"/>
      <c r="AT199" s="1458"/>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 customHeight="1">
      <c r="A200"/>
      <c r="B200"/>
      <c r="C200" s="21"/>
      <c r="D200" s="14" t="s">
        <v>2439</v>
      </c>
      <c r="T200" s="1289" t="s">
        <v>669</v>
      </c>
      <c r="U200" s="1289"/>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 customHeight="1">
      <c r="D204" s="1428" t="s">
        <v>385</v>
      </c>
      <c r="E204" s="1428"/>
      <c r="F204" s="1428"/>
      <c r="G204" s="1428"/>
      <c r="H204" s="1428"/>
      <c r="I204" s="1428"/>
      <c r="J204" s="1428"/>
      <c r="K204" s="1428"/>
      <c r="L204" s="1428"/>
      <c r="M204" s="1428"/>
      <c r="P204" s="1766">
        <f>M26</f>
        <v>4648266</v>
      </c>
      <c r="Q204" s="1745"/>
      <c r="R204" s="1745"/>
      <c r="S204" s="1745"/>
      <c r="T204" s="1745"/>
      <c r="U204" s="1745"/>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 customHeight="1">
      <c r="C205" s="21"/>
      <c r="D205" s="1773" t="s">
        <v>1246</v>
      </c>
      <c r="E205" s="1428"/>
      <c r="F205" s="1428"/>
      <c r="G205" s="1428"/>
      <c r="H205" s="1428"/>
      <c r="I205" s="1428"/>
      <c r="J205" s="1428"/>
      <c r="K205" s="1428"/>
      <c r="L205" s="1428"/>
      <c r="M205" s="1428"/>
      <c r="P205" s="1745">
        <f>M27</f>
        <v>0</v>
      </c>
      <c r="Q205" s="1745"/>
      <c r="R205" s="1745"/>
      <c r="S205" s="1745"/>
      <c r="T205" s="1745"/>
      <c r="U205" s="1745"/>
      <c r="V205" s="28"/>
      <c r="W205" s="3" t="s">
        <v>1708</v>
      </c>
      <c r="Z205" s="1771" t="s">
        <v>1183</v>
      </c>
      <c r="AA205" s="1771"/>
      <c r="AB205" s="1771"/>
      <c r="AC205" s="1771"/>
      <c r="AD205" s="1771"/>
      <c r="AE205" s="1771"/>
      <c r="AF205" s="1771"/>
      <c r="AG205" s="1771"/>
      <c r="AH205" s="1771"/>
      <c r="AI205" s="1771"/>
      <c r="AJ205" s="1771"/>
      <c r="AK205" s="1771"/>
      <c r="AL205" s="1771"/>
      <c r="AM205" s="1771"/>
      <c r="AN205" s="1771"/>
      <c r="AP205" s="1288"/>
      <c r="AQ205" s="128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 customHeight="1">
      <c r="C208" s="21"/>
      <c r="D208" s="1463" t="s">
        <v>2788</v>
      </c>
      <c r="E208" s="1463"/>
      <c r="F208" s="1463"/>
      <c r="G208" s="1463"/>
      <c r="H208" s="1463"/>
      <c r="I208" s="1463"/>
      <c r="J208" s="1463"/>
      <c r="K208" s="1463"/>
      <c r="L208" s="1463"/>
      <c r="M208" s="1463"/>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 customHeight="1">
      <c r="C211" s="21"/>
      <c r="D211" s="1463" t="s">
        <v>1826</v>
      </c>
      <c r="E211" s="1463"/>
      <c r="F211" s="1463"/>
      <c r="G211" s="1463"/>
      <c r="H211" s="1463"/>
      <c r="I211" s="1463"/>
      <c r="J211" s="1463"/>
      <c r="K211" s="1463"/>
      <c r="L211" s="1463"/>
      <c r="M211" s="1463"/>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 customHeight="1">
      <c r="C212" s="21"/>
      <c r="D212" s="3" t="s">
        <v>2179</v>
      </c>
      <c r="Q212" s="1289"/>
      <c r="R212" s="1289"/>
      <c r="T212" s="1760">
        <f>IFERROR(Q212/AG449,0)</f>
        <v>0</v>
      </c>
      <c r="U212" s="1761"/>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 customHeight="1">
      <c r="D214" s="1763" t="s">
        <v>591</v>
      </c>
      <c r="E214" s="1763"/>
      <c r="F214" s="1763"/>
      <c r="G214" s="1763"/>
      <c r="H214" s="1763"/>
      <c r="I214" s="1763"/>
      <c r="J214" s="1763"/>
      <c r="K214" s="1763"/>
      <c r="L214" s="1763"/>
      <c r="M214" s="1763"/>
      <c r="N214" s="1763"/>
      <c r="O214" s="1763"/>
      <c r="P214" s="1763"/>
      <c r="Q214" s="1763"/>
      <c r="R214" s="1763"/>
      <c r="S214" s="1763"/>
      <c r="T214" s="1763"/>
      <c r="U214" s="1763"/>
      <c r="V214" s="1763"/>
      <c r="W214" s="1763"/>
      <c r="X214" s="1763"/>
      <c r="Y214" s="1763"/>
      <c r="Z214" s="1763"/>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 customHeight="1">
      <c r="D215" s="3" t="s">
        <v>1641</v>
      </c>
      <c r="Z215" s="40"/>
      <c r="AB215" s="1681"/>
      <c r="AC215" s="1681"/>
      <c r="AD215" s="1681"/>
      <c r="AE215" s="1681"/>
      <c r="AF215" s="1681"/>
      <c r="AG215" s="1681"/>
      <c r="AH215" s="1681"/>
      <c r="AI215" s="1681"/>
      <c r="AJ215" s="1681"/>
      <c r="AK215" s="1681"/>
      <c r="AL215" s="1681"/>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 customHeight="1">
      <c r="D216" s="3" t="s">
        <v>1639</v>
      </c>
      <c r="Z216" s="40"/>
      <c r="AB216" s="1681"/>
      <c r="AC216" s="1681"/>
      <c r="AD216" s="1681"/>
      <c r="AE216" s="1681"/>
      <c r="AF216" s="1681"/>
      <c r="AG216" s="1681"/>
      <c r="AH216" s="1681"/>
      <c r="AI216" s="1681"/>
      <c r="AJ216" s="1681"/>
      <c r="AK216" s="1681"/>
      <c r="AL216" s="1681"/>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 customHeight="1">
      <c r="A218" s="2" t="s">
        <v>592</v>
      </c>
      <c r="C218" s="2" t="s">
        <v>2182</v>
      </c>
      <c r="D218" s="28"/>
      <c r="AC218" s="2" t="s">
        <v>2387</v>
      </c>
      <c r="BC218" t="s">
        <v>529</v>
      </c>
    </row>
    <row r="219" spans="1:108" ht="12.9" customHeight="1">
      <c r="A219" s="2"/>
      <c r="C219" s="2"/>
      <c r="D219" s="3" t="s">
        <v>2388</v>
      </c>
      <c r="AZ219" s="3"/>
      <c r="BA219" s="3"/>
      <c r="BC219" t="s">
        <v>377</v>
      </c>
    </row>
    <row r="220" spans="1:108" ht="12.9" customHeight="1">
      <c r="A220" s="2"/>
      <c r="C220" s="2"/>
      <c r="D220" s="1463" t="s">
        <v>611</v>
      </c>
      <c r="E220" s="1463"/>
      <c r="F220" s="1463"/>
      <c r="G220" s="1463"/>
      <c r="H220" s="1463"/>
      <c r="I220" s="1463"/>
      <c r="J220" s="1463"/>
      <c r="K220" s="1463"/>
      <c r="L220" s="1463"/>
      <c r="M220" s="1463"/>
      <c r="N220" s="1463"/>
      <c r="O220" s="1463"/>
      <c r="P220" s="1463"/>
      <c r="Q220" s="1463"/>
      <c r="R220" s="1463"/>
      <c r="S220" s="1463"/>
      <c r="T220" s="1463"/>
      <c r="U220" s="1463"/>
      <c r="V220" s="1463"/>
      <c r="W220" s="1463"/>
      <c r="X220" s="1463"/>
      <c r="Y220" s="1463"/>
      <c r="Z220" s="1463"/>
      <c r="AC220" s="1772" t="s">
        <v>2389</v>
      </c>
      <c r="AD220" s="1772"/>
      <c r="AE220" s="1772"/>
      <c r="AF220" s="1772"/>
      <c r="AG220" s="1772"/>
      <c r="AH220" s="1772"/>
      <c r="AI220" s="1772"/>
      <c r="AJ220" s="1772"/>
      <c r="AK220" s="1772"/>
      <c r="AL220" s="1772"/>
      <c r="AM220" s="1772"/>
      <c r="AN220" s="1772"/>
      <c r="AO220" s="1772"/>
      <c r="AP220" s="1772"/>
      <c r="AQ220" s="1772"/>
      <c r="BA220" s="3"/>
      <c r="BC220" t="s">
        <v>300</v>
      </c>
      <c r="BI220" s="523" t="s">
        <v>2663</v>
      </c>
    </row>
    <row r="221" spans="1:108" ht="12.9" customHeight="1">
      <c r="A221" s="2"/>
      <c r="B221" s="14"/>
      <c r="C221" s="2"/>
      <c r="BA221" s="3"/>
      <c r="BI221" s="523" t="s">
        <v>2664</v>
      </c>
    </row>
    <row r="222" spans="1:108" ht="12.9" customHeight="1">
      <c r="A222" s="2" t="s">
        <v>2530</v>
      </c>
      <c r="B222" s="14"/>
      <c r="C222" s="2" t="s">
        <v>2531</v>
      </c>
      <c r="BA222" s="3"/>
      <c r="BI222" s="523" t="s">
        <v>2665</v>
      </c>
    </row>
    <row r="223" spans="1:108" ht="12.9" customHeight="1">
      <c r="A223" s="2"/>
      <c r="B223" s="14"/>
      <c r="C223" s="2"/>
      <c r="D223" s="3" t="s">
        <v>2532</v>
      </c>
      <c r="BA223" s="3"/>
      <c r="BI223" s="523" t="s">
        <v>2666</v>
      </c>
    </row>
    <row r="224" spans="1:108" ht="12.9" customHeight="1">
      <c r="A224" s="2"/>
      <c r="B224" s="14"/>
      <c r="C224" s="2"/>
      <c r="E224" s="3" t="s">
        <v>2533</v>
      </c>
      <c r="V224" s="1289" t="s">
        <v>669</v>
      </c>
      <c r="W224" s="1289"/>
      <c r="Y224" s="1188"/>
      <c r="BA224" s="3"/>
      <c r="BI224" s="523" t="s">
        <v>2667</v>
      </c>
    </row>
    <row r="225" spans="1:69" ht="12.9" customHeight="1">
      <c r="A225" s="2"/>
      <c r="B225" s="14"/>
      <c r="C225" s="2"/>
      <c r="E225" s="3" t="s">
        <v>2534</v>
      </c>
      <c r="V225" s="1289" t="s">
        <v>669</v>
      </c>
      <c r="W225" s="128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 customHeight="1">
      <c r="A226" s="2"/>
      <c r="B226" s="14"/>
      <c r="C226" s="2"/>
      <c r="E226" s="3" t="s">
        <v>2535</v>
      </c>
      <c r="V226" s="1384" t="s">
        <v>669</v>
      </c>
      <c r="W226" s="138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 customHeight="1">
      <c r="A227" s="2"/>
      <c r="B227" s="14"/>
      <c r="C227" s="2"/>
      <c r="E227" s="3" t="s">
        <v>2536</v>
      </c>
      <c r="V227" s="1384" t="s">
        <v>669</v>
      </c>
      <c r="W227" s="138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 customHeight="1">
      <c r="A228" s="2"/>
      <c r="B228" s="14"/>
      <c r="C228" s="2"/>
      <c r="E228" s="3" t="s">
        <v>2537</v>
      </c>
      <c r="V228" s="1384" t="s">
        <v>669</v>
      </c>
      <c r="W228" s="138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 customHeight="1">
      <c r="A229" s="2"/>
      <c r="B229" s="14"/>
      <c r="C229" s="2"/>
      <c r="E229" s="3" t="s">
        <v>2538</v>
      </c>
      <c r="V229" s="1384" t="s">
        <v>669</v>
      </c>
      <c r="W229" s="138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 customHeight="1">
      <c r="A230" s="2"/>
      <c r="B230" s="14"/>
      <c r="C230" s="2"/>
      <c r="BA230" s="3"/>
      <c r="BI230" s="523" t="s">
        <v>2672</v>
      </c>
    </row>
    <row r="231" spans="1:69" ht="12.9" customHeight="1">
      <c r="A231" s="1359" t="s">
        <v>540</v>
      </c>
      <c r="B231" s="1359"/>
      <c r="C231" s="1359"/>
      <c r="D231" s="1359"/>
      <c r="E231" s="1359"/>
      <c r="F231" s="1359"/>
      <c r="G231" s="1359"/>
      <c r="H231" s="1359"/>
      <c r="I231" s="1359"/>
      <c r="J231" s="1359"/>
      <c r="K231" s="1359"/>
      <c r="L231" s="1359"/>
      <c r="M231" s="1359"/>
      <c r="N231" s="1359"/>
      <c r="O231" s="1359"/>
      <c r="P231" s="1359"/>
      <c r="Q231" s="1359"/>
      <c r="R231" s="1359"/>
      <c r="S231" s="1359"/>
      <c r="T231" s="1359"/>
      <c r="U231" s="1359"/>
      <c r="V231" s="1359"/>
      <c r="W231" s="1359"/>
      <c r="X231" s="1359"/>
      <c r="Y231" s="1359"/>
      <c r="Z231" s="1359"/>
      <c r="AA231" s="1359"/>
      <c r="AB231" s="1359"/>
      <c r="AC231" s="1359"/>
      <c r="AD231" s="1359"/>
      <c r="AE231" s="1359"/>
      <c r="AF231" s="1359"/>
      <c r="AG231" s="1359"/>
      <c r="AH231" s="1359"/>
      <c r="AI231" s="1359"/>
      <c r="AJ231" s="1359"/>
      <c r="AK231" s="1359"/>
      <c r="AL231" s="1359"/>
      <c r="AM231" s="1359"/>
      <c r="AN231" s="1359"/>
      <c r="AO231" s="1359"/>
      <c r="AP231" s="1359"/>
      <c r="AQ231" s="1359"/>
      <c r="AR231" s="1359"/>
      <c r="AS231" s="1359"/>
      <c r="AT231" s="1359"/>
      <c r="AU231" s="95"/>
      <c r="AV231" s="95"/>
      <c r="AW231" s="95"/>
      <c r="AX231" s="95"/>
      <c r="AY231" s="95"/>
      <c r="AZ231" s="3"/>
      <c r="BA231" s="3"/>
      <c r="BI231" s="523" t="s">
        <v>2673</v>
      </c>
      <c r="BP231" s="34"/>
    </row>
    <row r="232" spans="1:69" ht="12.9" customHeight="1">
      <c r="A232" s="1359"/>
      <c r="B232" s="1359"/>
      <c r="C232" s="1359"/>
      <c r="D232" s="1359"/>
      <c r="E232" s="1359"/>
      <c r="F232" s="1359"/>
      <c r="G232" s="1359"/>
      <c r="H232" s="1359"/>
      <c r="I232" s="1359"/>
      <c r="J232" s="1359"/>
      <c r="K232" s="1359"/>
      <c r="L232" s="1359"/>
      <c r="M232" s="1359"/>
      <c r="N232" s="1359"/>
      <c r="O232" s="1359"/>
      <c r="P232" s="1359"/>
      <c r="Q232" s="1359"/>
      <c r="R232" s="1359"/>
      <c r="S232" s="1359"/>
      <c r="T232" s="1359"/>
      <c r="U232" s="1359"/>
      <c r="V232" s="1359"/>
      <c r="W232" s="1359"/>
      <c r="X232" s="1359"/>
      <c r="Y232" s="1359"/>
      <c r="Z232" s="1359"/>
      <c r="AA232" s="1359"/>
      <c r="AB232" s="1359"/>
      <c r="AC232" s="1359"/>
      <c r="AD232" s="1359"/>
      <c r="AE232" s="1359"/>
      <c r="AF232" s="1359"/>
      <c r="AG232" s="1359"/>
      <c r="AH232" s="1359"/>
      <c r="AI232" s="1359"/>
      <c r="AJ232" s="1359"/>
      <c r="AK232" s="1359"/>
      <c r="AL232" s="1359"/>
      <c r="AM232" s="1359"/>
      <c r="AN232" s="1359"/>
      <c r="AO232" s="1359"/>
      <c r="AP232" s="1359"/>
      <c r="AQ232" s="1359"/>
      <c r="AR232" s="1359"/>
      <c r="AS232" s="1359"/>
      <c r="AT232" s="1359"/>
      <c r="BA232" s="3"/>
      <c r="BB232" s="3"/>
      <c r="BI232" s="523" t="s">
        <v>2674</v>
      </c>
      <c r="BQ232" s="34"/>
    </row>
    <row r="233" spans="1:69" ht="12.9" customHeight="1">
      <c r="AZ233" s="4"/>
      <c r="BA233" s="3"/>
      <c r="BB233" s="3"/>
      <c r="BI233" s="523" t="s">
        <v>2675</v>
      </c>
      <c r="BQ233" s="34"/>
    </row>
    <row r="234" spans="1:69" ht="12.9"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9" t="s">
        <v>591</v>
      </c>
      <c r="AJ235" s="1289"/>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9" t="s">
        <v>545</v>
      </c>
      <c r="AJ236" s="1289"/>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9" t="s">
        <v>591</v>
      </c>
      <c r="AJ237" s="1289"/>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9" t="s">
        <v>591</v>
      </c>
      <c r="AJ238" s="1289"/>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c r="BI238" s="523" t="s">
        <v>2680</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 customHeight="1">
      <c r="D241" s="4" t="s">
        <v>470</v>
      </c>
      <c r="E241" s="4"/>
      <c r="F241" s="4"/>
      <c r="G241" s="4"/>
      <c r="H241" s="4"/>
      <c r="I241" s="4"/>
      <c r="J241" s="4"/>
      <c r="K241" s="4"/>
      <c r="M241" s="1754" t="str">
        <f>H16</f>
        <v>610 West by Vintage Partners, LLC</v>
      </c>
      <c r="N241" s="1754"/>
      <c r="O241" s="1754"/>
      <c r="P241" s="1754"/>
      <c r="Q241" s="1754"/>
      <c r="R241" s="1754"/>
      <c r="S241" s="1754"/>
      <c r="T241" s="1754"/>
      <c r="U241" s="1754"/>
      <c r="V241" s="1754"/>
      <c r="W241" s="1754"/>
      <c r="X241" s="1754"/>
      <c r="Y241" s="1754"/>
      <c r="Z241" s="1754"/>
      <c r="AA241" s="1754"/>
      <c r="AB241" s="1754"/>
      <c r="AC241" s="1754"/>
      <c r="AD241" s="1754"/>
      <c r="AE241" s="1754"/>
      <c r="AF241" s="1754"/>
      <c r="AG241" s="1754"/>
      <c r="AH241" s="1754"/>
      <c r="AI241" s="1754"/>
      <c r="AJ241" s="1754"/>
      <c r="AK241" s="1754"/>
      <c r="AZ241" s="4"/>
      <c r="BA241" s="3"/>
      <c r="BB241" s="205" t="s">
        <v>538</v>
      </c>
      <c r="BG241" s="241">
        <f>IF(AND(AND($M$258="nonprofit",$M$266="nonprofit",$M$274="for profit")),2,0)</f>
        <v>0</v>
      </c>
      <c r="BI241" s="523" t="s">
        <v>2683</v>
      </c>
    </row>
    <row r="242" spans="1:67" ht="12.9" customHeight="1">
      <c r="D242" s="4" t="s">
        <v>85</v>
      </c>
      <c r="E242" s="4"/>
      <c r="F242" s="4"/>
      <c r="G242" s="4"/>
      <c r="H242" s="4"/>
      <c r="I242" s="4"/>
      <c r="J242" s="4"/>
      <c r="K242" s="4"/>
      <c r="M242" s="1462" t="s">
        <v>2695</v>
      </c>
      <c r="N242" s="1463"/>
      <c r="O242" s="1463"/>
      <c r="P242" s="1463"/>
      <c r="Q242" s="1463"/>
      <c r="R242" s="1463"/>
      <c r="S242" s="1463"/>
      <c r="T242" s="1463"/>
      <c r="U242" s="1463"/>
      <c r="V242" s="1463"/>
      <c r="W242" s="1463"/>
      <c r="X242" s="1463"/>
      <c r="Y242" s="1463"/>
      <c r="Z242" s="1463"/>
      <c r="AA242" s="1463"/>
      <c r="AB242" s="1463"/>
      <c r="AC242" s="1463"/>
      <c r="AD242" s="1463"/>
      <c r="AE242" s="1463"/>
      <c r="BB242" s="205" t="s">
        <v>538</v>
      </c>
      <c r="BG242" s="241">
        <f>IF(AND(AND($M$258="nonprofit",$M$266="for profit",$M$274="nonprofit")),2,0)</f>
        <v>0</v>
      </c>
    </row>
    <row r="243" spans="1:67" ht="12.9" customHeight="1">
      <c r="D243" s="4" t="s">
        <v>580</v>
      </c>
      <c r="E243" s="4"/>
      <c r="M243" s="1462" t="s">
        <v>2696</v>
      </c>
      <c r="N243" s="1463"/>
      <c r="O243" s="1463"/>
      <c r="P243" s="1463"/>
      <c r="Q243" s="1463"/>
      <c r="R243" s="1463"/>
      <c r="S243" s="1463"/>
      <c r="T243" s="1463"/>
      <c r="V243" s="33" t="s">
        <v>86</v>
      </c>
      <c r="W243" s="1387" t="s">
        <v>2697</v>
      </c>
      <c r="X243" s="1439"/>
      <c r="Y243" s="4" t="s">
        <v>583</v>
      </c>
      <c r="AC243" s="1463">
        <v>92260</v>
      </c>
      <c r="AD243" s="1463"/>
      <c r="AE243" s="1463"/>
      <c r="AU243" s="4"/>
      <c r="AV243" s="4"/>
      <c r="AW243" s="4"/>
      <c r="AX243" s="4"/>
      <c r="AY243" s="4"/>
      <c r="AZ243" s="4"/>
      <c r="BB243" s="205" t="s">
        <v>538</v>
      </c>
      <c r="BG243" s="240">
        <f>IF(AND(AND($M$258="for profit",$M$266="nonprofit",$M$274="nonprofit")),2,0)</f>
        <v>0</v>
      </c>
    </row>
    <row r="244" spans="1:67" ht="12.9" customHeight="1">
      <c r="D244" s="4" t="s">
        <v>87</v>
      </c>
      <c r="E244" s="4"/>
      <c r="F244" s="4"/>
      <c r="G244" s="4"/>
      <c r="H244" s="4"/>
      <c r="I244" s="4"/>
      <c r="J244" s="4"/>
      <c r="K244" s="19"/>
      <c r="M244" s="1462" t="s">
        <v>2698</v>
      </c>
      <c r="N244" s="1463"/>
      <c r="O244" s="1463"/>
      <c r="P244" s="1463"/>
      <c r="Q244" s="1463"/>
      <c r="R244" s="1463"/>
      <c r="S244" s="1463"/>
      <c r="T244" s="1463"/>
      <c r="U244" s="1463"/>
      <c r="V244" s="1463"/>
      <c r="W244" s="1463"/>
      <c r="X244" s="1463"/>
      <c r="Y244" s="1463"/>
      <c r="Z244" s="1463"/>
      <c r="AA244" s="1463"/>
      <c r="AB244" s="1463"/>
      <c r="AC244" s="1463"/>
      <c r="AD244" s="1463"/>
      <c r="AE244" s="1463"/>
      <c r="AI244" s="4"/>
      <c r="AJ244" s="4"/>
      <c r="AK244" s="4"/>
      <c r="AL244" s="4"/>
      <c r="AM244" s="4"/>
      <c r="AN244" s="4"/>
      <c r="AO244" s="4"/>
      <c r="AP244" s="4"/>
      <c r="AQ244" s="4"/>
      <c r="AR244" s="4"/>
      <c r="AS244" s="4"/>
      <c r="AT244" s="4"/>
      <c r="BB244" s="205"/>
      <c r="BG244" s="204"/>
    </row>
    <row r="245" spans="1:67" ht="12.9" customHeight="1">
      <c r="D245" s="4" t="s">
        <v>88</v>
      </c>
      <c r="E245" s="4"/>
      <c r="F245" s="4"/>
      <c r="M245" s="1453" t="s">
        <v>2700</v>
      </c>
      <c r="N245" s="1454"/>
      <c r="O245" s="1454"/>
      <c r="P245" s="1454"/>
      <c r="Q245" s="1454"/>
      <c r="R245" s="1454"/>
      <c r="S245" s="4" t="s">
        <v>206</v>
      </c>
      <c r="T245" s="4"/>
      <c r="U245" s="1439"/>
      <c r="V245" s="1439"/>
      <c r="W245" s="1439"/>
      <c r="X245" s="4" t="s">
        <v>89</v>
      </c>
      <c r="Z245" s="1454"/>
      <c r="AA245" s="1454"/>
      <c r="AB245" s="1454"/>
      <c r="AC245" s="1454"/>
      <c r="AD245" s="1454"/>
      <c r="AE245" s="1454"/>
      <c r="AU245" s="4"/>
      <c r="AV245" s="4"/>
      <c r="AW245" s="4"/>
      <c r="AX245" s="4"/>
      <c r="AY245" s="4"/>
      <c r="AZ245" s="4"/>
      <c r="BB245" s="204" t="s">
        <v>537</v>
      </c>
      <c r="BG245" s="241">
        <f>IF(AND(AND($M$258="nonprofit",$M$266="nonprofit",$M$274="(select one)")),1,0)</f>
        <v>0</v>
      </c>
    </row>
    <row r="246" spans="1:67" ht="12.9" customHeight="1">
      <c r="D246" s="4" t="s">
        <v>90</v>
      </c>
      <c r="E246" s="4"/>
      <c r="F246" s="4"/>
      <c r="M246" s="1742" t="s">
        <v>2701</v>
      </c>
      <c r="N246" s="1742"/>
      <c r="O246" s="1742"/>
      <c r="P246" s="1742"/>
      <c r="Q246" s="1742"/>
      <c r="R246" s="1742"/>
      <c r="S246" s="1742"/>
      <c r="T246" s="1742"/>
      <c r="U246" s="1742"/>
      <c r="V246" s="1742"/>
      <c r="W246" s="1742"/>
      <c r="X246" s="1742"/>
      <c r="Y246" s="1742"/>
      <c r="Z246" s="1742"/>
      <c r="AA246" s="1742"/>
      <c r="AB246" s="1742"/>
      <c r="AC246" s="1742"/>
      <c r="AD246" s="1742"/>
      <c r="AE246" s="1742"/>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 customHeight="1">
      <c r="A247" s="2" t="s">
        <v>586</v>
      </c>
      <c r="C247" s="2" t="s">
        <v>525</v>
      </c>
      <c r="M247" s="1424" t="s">
        <v>300</v>
      </c>
      <c r="N247" s="1424"/>
      <c r="O247" s="1424"/>
      <c r="P247" s="1424"/>
      <c r="Q247" s="1424"/>
      <c r="R247" s="1424"/>
      <c r="S247" s="1424"/>
      <c r="T247" s="1424"/>
      <c r="U247" s="204" t="s">
        <v>906</v>
      </c>
      <c r="V247" s="204"/>
      <c r="W247" s="204"/>
      <c r="X247" s="204"/>
      <c r="Y247" s="204"/>
      <c r="Z247" s="204"/>
      <c r="AA247" s="1748"/>
      <c r="AB247" s="1748"/>
      <c r="AC247" s="1748"/>
      <c r="AD247" s="1748"/>
      <c r="AE247" s="1748"/>
      <c r="AF247" s="1748"/>
      <c r="AG247" s="1748"/>
      <c r="AH247" s="1748"/>
      <c r="AI247" s="1748"/>
      <c r="AJ247" s="1748"/>
      <c r="AK247" s="1748"/>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 customHeight="1">
      <c r="D248" t="s">
        <v>531</v>
      </c>
      <c r="M248" s="1440" t="s">
        <v>2789</v>
      </c>
      <c r="N248" s="1440"/>
      <c r="O248" s="1440"/>
      <c r="P248" s="1440"/>
      <c r="Q248" s="1440"/>
      <c r="R248" s="1440"/>
      <c r="S248" s="1440"/>
      <c r="T248" s="1440"/>
      <c r="U248" s="1440"/>
      <c r="V248" s="1440"/>
      <c r="W248" s="1440"/>
      <c r="X248" s="1440"/>
      <c r="Y248" s="1440"/>
      <c r="Z248" s="1440"/>
      <c r="AA248" s="1440"/>
      <c r="AB248" s="1440"/>
      <c r="AC248" s="1440"/>
      <c r="AD248" s="1440"/>
      <c r="AE248" s="1440"/>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 customHeight="1">
      <c r="D249" s="4"/>
      <c r="BB249" s="204" t="s">
        <v>877</v>
      </c>
      <c r="BG249" s="241">
        <f>IF(AND(AND($M$258="for profit",$M$266="for profit",$M$274="for profit")),3,0)</f>
        <v>0</v>
      </c>
    </row>
    <row r="250" spans="1:67" ht="12.9"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473</v>
      </c>
      <c r="D252" s="4" t="s">
        <v>532</v>
      </c>
      <c r="E252" s="4"/>
      <c r="F252" s="4"/>
      <c r="G252" s="4"/>
      <c r="H252" s="4"/>
      <c r="I252" s="4"/>
      <c r="J252" s="4"/>
      <c r="K252" s="4"/>
      <c r="L252" s="4"/>
      <c r="M252" s="1465" t="s">
        <v>2693</v>
      </c>
      <c r="N252" s="1466"/>
      <c r="O252" s="1466"/>
      <c r="P252" s="1466"/>
      <c r="Q252" s="1466"/>
      <c r="R252" s="1466"/>
      <c r="S252" s="1466"/>
      <c r="T252" s="1466"/>
      <c r="U252" s="1466"/>
      <c r="V252" s="1466"/>
      <c r="W252" s="1466"/>
      <c r="X252" s="1466"/>
      <c r="Y252" s="1466"/>
      <c r="Z252" s="1466"/>
      <c r="AA252" s="1466"/>
      <c r="AB252" s="1466"/>
      <c r="AC252" s="1466"/>
      <c r="AD252" s="1466"/>
      <c r="AE252" s="1466"/>
      <c r="AF252" s="1466" t="s">
        <v>2694</v>
      </c>
      <c r="AG252" s="1466"/>
      <c r="AH252" s="1466"/>
      <c r="AI252" s="1466"/>
      <c r="AJ252" s="1466"/>
      <c r="AK252" s="1466"/>
      <c r="AU252" s="4"/>
      <c r="AV252" s="4"/>
      <c r="AW252" s="4"/>
      <c r="AX252" s="4"/>
      <c r="AY252" s="4"/>
      <c r="BG252">
        <f>SUM(BG235:BG250)</f>
        <v>2</v>
      </c>
    </row>
    <row r="253" spans="1:67" ht="12.9" customHeight="1">
      <c r="A253" s="19"/>
      <c r="B253" s="4"/>
      <c r="C253" s="4"/>
      <c r="D253" s="4" t="s">
        <v>85</v>
      </c>
      <c r="E253" s="4"/>
      <c r="F253" s="4"/>
      <c r="G253" s="4"/>
      <c r="H253" s="4"/>
      <c r="I253" s="4"/>
      <c r="J253" s="4"/>
      <c r="K253" s="4"/>
      <c r="L253" s="4"/>
      <c r="M253" s="1462" t="s">
        <v>2695</v>
      </c>
      <c r="N253" s="1463"/>
      <c r="O253" s="1463"/>
      <c r="P253" s="1463"/>
      <c r="Q253" s="1463"/>
      <c r="R253" s="1463"/>
      <c r="S253" s="1463"/>
      <c r="T253" s="1463"/>
      <c r="U253" s="1463"/>
      <c r="V253" s="1463"/>
      <c r="W253" s="1463"/>
      <c r="X253" s="1463"/>
      <c r="Y253" s="1463"/>
      <c r="Z253" s="1463"/>
      <c r="AA253" s="1463"/>
      <c r="AB253" s="1463"/>
      <c r="AC253" s="1463"/>
      <c r="AD253" s="1463"/>
      <c r="AE253" s="1463"/>
      <c r="AF253" s="3" t="s">
        <v>1178</v>
      </c>
      <c r="AL253" s="4"/>
      <c r="AM253" s="4"/>
      <c r="AN253" s="4"/>
      <c r="AO253" s="4"/>
      <c r="AP253" s="4"/>
      <c r="AQ253" s="4"/>
      <c r="AR253" s="4"/>
      <c r="AS253" s="4"/>
      <c r="AT253" s="4"/>
      <c r="BB253" t="s">
        <v>307</v>
      </c>
      <c r="BG253">
        <v>1</v>
      </c>
      <c r="BH253" t="s">
        <v>534</v>
      </c>
    </row>
    <row r="254" spans="1:67" ht="12.9" customHeight="1">
      <c r="A254" s="19"/>
      <c r="B254" s="4"/>
      <c r="C254" s="4"/>
      <c r="D254" s="4" t="s">
        <v>580</v>
      </c>
      <c r="E254" s="4"/>
      <c r="M254" s="1462" t="s">
        <v>2696</v>
      </c>
      <c r="N254" s="1463"/>
      <c r="O254" s="1463"/>
      <c r="P254" s="1463"/>
      <c r="Q254" s="1463"/>
      <c r="R254" s="1463"/>
      <c r="S254" s="1463"/>
      <c r="T254" s="1463"/>
      <c r="V254" s="33" t="s">
        <v>86</v>
      </c>
      <c r="W254" s="1387" t="s">
        <v>2697</v>
      </c>
      <c r="X254" s="1439"/>
      <c r="Y254" s="4" t="s">
        <v>583</v>
      </c>
      <c r="AC254" s="1463">
        <v>92260</v>
      </c>
      <c r="AD254" s="1463"/>
      <c r="AE254" s="1463"/>
      <c r="AF254" s="3" t="s">
        <v>1179</v>
      </c>
      <c r="AU254" s="4"/>
      <c r="AV254" s="4"/>
      <c r="AW254" s="4"/>
      <c r="AX254" s="4"/>
      <c r="AY254" s="4"/>
      <c r="BB254" s="4" t="s">
        <v>280</v>
      </c>
      <c r="BG254">
        <v>2</v>
      </c>
      <c r="BH254" t="s">
        <v>566</v>
      </c>
      <c r="BO254" s="239" t="str">
        <f>VLOOKUP(BG252,BG253:BH256,2,FALSE)</f>
        <v>Joint Venture</v>
      </c>
    </row>
    <row r="255" spans="1:67" ht="12.9" customHeight="1">
      <c r="A255" s="19"/>
      <c r="B255" s="4"/>
      <c r="C255" s="4"/>
      <c r="D255" s="4" t="s">
        <v>87</v>
      </c>
      <c r="E255" s="4"/>
      <c r="F255" s="4"/>
      <c r="G255" s="4"/>
      <c r="H255" s="4"/>
      <c r="I255" s="4"/>
      <c r="J255" s="4"/>
      <c r="K255" s="4"/>
      <c r="L255" s="19"/>
      <c r="M255" s="1462" t="s">
        <v>2698</v>
      </c>
      <c r="N255" s="1463"/>
      <c r="O255" s="1463"/>
      <c r="P255" s="1463"/>
      <c r="Q255" s="1463"/>
      <c r="R255" s="1463"/>
      <c r="S255" s="1463"/>
      <c r="T255" s="1463"/>
      <c r="U255" s="1463"/>
      <c r="V255" s="1463"/>
      <c r="W255" s="1463"/>
      <c r="X255" s="1463"/>
      <c r="Y255" s="1463"/>
      <c r="Z255" s="1463"/>
      <c r="AA255" s="1463"/>
      <c r="AB255" s="1463"/>
      <c r="AC255" s="1463"/>
      <c r="AD255" s="1463"/>
      <c r="AE255" s="1463"/>
      <c r="AH255" s="1740">
        <v>8.9999999999999993E-3</v>
      </c>
      <c r="AI255" s="1740"/>
      <c r="AJ255" s="1740"/>
      <c r="AK255" s="1740"/>
      <c r="AL255" s="4"/>
      <c r="AM255" s="4"/>
      <c r="AN255" s="4"/>
      <c r="AO255" s="4"/>
      <c r="AP255" s="4"/>
      <c r="AQ255" s="4"/>
      <c r="AR255" s="4"/>
      <c r="AS255" s="4"/>
      <c r="AT255" s="4"/>
      <c r="BB255" s="4" t="s">
        <v>173</v>
      </c>
      <c r="BG255">
        <v>3</v>
      </c>
      <c r="BH255" t="s">
        <v>536</v>
      </c>
      <c r="BN255" s="34"/>
    </row>
    <row r="256" spans="1:67" ht="12.9" customHeight="1">
      <c r="A256" s="19"/>
      <c r="B256" s="4"/>
      <c r="C256" s="4"/>
      <c r="D256" s="4" t="s">
        <v>88</v>
      </c>
      <c r="E256" s="4"/>
      <c r="F256" s="4"/>
      <c r="M256" s="1453" t="s">
        <v>2700</v>
      </c>
      <c r="N256" s="1454"/>
      <c r="O256" s="1454"/>
      <c r="P256" s="1454"/>
      <c r="Q256" s="1454"/>
      <c r="R256" s="1454"/>
      <c r="S256" s="4" t="s">
        <v>206</v>
      </c>
      <c r="T256" s="4"/>
      <c r="U256" s="1439"/>
      <c r="V256" s="1439"/>
      <c r="W256" s="1439"/>
      <c r="X256" s="4" t="s">
        <v>89</v>
      </c>
      <c r="Z256" s="1454"/>
      <c r="AA256" s="1454"/>
      <c r="AB256" s="1454"/>
      <c r="AC256" s="1454"/>
      <c r="AD256" s="1454"/>
      <c r="AE256" s="1454"/>
      <c r="AU256" s="4"/>
      <c r="AV256" s="4"/>
      <c r="AW256" s="4"/>
      <c r="AX256" s="4"/>
      <c r="AY256" s="4"/>
      <c r="BG256">
        <v>0</v>
      </c>
      <c r="BH256" s="3" t="str">
        <f>""</f>
        <v/>
      </c>
      <c r="BN256" s="34"/>
    </row>
    <row r="257" spans="1:66" ht="12.9" customHeight="1">
      <c r="A257" s="19"/>
      <c r="B257" s="4"/>
      <c r="C257" s="4"/>
      <c r="D257" s="4" t="s">
        <v>90</v>
      </c>
      <c r="E257" s="4"/>
      <c r="F257" s="4"/>
      <c r="M257" s="1742" t="s">
        <v>2701</v>
      </c>
      <c r="N257" s="1742"/>
      <c r="O257" s="1742"/>
      <c r="P257" s="1742"/>
      <c r="Q257" s="1742"/>
      <c r="R257" s="1742"/>
      <c r="S257" s="1742"/>
      <c r="T257" s="1742"/>
      <c r="U257" s="1742"/>
      <c r="V257" s="1742"/>
      <c r="W257" s="1742"/>
      <c r="X257" s="1742"/>
      <c r="Y257" s="1742"/>
      <c r="Z257" s="1742"/>
      <c r="AA257" s="1742"/>
      <c r="AB257" s="1742"/>
      <c r="AC257" s="1742"/>
      <c r="AD257" s="1742"/>
      <c r="AE257" s="1742"/>
      <c r="AG257" s="4"/>
      <c r="AH257" s="4"/>
      <c r="AI257" s="4"/>
      <c r="AJ257" s="4"/>
      <c r="AK257" s="4"/>
      <c r="AL257" s="4"/>
      <c r="AM257" s="4"/>
      <c r="AN257" s="4"/>
      <c r="AO257" s="4"/>
      <c r="AP257" s="4"/>
      <c r="AQ257" s="4"/>
      <c r="AR257" s="4"/>
      <c r="AS257" s="4"/>
      <c r="AT257" s="4"/>
      <c r="BN257" s="34"/>
    </row>
    <row r="258" spans="1:66" ht="12.9" customHeight="1">
      <c r="A258" s="13"/>
      <c r="B258" s="4"/>
      <c r="C258" s="56"/>
      <c r="D258" s="4" t="s">
        <v>535</v>
      </c>
      <c r="E258" s="4"/>
      <c r="F258" s="4"/>
      <c r="G258" s="4"/>
      <c r="H258" s="4"/>
      <c r="I258" s="4"/>
      <c r="J258" s="4"/>
      <c r="K258" s="4"/>
      <c r="L258" s="4"/>
      <c r="M258" s="1424" t="s">
        <v>536</v>
      </c>
      <c r="N258" s="1424"/>
      <c r="O258" s="1424"/>
      <c r="P258" s="1424"/>
      <c r="Q258" s="1424"/>
      <c r="R258" s="1424"/>
      <c r="S258" s="1424"/>
      <c r="T258" s="1424"/>
      <c r="U258" s="204" t="s">
        <v>906</v>
      </c>
      <c r="V258" s="204"/>
      <c r="W258" s="204"/>
      <c r="X258" s="204"/>
      <c r="Y258" s="204"/>
      <c r="Z258" s="204"/>
      <c r="AA258" s="1758" t="s">
        <v>2699</v>
      </c>
      <c r="AB258" s="1748"/>
      <c r="AC258" s="1748"/>
      <c r="AD258" s="1748"/>
      <c r="AE258" s="1748"/>
      <c r="AF258" s="1748"/>
      <c r="AG258" s="1748"/>
      <c r="AH258" s="1748"/>
      <c r="AI258" s="1748"/>
      <c r="AJ258" s="1748"/>
      <c r="AK258" s="1748"/>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98</v>
      </c>
      <c r="D260" s="4" t="s">
        <v>955</v>
      </c>
      <c r="E260" s="4"/>
      <c r="F260" s="4"/>
      <c r="G260" s="4"/>
      <c r="H260" s="4"/>
      <c r="I260" s="4"/>
      <c r="J260" s="4"/>
      <c r="K260" s="4"/>
      <c r="L260" s="4"/>
      <c r="M260" s="1465" t="s">
        <v>2835</v>
      </c>
      <c r="N260" s="1466"/>
      <c r="O260" s="1466"/>
      <c r="P260" s="1466"/>
      <c r="Q260" s="1466"/>
      <c r="R260" s="1466"/>
      <c r="S260" s="1466"/>
      <c r="T260" s="1466"/>
      <c r="U260" s="1466"/>
      <c r="V260" s="1466"/>
      <c r="W260" s="1466"/>
      <c r="X260" s="1466"/>
      <c r="Y260" s="1466"/>
      <c r="Z260" s="1466"/>
      <c r="AA260" s="1466"/>
      <c r="AB260" s="1466"/>
      <c r="AC260" s="1466"/>
      <c r="AD260" s="1466"/>
      <c r="AE260" s="1466"/>
      <c r="AF260" s="1466" t="s">
        <v>2702</v>
      </c>
      <c r="AG260" s="1466"/>
      <c r="AH260" s="1466"/>
      <c r="AI260" s="1466"/>
      <c r="AJ260" s="1466"/>
      <c r="AK260" s="1466"/>
      <c r="AU260" s="4"/>
      <c r="AV260" s="4"/>
      <c r="AW260" s="4"/>
      <c r="AX260" s="4"/>
      <c r="AY260" s="4"/>
      <c r="BN260" s="34"/>
    </row>
    <row r="261" spans="1:66" ht="12.9" customHeight="1">
      <c r="A261" s="19"/>
      <c r="B261" s="4"/>
      <c r="C261" s="4"/>
      <c r="D261" s="4" t="s">
        <v>85</v>
      </c>
      <c r="E261" s="4"/>
      <c r="F261" s="4"/>
      <c r="G261" s="4"/>
      <c r="H261" s="4"/>
      <c r="I261" s="4"/>
      <c r="J261" s="4"/>
      <c r="K261" s="4"/>
      <c r="L261" s="4"/>
      <c r="M261" s="1462" t="s">
        <v>2703</v>
      </c>
      <c r="N261" s="1463"/>
      <c r="O261" s="1463"/>
      <c r="P261" s="1463"/>
      <c r="Q261" s="1463"/>
      <c r="R261" s="1463"/>
      <c r="S261" s="1463"/>
      <c r="T261" s="1463"/>
      <c r="U261" s="1463"/>
      <c r="V261" s="1463"/>
      <c r="W261" s="1463"/>
      <c r="X261" s="1463"/>
      <c r="Y261" s="1463"/>
      <c r="Z261" s="1463"/>
      <c r="AA261" s="1463"/>
      <c r="AB261" s="1463"/>
      <c r="AC261" s="1463"/>
      <c r="AD261" s="1463"/>
      <c r="AE261" s="1463"/>
      <c r="AF261" s="3" t="s">
        <v>1178</v>
      </c>
      <c r="AL261" s="4"/>
      <c r="AM261" s="4"/>
      <c r="AN261" s="4"/>
      <c r="AO261" s="4"/>
      <c r="AP261" s="4"/>
      <c r="AQ261" s="4"/>
      <c r="AR261" s="4"/>
      <c r="AS261" s="4"/>
      <c r="AT261" s="4"/>
      <c r="BN261" s="34"/>
    </row>
    <row r="262" spans="1:66" ht="12.9" customHeight="1">
      <c r="A262" s="19"/>
      <c r="B262" s="4"/>
      <c r="C262" s="4"/>
      <c r="D262" s="4" t="s">
        <v>580</v>
      </c>
      <c r="E262" s="4"/>
      <c r="M262" s="1462" t="s">
        <v>2696</v>
      </c>
      <c r="N262" s="1463"/>
      <c r="O262" s="1463"/>
      <c r="P262" s="1463"/>
      <c r="Q262" s="1463"/>
      <c r="R262" s="1463"/>
      <c r="S262" s="1463"/>
      <c r="T262" s="1463"/>
      <c r="V262" s="33" t="s">
        <v>86</v>
      </c>
      <c r="W262" s="1387" t="s">
        <v>2697</v>
      </c>
      <c r="X262" s="1439"/>
      <c r="Y262" s="4" t="s">
        <v>583</v>
      </c>
      <c r="AC262" s="1463">
        <v>92660</v>
      </c>
      <c r="AD262" s="1463"/>
      <c r="AE262" s="1463"/>
      <c r="AF262" s="3" t="s">
        <v>1179</v>
      </c>
      <c r="AU262" s="4"/>
      <c r="AV262" s="4"/>
      <c r="AW262" s="4"/>
      <c r="AX262" s="4"/>
      <c r="AY262" s="4"/>
      <c r="BN262" s="34"/>
    </row>
    <row r="263" spans="1:66" ht="12.9" customHeight="1">
      <c r="A263" s="19"/>
      <c r="B263" s="4"/>
      <c r="C263" s="4"/>
      <c r="D263" s="4" t="s">
        <v>87</v>
      </c>
      <c r="E263" s="4"/>
      <c r="F263" s="4"/>
      <c r="G263" s="4"/>
      <c r="H263" s="4"/>
      <c r="I263" s="4"/>
      <c r="J263" s="4"/>
      <c r="K263" s="4"/>
      <c r="L263" s="19"/>
      <c r="M263" s="1462" t="s">
        <v>2704</v>
      </c>
      <c r="N263" s="1463"/>
      <c r="O263" s="1463"/>
      <c r="P263" s="1463"/>
      <c r="Q263" s="1463"/>
      <c r="R263" s="1463"/>
      <c r="S263" s="1463"/>
      <c r="T263" s="1463"/>
      <c r="U263" s="1463"/>
      <c r="V263" s="1463"/>
      <c r="W263" s="1463"/>
      <c r="X263" s="1463"/>
      <c r="Y263" s="1463"/>
      <c r="Z263" s="1463"/>
      <c r="AA263" s="1463"/>
      <c r="AB263" s="1463"/>
      <c r="AC263" s="1463"/>
      <c r="AD263" s="1463"/>
      <c r="AE263" s="1463"/>
      <c r="AH263" s="1740">
        <v>1E-3</v>
      </c>
      <c r="AI263" s="1740"/>
      <c r="AJ263" s="1740"/>
      <c r="AK263" s="1740"/>
      <c r="AL263" s="4"/>
      <c r="AM263" s="4"/>
      <c r="AN263" s="4"/>
      <c r="AO263" s="4"/>
      <c r="AP263" s="4"/>
      <c r="AQ263" s="4"/>
      <c r="AR263" s="4"/>
      <c r="AS263" s="4"/>
      <c r="AT263" s="4"/>
    </row>
    <row r="264" spans="1:66" ht="12.9" customHeight="1">
      <c r="A264" s="19"/>
      <c r="B264" s="4"/>
      <c r="C264" s="4"/>
      <c r="D264" s="4" t="s">
        <v>88</v>
      </c>
      <c r="E264" s="4"/>
      <c r="F264" s="4"/>
      <c r="M264" s="1453" t="s">
        <v>2705</v>
      </c>
      <c r="N264" s="1454"/>
      <c r="O264" s="1454"/>
      <c r="P264" s="1454"/>
      <c r="Q264" s="1454"/>
      <c r="R264" s="1454"/>
      <c r="S264" s="4" t="s">
        <v>206</v>
      </c>
      <c r="T264" s="4"/>
      <c r="U264" s="1439"/>
      <c r="V264" s="1439"/>
      <c r="W264" s="1439"/>
      <c r="X264" s="4" t="s">
        <v>89</v>
      </c>
      <c r="Z264" s="1454"/>
      <c r="AA264" s="1454"/>
      <c r="AB264" s="1454"/>
      <c r="AC264" s="1454"/>
      <c r="AD264" s="1454"/>
      <c r="AE264" s="1454"/>
      <c r="AU264" s="4"/>
      <c r="AV264" s="4"/>
      <c r="AW264" s="4"/>
      <c r="AX264" s="4"/>
      <c r="AY264" s="4"/>
      <c r="BN264" s="34"/>
    </row>
    <row r="265" spans="1:66" ht="12.9" customHeight="1">
      <c r="A265" s="19"/>
      <c r="B265" s="4"/>
      <c r="C265" s="4"/>
      <c r="D265" s="4" t="s">
        <v>90</v>
      </c>
      <c r="E265" s="4"/>
      <c r="F265" s="4"/>
      <c r="M265" s="1742" t="s">
        <v>2706</v>
      </c>
      <c r="N265" s="1742"/>
      <c r="O265" s="1742"/>
      <c r="P265" s="1742"/>
      <c r="Q265" s="1742"/>
      <c r="R265" s="1742"/>
      <c r="S265" s="1742"/>
      <c r="T265" s="1742"/>
      <c r="U265" s="1742"/>
      <c r="V265" s="1742"/>
      <c r="W265" s="1742"/>
      <c r="X265" s="1742"/>
      <c r="Y265" s="1742"/>
      <c r="Z265" s="1742"/>
      <c r="AA265" s="1742"/>
      <c r="AB265" s="1742"/>
      <c r="AC265" s="1742"/>
      <c r="AD265" s="1742"/>
      <c r="AE265" s="1742"/>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535</v>
      </c>
      <c r="E266" s="4"/>
      <c r="F266" s="4"/>
      <c r="G266" s="4"/>
      <c r="H266" s="4"/>
      <c r="I266" s="4"/>
      <c r="J266" s="4"/>
      <c r="K266" s="4"/>
      <c r="L266" s="4"/>
      <c r="M266" s="1424" t="s">
        <v>534</v>
      </c>
      <c r="N266" s="1424"/>
      <c r="O266" s="1424"/>
      <c r="P266" s="1424"/>
      <c r="Q266" s="1424"/>
      <c r="R266" s="1424"/>
      <c r="S266" s="1424"/>
      <c r="T266" s="1424"/>
      <c r="U266" s="204" t="s">
        <v>906</v>
      </c>
      <c r="V266" s="204"/>
      <c r="W266" s="204"/>
      <c r="X266" s="204"/>
      <c r="Y266" s="204"/>
      <c r="Z266" s="204"/>
      <c r="AA266" s="1758" t="s">
        <v>2707</v>
      </c>
      <c r="AB266" s="1748"/>
      <c r="AC266" s="1748"/>
      <c r="AD266" s="1748"/>
      <c r="AE266" s="1748"/>
      <c r="AF266" s="1748"/>
      <c r="AG266" s="1748"/>
      <c r="AH266" s="1748"/>
      <c r="AI266" s="1748"/>
      <c r="AJ266" s="1748"/>
      <c r="AK266" s="1748"/>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876</v>
      </c>
      <c r="D268" s="4" t="s">
        <v>532</v>
      </c>
      <c r="E268" s="4"/>
      <c r="F268" s="4"/>
      <c r="G268" s="4"/>
      <c r="H268" s="4"/>
      <c r="I268" s="4"/>
      <c r="J268" s="4"/>
      <c r="K268" s="4"/>
      <c r="L268" s="4"/>
      <c r="M268" s="1466"/>
      <c r="N268" s="1466"/>
      <c r="O268" s="1466"/>
      <c r="P268" s="1466"/>
      <c r="Q268" s="1466"/>
      <c r="R268" s="1466"/>
      <c r="S268" s="1466"/>
      <c r="T268" s="1466"/>
      <c r="U268" s="1466"/>
      <c r="V268" s="1466"/>
      <c r="W268" s="1466"/>
      <c r="X268" s="1466"/>
      <c r="Y268" s="1466"/>
      <c r="Z268" s="1466"/>
      <c r="AA268" s="1466"/>
      <c r="AB268" s="1466"/>
      <c r="AC268" s="1466"/>
      <c r="AD268" s="1466"/>
      <c r="AE268" s="1466"/>
      <c r="AF268" s="1466" t="s">
        <v>307</v>
      </c>
      <c r="AG268" s="1466"/>
      <c r="AH268" s="1466"/>
      <c r="AI268" s="1466"/>
      <c r="AJ268" s="1466"/>
      <c r="AK268" s="1466"/>
      <c r="AL268" s="3"/>
      <c r="AM268" s="3"/>
      <c r="AN268" s="3"/>
      <c r="AO268" s="3"/>
      <c r="AP268" s="3"/>
      <c r="AQ268" s="3"/>
      <c r="AR268" s="3"/>
      <c r="AS268" s="3"/>
      <c r="AT268" s="3"/>
      <c r="AU268" s="3"/>
      <c r="AV268" s="3"/>
      <c r="AW268" s="3"/>
      <c r="AX268" s="3"/>
      <c r="AY268" s="3"/>
    </row>
    <row r="269" spans="1:66" ht="12.9" customHeight="1">
      <c r="A269" s="13"/>
      <c r="B269" s="4"/>
      <c r="C269" s="4"/>
      <c r="D269" s="4" t="s">
        <v>85</v>
      </c>
      <c r="E269" s="4"/>
      <c r="F269" s="4"/>
      <c r="G269" s="4"/>
      <c r="H269" s="4"/>
      <c r="I269" s="4"/>
      <c r="J269" s="4"/>
      <c r="K269" s="4"/>
      <c r="L269" s="4"/>
      <c r="M269" s="1463"/>
      <c r="N269" s="1463"/>
      <c r="O269" s="1463"/>
      <c r="P269" s="1463"/>
      <c r="Q269" s="1463"/>
      <c r="R269" s="1463"/>
      <c r="S269" s="1463"/>
      <c r="T269" s="1463"/>
      <c r="U269" s="1463"/>
      <c r="V269" s="1463"/>
      <c r="W269" s="1463"/>
      <c r="X269" s="1463"/>
      <c r="Y269" s="1463"/>
      <c r="Z269" s="1463"/>
      <c r="AA269" s="1463"/>
      <c r="AB269" s="1463"/>
      <c r="AC269" s="1463"/>
      <c r="AD269" s="1463"/>
      <c r="AE269" s="1463"/>
      <c r="AF269" s="3" t="s">
        <v>1178</v>
      </c>
      <c r="AL269" s="3"/>
      <c r="AM269" s="3"/>
      <c r="AN269" s="3"/>
      <c r="AO269" s="3"/>
      <c r="AP269" s="3"/>
      <c r="AQ269" s="3"/>
      <c r="AR269" s="3"/>
      <c r="AS269" s="3"/>
      <c r="AT269" s="3"/>
      <c r="AU269" s="3"/>
      <c r="AV269" s="3"/>
      <c r="AW269" s="3"/>
      <c r="AX269" s="3"/>
      <c r="AY269" s="3"/>
    </row>
    <row r="270" spans="1:66" ht="12.9" customHeight="1">
      <c r="A270" s="13"/>
      <c r="B270" s="4"/>
      <c r="C270" s="4"/>
      <c r="D270" s="4" t="s">
        <v>580</v>
      </c>
      <c r="E270" s="4"/>
      <c r="M270" s="1463"/>
      <c r="N270" s="1463"/>
      <c r="O270" s="1463"/>
      <c r="P270" s="1463"/>
      <c r="Q270" s="1463"/>
      <c r="R270" s="1463"/>
      <c r="S270" s="1463"/>
      <c r="T270" s="1463"/>
      <c r="V270" s="33" t="s">
        <v>86</v>
      </c>
      <c r="W270" s="1439"/>
      <c r="X270" s="1439"/>
      <c r="Y270" s="4" t="s">
        <v>583</v>
      </c>
      <c r="AC270" s="1463"/>
      <c r="AD270" s="1463"/>
      <c r="AE270" s="1463"/>
      <c r="AF270" s="3" t="s">
        <v>1179</v>
      </c>
      <c r="AL270" s="3"/>
      <c r="AM270" s="3"/>
      <c r="AN270" s="3"/>
      <c r="AO270" s="3"/>
      <c r="AP270" s="3"/>
      <c r="AQ270" s="3"/>
      <c r="AR270" s="3"/>
      <c r="AS270" s="3"/>
      <c r="AT270" s="3"/>
      <c r="AU270" s="3"/>
      <c r="AV270" s="3"/>
      <c r="AW270" s="3"/>
      <c r="AX270" s="3"/>
      <c r="AY270" s="3"/>
    </row>
    <row r="271" spans="1:66" ht="12.9" customHeight="1">
      <c r="A271" s="13"/>
      <c r="B271" s="4"/>
      <c r="C271" s="4"/>
      <c r="D271" s="4" t="s">
        <v>87</v>
      </c>
      <c r="E271" s="4"/>
      <c r="F271" s="4"/>
      <c r="G271" s="4"/>
      <c r="H271" s="4"/>
      <c r="I271" s="4"/>
      <c r="J271" s="4"/>
      <c r="K271" s="4"/>
      <c r="L271" s="19"/>
      <c r="M271" s="1463"/>
      <c r="N271" s="1463"/>
      <c r="O271" s="1463"/>
      <c r="P271" s="1463"/>
      <c r="Q271" s="1463"/>
      <c r="R271" s="1463"/>
      <c r="S271" s="1463"/>
      <c r="T271" s="1463"/>
      <c r="U271" s="1463"/>
      <c r="V271" s="1463"/>
      <c r="W271" s="1463"/>
      <c r="X271" s="1463"/>
      <c r="Y271" s="1463"/>
      <c r="Z271" s="1463"/>
      <c r="AA271" s="1463"/>
      <c r="AB271" s="1463"/>
      <c r="AC271" s="1463"/>
      <c r="AD271" s="1463"/>
      <c r="AE271" s="1463"/>
      <c r="AH271" s="1740"/>
      <c r="AI271" s="1740"/>
      <c r="AJ271" s="1740"/>
      <c r="AK271" s="1740"/>
      <c r="AL271" s="3"/>
      <c r="AM271" s="3"/>
      <c r="AN271" s="3"/>
      <c r="AO271" s="3"/>
      <c r="AP271" s="3"/>
      <c r="AQ271" s="3"/>
      <c r="AR271" s="3"/>
      <c r="AS271" s="3"/>
      <c r="AT271" s="3"/>
      <c r="AU271" s="3"/>
      <c r="AV271" s="3"/>
      <c r="AW271" s="3"/>
      <c r="AX271" s="3"/>
      <c r="AY271" s="3"/>
    </row>
    <row r="272" spans="1:66" ht="12.9" customHeight="1">
      <c r="A272" s="13"/>
      <c r="B272" s="4"/>
      <c r="C272" s="4"/>
      <c r="D272" s="4" t="s">
        <v>88</v>
      </c>
      <c r="E272" s="4"/>
      <c r="F272" s="4"/>
      <c r="M272" s="1454"/>
      <c r="N272" s="1454"/>
      <c r="O272" s="1454"/>
      <c r="P272" s="1454"/>
      <c r="Q272" s="1454"/>
      <c r="R272" s="1454"/>
      <c r="S272" s="4" t="s">
        <v>206</v>
      </c>
      <c r="T272" s="4"/>
      <c r="U272" s="1439"/>
      <c r="V272" s="1439"/>
      <c r="W272" s="1439"/>
      <c r="X272" s="4" t="s">
        <v>89</v>
      </c>
      <c r="Z272" s="1454"/>
      <c r="AA272" s="1454"/>
      <c r="AB272" s="1454"/>
      <c r="AC272" s="1454"/>
      <c r="AD272" s="1454"/>
      <c r="AE272" s="1454"/>
      <c r="AL272" s="3"/>
      <c r="AM272" s="3"/>
      <c r="AN272" s="3"/>
      <c r="AO272" s="3"/>
      <c r="AP272" s="3"/>
      <c r="AQ272" s="3"/>
      <c r="AR272" s="3"/>
      <c r="AS272" s="3"/>
      <c r="AT272" s="3"/>
      <c r="AU272" s="3"/>
      <c r="AV272" s="3"/>
      <c r="AW272" s="3"/>
      <c r="AX272" s="3"/>
      <c r="AY272" s="3"/>
    </row>
    <row r="273" spans="1:51" ht="12.9" customHeight="1">
      <c r="A273" s="13"/>
      <c r="B273" s="4"/>
      <c r="C273" s="4"/>
      <c r="D273" s="4" t="s">
        <v>90</v>
      </c>
      <c r="E273" s="4"/>
      <c r="F273" s="4"/>
      <c r="M273" s="1742"/>
      <c r="N273" s="1742"/>
      <c r="O273" s="1742"/>
      <c r="P273" s="1742"/>
      <c r="Q273" s="1742"/>
      <c r="R273" s="1742"/>
      <c r="S273" s="1742"/>
      <c r="T273" s="1742"/>
      <c r="U273" s="1742"/>
      <c r="V273" s="1742"/>
      <c r="W273" s="1742"/>
      <c r="X273" s="1742"/>
      <c r="Y273" s="1742"/>
      <c r="Z273" s="1742"/>
      <c r="AA273" s="1743"/>
      <c r="AB273" s="1743"/>
      <c r="AC273" s="1743"/>
      <c r="AD273" s="1743"/>
      <c r="AE273" s="1743"/>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535</v>
      </c>
      <c r="E274" s="4"/>
      <c r="F274" s="4"/>
      <c r="G274" s="4"/>
      <c r="H274" s="4"/>
      <c r="I274" s="4"/>
      <c r="J274" s="4"/>
      <c r="K274" s="4"/>
      <c r="L274" s="4"/>
      <c r="M274" s="1424" t="s">
        <v>307</v>
      </c>
      <c r="N274" s="1424"/>
      <c r="O274" s="1424"/>
      <c r="P274" s="1424"/>
      <c r="Q274" s="1424"/>
      <c r="R274" s="1424"/>
      <c r="S274" s="1424"/>
      <c r="T274" s="1424"/>
      <c r="U274" s="204" t="s">
        <v>906</v>
      </c>
      <c r="V274" s="204"/>
      <c r="W274" s="204"/>
      <c r="X274" s="204"/>
      <c r="Y274" s="204"/>
      <c r="Z274" s="204"/>
      <c r="AA274" s="1769"/>
      <c r="AB274" s="1769"/>
      <c r="AC274" s="1769"/>
      <c r="AD274" s="1769"/>
      <c r="AE274" s="1769"/>
      <c r="AF274" s="1769"/>
      <c r="AG274" s="1769"/>
      <c r="AH274" s="1769"/>
      <c r="AI274" s="1769"/>
      <c r="AJ274" s="1769"/>
      <c r="AK274" s="1769"/>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590</v>
      </c>
      <c r="B276" s="4"/>
      <c r="C276" s="2" t="s">
        <v>295</v>
      </c>
      <c r="D276" s="4"/>
      <c r="E276" s="4"/>
      <c r="F276" s="4"/>
      <c r="G276" s="4"/>
      <c r="H276" s="4"/>
      <c r="I276" s="4"/>
      <c r="J276" s="4"/>
      <c r="K276" s="4"/>
      <c r="L276" s="4"/>
      <c r="M276" s="35"/>
      <c r="N276" s="35"/>
      <c r="O276" s="35"/>
      <c r="P276" s="35"/>
      <c r="Q276" s="35"/>
      <c r="T276" s="1741" t="str">
        <f>IFERROR(BO254,"")</f>
        <v>Joint Venture</v>
      </c>
      <c r="U276" s="1741"/>
      <c r="V276" s="1741"/>
      <c r="W276" s="1741"/>
      <c r="X276" s="1741"/>
      <c r="Z276" s="307" t="s">
        <v>954</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 customHeight="1">
      <c r="A279" s="4"/>
      <c r="B279" s="36">
        <v>0</v>
      </c>
      <c r="D279" s="1463" t="s">
        <v>173</v>
      </c>
      <c r="E279" s="1463"/>
      <c r="F279" s="1463"/>
      <c r="G279" s="1463"/>
      <c r="H279" s="1463"/>
      <c r="J279" t="s">
        <v>279</v>
      </c>
      <c r="X279" s="1709">
        <v>46357</v>
      </c>
      <c r="Y279" s="1709"/>
      <c r="Z279" s="1709"/>
      <c r="AA279" s="1709"/>
      <c r="AB279" s="1709"/>
      <c r="AC279" s="1709"/>
      <c r="AU279" s="3"/>
      <c r="AV279" s="3"/>
      <c r="AW279" s="3"/>
      <c r="AX279" s="3"/>
      <c r="AY279" s="3"/>
    </row>
    <row r="280" spans="1:51" ht="12.9"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296</v>
      </c>
      <c r="E283" s="4"/>
      <c r="F283" s="4"/>
      <c r="G283" s="4"/>
      <c r="H283" s="4"/>
      <c r="I283" s="4"/>
      <c r="J283" s="4"/>
      <c r="K283" s="4"/>
      <c r="L283" s="1465" t="s">
        <v>2708</v>
      </c>
      <c r="M283" s="1466"/>
      <c r="N283" s="1466"/>
      <c r="O283" s="1466"/>
      <c r="P283" s="1466"/>
      <c r="Q283" s="1466"/>
      <c r="R283" s="1466"/>
      <c r="S283" s="1466"/>
      <c r="T283" s="1466"/>
      <c r="U283" s="1466"/>
      <c r="V283" s="1466"/>
      <c r="W283" s="1466"/>
      <c r="X283" s="1466"/>
      <c r="Y283" s="1466"/>
      <c r="Z283" s="1466"/>
      <c r="AA283" s="1466"/>
      <c r="AB283" s="1466"/>
      <c r="AC283" s="1466"/>
      <c r="AD283" s="1466"/>
      <c r="AE283" s="1466"/>
      <c r="AF283" s="1466"/>
      <c r="AG283" s="1466"/>
      <c r="AH283" s="1466"/>
      <c r="AI283" s="1466"/>
      <c r="AJ283" s="1466"/>
      <c r="AK283" s="3"/>
      <c r="AL283" s="3"/>
      <c r="AM283" s="3"/>
      <c r="AN283" s="3"/>
      <c r="AO283" s="3"/>
      <c r="AP283" s="3"/>
      <c r="AQ283" s="3"/>
      <c r="AR283" s="3"/>
      <c r="AS283" s="3"/>
      <c r="AT283" s="3"/>
      <c r="AU283" s="3"/>
      <c r="AV283" s="3"/>
      <c r="AW283" s="3"/>
      <c r="AX283" s="3"/>
      <c r="AY283" s="3"/>
    </row>
    <row r="284" spans="1:51" ht="12.9" customHeight="1">
      <c r="D284" s="4" t="s">
        <v>85</v>
      </c>
      <c r="E284" s="4"/>
      <c r="F284" s="4"/>
      <c r="G284" s="4"/>
      <c r="H284" s="4"/>
      <c r="I284" s="4"/>
      <c r="J284" s="4"/>
      <c r="K284" s="4"/>
      <c r="L284" s="1462" t="s">
        <v>2709</v>
      </c>
      <c r="M284" s="1463"/>
      <c r="N284" s="1463"/>
      <c r="O284" s="1463"/>
      <c r="P284" s="1463"/>
      <c r="Q284" s="1463"/>
      <c r="R284" s="1463"/>
      <c r="S284" s="1463"/>
      <c r="T284" s="1463"/>
      <c r="U284" s="1463"/>
      <c r="V284" s="1463"/>
      <c r="W284" s="1463"/>
      <c r="X284" s="1463"/>
      <c r="Y284" s="1463"/>
      <c r="Z284" s="1463"/>
      <c r="AA284" s="1463"/>
      <c r="AB284" s="1463"/>
      <c r="AC284" s="1463"/>
      <c r="AD284" s="1463"/>
      <c r="AK284" s="3"/>
      <c r="AL284" s="3"/>
      <c r="AM284" s="3"/>
      <c r="AN284" s="3"/>
      <c r="AO284" s="3"/>
      <c r="AP284" s="3"/>
      <c r="AQ284" s="3"/>
      <c r="AR284" s="3"/>
      <c r="AS284" s="3"/>
      <c r="AT284" s="3"/>
      <c r="AU284" s="3"/>
      <c r="AV284" s="3"/>
      <c r="AW284" s="3"/>
      <c r="AX284" s="3"/>
      <c r="AY284" s="3"/>
    </row>
    <row r="285" spans="1:51" ht="12.9" customHeight="1">
      <c r="D285" s="4" t="s">
        <v>580</v>
      </c>
      <c r="E285" s="4"/>
      <c r="L285" s="1462" t="s">
        <v>68</v>
      </c>
      <c r="M285" s="1463"/>
      <c r="N285" s="1463"/>
      <c r="O285" s="1463"/>
      <c r="P285" s="1463"/>
      <c r="Q285" s="1463"/>
      <c r="R285" s="1463"/>
      <c r="S285" s="1463"/>
      <c r="U285" s="33" t="s">
        <v>86</v>
      </c>
      <c r="V285" s="1387" t="s">
        <v>2697</v>
      </c>
      <c r="W285" s="1439"/>
      <c r="X285" s="4" t="s">
        <v>583</v>
      </c>
      <c r="AB285" s="1463">
        <v>95811</v>
      </c>
      <c r="AC285" s="1463"/>
      <c r="AD285" s="1463"/>
      <c r="AK285" s="3"/>
      <c r="AL285" s="3"/>
      <c r="AM285" s="3"/>
      <c r="AN285" s="3"/>
      <c r="AO285" s="3"/>
      <c r="AP285" s="3"/>
      <c r="AQ285" s="3"/>
      <c r="AR285" s="3"/>
      <c r="AS285" s="3"/>
      <c r="AT285" s="3"/>
      <c r="AU285" s="3"/>
      <c r="AV285" s="3"/>
      <c r="AW285" s="3"/>
      <c r="AX285" s="3"/>
      <c r="AY285" s="3"/>
    </row>
    <row r="286" spans="1:51" ht="12.9" customHeight="1">
      <c r="D286" s="4" t="s">
        <v>87</v>
      </c>
      <c r="E286" s="4"/>
      <c r="F286" s="4"/>
      <c r="G286" s="4"/>
      <c r="H286" s="4"/>
      <c r="I286" s="4"/>
      <c r="J286" s="4"/>
      <c r="K286" s="19"/>
      <c r="L286" s="1462" t="s">
        <v>2710</v>
      </c>
      <c r="M286" s="1463"/>
      <c r="N286" s="1463"/>
      <c r="O286" s="1463"/>
      <c r="P286" s="1463"/>
      <c r="Q286" s="1463"/>
      <c r="R286" s="1463"/>
      <c r="S286" s="1463"/>
      <c r="T286" s="1463"/>
      <c r="U286" s="1463"/>
      <c r="V286" s="1463"/>
      <c r="W286" s="1463"/>
      <c r="X286" s="1463"/>
      <c r="Y286" s="1463"/>
      <c r="Z286" s="1463"/>
      <c r="AA286" s="1463"/>
      <c r="AB286" s="1463"/>
      <c r="AC286" s="1463"/>
      <c r="AD286" s="1463"/>
      <c r="AI286" s="4"/>
      <c r="AJ286" s="4"/>
      <c r="AK286" s="3"/>
      <c r="AL286" s="3"/>
      <c r="AM286" s="3"/>
      <c r="AN286" s="3"/>
      <c r="AO286" s="3"/>
      <c r="AP286" s="3"/>
      <c r="AQ286" s="3"/>
      <c r="AR286" s="3"/>
      <c r="AS286" s="3"/>
      <c r="AT286" s="3"/>
    </row>
    <row r="287" spans="1:51" ht="12.9" customHeight="1">
      <c r="D287" s="4" t="s">
        <v>88</v>
      </c>
      <c r="E287" s="4"/>
      <c r="F287" s="4"/>
      <c r="L287" s="1453" t="s">
        <v>2711</v>
      </c>
      <c r="M287" s="1454"/>
      <c r="N287" s="1454"/>
      <c r="O287" s="1454"/>
      <c r="P287" s="1454"/>
      <c r="Q287" s="1454"/>
      <c r="R287" s="4" t="s">
        <v>206</v>
      </c>
      <c r="S287" s="4"/>
      <c r="T287" s="1439"/>
      <c r="U287" s="1439"/>
      <c r="V287" s="1439"/>
      <c r="W287" s="4" t="s">
        <v>89</v>
      </c>
      <c r="Y287" s="1454"/>
      <c r="Z287" s="1454"/>
      <c r="AA287" s="1454"/>
      <c r="AB287" s="1454"/>
      <c r="AC287" s="1454"/>
      <c r="AD287" s="1454"/>
    </row>
    <row r="288" spans="1:51" ht="12.9" customHeight="1">
      <c r="D288" s="4" t="s">
        <v>90</v>
      </c>
      <c r="E288" s="4"/>
      <c r="F288" s="4"/>
      <c r="L288" s="1742" t="s">
        <v>2712</v>
      </c>
      <c r="M288" s="1742"/>
      <c r="N288" s="1742"/>
      <c r="O288" s="1742"/>
      <c r="P288" s="1742"/>
      <c r="Q288" s="1742"/>
      <c r="R288" s="1742"/>
      <c r="S288" s="1742"/>
      <c r="T288" s="1742"/>
      <c r="U288" s="1742"/>
      <c r="V288" s="1742"/>
      <c r="W288" s="1742"/>
      <c r="X288" s="1742"/>
      <c r="Y288" s="1742"/>
      <c r="Z288" s="1742"/>
      <c r="AA288" s="1742"/>
      <c r="AB288" s="1742"/>
      <c r="AC288" s="1742"/>
      <c r="AD288" s="1742"/>
      <c r="AF288" s="4"/>
      <c r="AG288" s="4"/>
      <c r="AH288" s="4"/>
      <c r="AI288" s="4"/>
      <c r="AJ288" s="4"/>
      <c r="AU288" s="3"/>
      <c r="AV288" s="3"/>
      <c r="AW288" s="3"/>
      <c r="AX288" s="3"/>
      <c r="AY288" s="3"/>
    </row>
    <row r="289" spans="1:51" ht="12.9" customHeight="1">
      <c r="D289" s="3" t="s">
        <v>623</v>
      </c>
      <c r="E289" s="3"/>
      <c r="F289" s="3"/>
      <c r="G289" s="3"/>
      <c r="H289" s="3"/>
      <c r="I289" s="3"/>
      <c r="L289" s="1387" t="s">
        <v>2713</v>
      </c>
      <c r="M289" s="1387"/>
      <c r="N289" s="1387"/>
      <c r="O289" s="1387"/>
      <c r="P289" s="1387"/>
      <c r="Q289" s="1387"/>
      <c r="R289" s="1387"/>
      <c r="S289" s="1387"/>
      <c r="T289" s="1387"/>
      <c r="U289" s="1387"/>
      <c r="V289" s="1387"/>
      <c r="W289" s="1387"/>
      <c r="X289" s="1387"/>
      <c r="Y289" s="1387"/>
      <c r="Z289" s="1387"/>
      <c r="AA289" s="1387"/>
      <c r="AB289" s="1387"/>
      <c r="AC289" s="1387"/>
      <c r="AD289" s="1387"/>
      <c r="AK289" s="3"/>
      <c r="AL289" s="3"/>
      <c r="AM289" s="3"/>
      <c r="AN289" s="3"/>
      <c r="AO289" s="3"/>
      <c r="AP289" s="3"/>
      <c r="AQ289" s="3"/>
      <c r="AR289" s="3"/>
      <c r="AS289" s="3"/>
      <c r="AT289" s="3"/>
    </row>
    <row r="290" spans="1:51" ht="12.9" customHeight="1">
      <c r="L290" s="22" t="s">
        <v>624</v>
      </c>
      <c r="AU290" s="95"/>
      <c r="AV290" s="95"/>
      <c r="AW290" s="95"/>
      <c r="AX290" s="95"/>
      <c r="AY290" s="95"/>
    </row>
    <row r="291" spans="1:51" ht="12.9" customHeight="1">
      <c r="A291" s="1359" t="s">
        <v>541</v>
      </c>
      <c r="B291" s="1359"/>
      <c r="C291" s="1359"/>
      <c r="D291" s="1359"/>
      <c r="E291" s="1359"/>
      <c r="F291" s="1359"/>
      <c r="G291" s="1359"/>
      <c r="H291" s="1359"/>
      <c r="I291" s="1359"/>
      <c r="J291" s="1359"/>
      <c r="K291" s="1359"/>
      <c r="L291" s="1359"/>
      <c r="M291" s="1359"/>
      <c r="N291" s="1359"/>
      <c r="O291" s="1359"/>
      <c r="P291" s="1359"/>
      <c r="Q291" s="1359"/>
      <c r="R291" s="1359"/>
      <c r="S291" s="1359"/>
      <c r="T291" s="1359"/>
      <c r="U291" s="1359"/>
      <c r="V291" s="1359"/>
      <c r="W291" s="1359"/>
      <c r="X291" s="1359"/>
      <c r="Y291" s="1359"/>
      <c r="Z291" s="1359"/>
      <c r="AA291" s="1359"/>
      <c r="AB291" s="1359"/>
      <c r="AC291" s="1359"/>
      <c r="AD291" s="1359"/>
      <c r="AE291" s="1359"/>
      <c r="AF291" s="1359"/>
      <c r="AG291" s="1359"/>
      <c r="AH291" s="1359"/>
      <c r="AI291" s="1359"/>
      <c r="AJ291" s="1359"/>
      <c r="AK291" s="1359"/>
      <c r="AL291" s="1359"/>
      <c r="AM291" s="1359"/>
      <c r="AN291" s="1359"/>
      <c r="AO291" s="1359"/>
      <c r="AP291" s="1359"/>
      <c r="AQ291" s="1359"/>
      <c r="AR291" s="1359"/>
      <c r="AS291" s="1359"/>
      <c r="AT291" s="1359"/>
      <c r="AU291" s="95"/>
      <c r="AV291" s="95"/>
      <c r="AW291" s="95"/>
      <c r="AX291" s="95"/>
      <c r="AY291" s="95"/>
    </row>
    <row r="292" spans="1:51" ht="12.9" customHeight="1">
      <c r="A292" s="1359"/>
      <c r="B292" s="1359"/>
      <c r="C292" s="1359"/>
      <c r="D292" s="1359"/>
      <c r="E292" s="1359"/>
      <c r="F292" s="1359"/>
      <c r="G292" s="1359"/>
      <c r="H292" s="1359"/>
      <c r="I292" s="1359"/>
      <c r="J292" s="1359"/>
      <c r="K292" s="1359"/>
      <c r="L292" s="1359"/>
      <c r="M292" s="1359"/>
      <c r="N292" s="1359"/>
      <c r="O292" s="1359"/>
      <c r="P292" s="1359"/>
      <c r="Q292" s="1359"/>
      <c r="R292" s="1359"/>
      <c r="S292" s="1359"/>
      <c r="T292" s="1359"/>
      <c r="U292" s="1359"/>
      <c r="V292" s="1359"/>
      <c r="W292" s="1359"/>
      <c r="X292" s="1359"/>
      <c r="Y292" s="1359"/>
      <c r="Z292" s="1359"/>
      <c r="AA292" s="1359"/>
      <c r="AB292" s="1359"/>
      <c r="AC292" s="1359"/>
      <c r="AD292" s="1359"/>
      <c r="AE292" s="1359"/>
      <c r="AF292" s="1359"/>
      <c r="AG292" s="1359"/>
      <c r="AH292" s="1359"/>
      <c r="AI292" s="1359"/>
      <c r="AJ292" s="1359"/>
      <c r="AK292" s="1359"/>
      <c r="AL292" s="1359"/>
      <c r="AM292" s="1359"/>
      <c r="AN292" s="1359"/>
      <c r="AO292" s="1359"/>
      <c r="AP292" s="1359"/>
      <c r="AQ292" s="1359"/>
      <c r="AR292" s="1359"/>
      <c r="AS292" s="1359"/>
      <c r="AT292" s="1359"/>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626</v>
      </c>
      <c r="C296" s="3"/>
      <c r="D296" s="3"/>
      <c r="E296" s="3"/>
      <c r="F296" s="3"/>
      <c r="H296" s="1440" t="s">
        <v>2757</v>
      </c>
      <c r="I296" s="1440"/>
      <c r="J296" s="1440"/>
      <c r="K296" s="1440"/>
      <c r="L296" s="1440"/>
      <c r="M296" s="1440"/>
      <c r="N296" s="1440"/>
      <c r="O296" s="1440"/>
      <c r="P296" s="1440"/>
      <c r="Q296" s="1440"/>
      <c r="R296" s="1440"/>
      <c r="T296" s="3" t="s">
        <v>567</v>
      </c>
      <c r="V296" s="3"/>
      <c r="W296" s="3"/>
      <c r="X296" s="3"/>
      <c r="Y296" s="3"/>
      <c r="AA296" s="1440" t="s">
        <v>2760</v>
      </c>
      <c r="AB296" s="1440"/>
      <c r="AC296" s="1440"/>
      <c r="AD296" s="1440"/>
      <c r="AE296" s="1440"/>
      <c r="AF296" s="1440"/>
      <c r="AG296" s="1440"/>
      <c r="AH296" s="1440"/>
      <c r="AI296" s="1440"/>
      <c r="AJ296" s="1440"/>
      <c r="AK296" s="1440"/>
    </row>
    <row r="297" spans="1:51" ht="12.9" customHeight="1">
      <c r="B297" s="3" t="s">
        <v>471</v>
      </c>
      <c r="C297" s="3"/>
      <c r="D297" s="3"/>
      <c r="E297" s="3"/>
      <c r="F297" s="3"/>
      <c r="H297" s="1424" t="s">
        <v>2758</v>
      </c>
      <c r="I297" s="1424"/>
      <c r="J297" s="1424"/>
      <c r="K297" s="1424"/>
      <c r="L297" s="1424"/>
      <c r="M297" s="1424"/>
      <c r="N297" s="1424"/>
      <c r="O297" s="1424"/>
      <c r="P297" s="1424"/>
      <c r="Q297" s="1424"/>
      <c r="R297" s="1424"/>
      <c r="T297" s="3" t="s">
        <v>471</v>
      </c>
      <c r="V297" s="3"/>
      <c r="W297" s="3"/>
      <c r="X297" s="3"/>
      <c r="Y297" s="3"/>
      <c r="AA297" s="1424" t="s">
        <v>2761</v>
      </c>
      <c r="AB297" s="1424"/>
      <c r="AC297" s="1424"/>
      <c r="AD297" s="1424"/>
      <c r="AE297" s="1424"/>
      <c r="AF297" s="1424"/>
      <c r="AG297" s="1424"/>
      <c r="AH297" s="1424"/>
      <c r="AI297" s="1424"/>
      <c r="AJ297" s="1424"/>
      <c r="AK297" s="1424"/>
    </row>
    <row r="298" spans="1:51" ht="12.9" customHeight="1">
      <c r="B298" s="3" t="s">
        <v>472</v>
      </c>
      <c r="C298" s="3"/>
      <c r="D298" s="3"/>
      <c r="E298" s="3"/>
      <c r="F298" s="3"/>
      <c r="H298" s="1424" t="s">
        <v>2715</v>
      </c>
      <c r="I298" s="1424"/>
      <c r="J298" s="1424"/>
      <c r="K298" s="1424"/>
      <c r="L298" s="1424"/>
      <c r="M298" s="1424"/>
      <c r="N298" s="1424"/>
      <c r="O298" s="1424"/>
      <c r="P298" s="1424"/>
      <c r="Q298" s="1424"/>
      <c r="R298" s="1424"/>
      <c r="T298" s="3" t="s">
        <v>75</v>
      </c>
      <c r="V298" s="3"/>
      <c r="W298" s="3"/>
      <c r="X298" s="3"/>
      <c r="Y298" s="3"/>
      <c r="AA298" s="1424" t="s">
        <v>2762</v>
      </c>
      <c r="AB298" s="1424"/>
      <c r="AC298" s="1424"/>
      <c r="AD298" s="1424"/>
      <c r="AE298" s="1424"/>
      <c r="AF298" s="1424"/>
      <c r="AG298" s="1424"/>
      <c r="AH298" s="1424"/>
      <c r="AI298" s="1424"/>
      <c r="AJ298" s="1424"/>
      <c r="AK298" s="1424"/>
    </row>
    <row r="299" spans="1:51" ht="12.9" customHeight="1">
      <c r="B299" s="3" t="s">
        <v>87</v>
      </c>
      <c r="C299" s="3"/>
      <c r="D299" s="3"/>
      <c r="E299" s="3"/>
      <c r="F299" s="3"/>
      <c r="H299" s="1424" t="s">
        <v>2759</v>
      </c>
      <c r="I299" s="1424"/>
      <c r="J299" s="1424"/>
      <c r="K299" s="1424"/>
      <c r="L299" s="1424"/>
      <c r="M299" s="1424"/>
      <c r="N299" s="1424"/>
      <c r="O299" s="1424"/>
      <c r="P299" s="1424"/>
      <c r="Q299" s="1424"/>
      <c r="R299" s="1424"/>
      <c r="T299" s="3" t="s">
        <v>87</v>
      </c>
      <c r="V299" s="3"/>
      <c r="W299" s="3"/>
      <c r="X299" s="3"/>
      <c r="Y299" s="3"/>
      <c r="AA299" s="1424" t="s">
        <v>2763</v>
      </c>
      <c r="AB299" s="1424"/>
      <c r="AC299" s="1424"/>
      <c r="AD299" s="1424"/>
      <c r="AE299" s="1424"/>
      <c r="AF299" s="1424"/>
      <c r="AG299" s="1424"/>
      <c r="AH299" s="1424"/>
      <c r="AI299" s="1424"/>
      <c r="AJ299" s="1424"/>
      <c r="AK299" s="1424"/>
    </row>
    <row r="300" spans="1:51" ht="12.9" customHeight="1">
      <c r="B300" s="3" t="s">
        <v>88</v>
      </c>
      <c r="C300" s="3"/>
      <c r="D300" s="3"/>
      <c r="E300" s="3"/>
      <c r="F300" s="3"/>
      <c r="G300" s="3"/>
      <c r="H300" s="1738" t="s">
        <v>2700</v>
      </c>
      <c r="I300" s="1738"/>
      <c r="J300" s="1738"/>
      <c r="K300" s="1738"/>
      <c r="L300" s="1738"/>
      <c r="M300" s="1738"/>
      <c r="N300" s="4" t="s">
        <v>206</v>
      </c>
      <c r="O300" s="4"/>
      <c r="P300" s="1463"/>
      <c r="Q300" s="1463"/>
      <c r="R300" s="1463"/>
      <c r="S300" s="3"/>
      <c r="T300" s="3" t="s">
        <v>88</v>
      </c>
      <c r="V300" s="3"/>
      <c r="W300" s="3"/>
      <c r="X300" s="3"/>
      <c r="Y300" s="3"/>
      <c r="AA300" s="1738" t="s">
        <v>2767</v>
      </c>
      <c r="AB300" s="1738"/>
      <c r="AC300" s="1738"/>
      <c r="AD300" s="1738"/>
      <c r="AE300" s="1738"/>
      <c r="AF300" s="1738"/>
      <c r="AG300" s="4" t="s">
        <v>206</v>
      </c>
      <c r="AH300" s="4"/>
      <c r="AI300" s="1463"/>
      <c r="AJ300" s="1463"/>
      <c r="AK300" s="1463"/>
    </row>
    <row r="301" spans="1:51" ht="12.9" customHeight="1">
      <c r="B301" s="3" t="s">
        <v>89</v>
      </c>
      <c r="C301" s="3"/>
      <c r="D301" s="3"/>
      <c r="E301" s="3"/>
      <c r="F301" s="3"/>
      <c r="G301" s="3"/>
      <c r="H301" s="1454"/>
      <c r="I301" s="1454"/>
      <c r="J301" s="1454"/>
      <c r="K301" s="1454"/>
      <c r="L301" s="1454"/>
      <c r="M301" s="1454"/>
      <c r="N301" s="4"/>
      <c r="O301" s="4"/>
      <c r="P301" s="35"/>
      <c r="Q301" s="35"/>
      <c r="R301" s="35"/>
      <c r="S301" s="3"/>
      <c r="T301" s="3" t="s">
        <v>89</v>
      </c>
      <c r="V301" s="3"/>
      <c r="W301" s="3"/>
      <c r="X301" s="3"/>
      <c r="Y301" s="3"/>
      <c r="AA301" s="1454"/>
      <c r="AB301" s="1454"/>
      <c r="AC301" s="1454"/>
      <c r="AD301" s="1454"/>
      <c r="AE301" s="1454"/>
      <c r="AF301" s="1454"/>
      <c r="AG301" s="4"/>
      <c r="AH301" s="4"/>
      <c r="AI301" s="35"/>
      <c r="AJ301" s="35"/>
      <c r="AK301" s="35"/>
    </row>
    <row r="302" spans="1:51" ht="12.9" customHeight="1">
      <c r="B302" s="3" t="s">
        <v>76</v>
      </c>
      <c r="C302" s="3"/>
      <c r="D302" s="3"/>
      <c r="E302" s="3"/>
      <c r="F302" s="3"/>
      <c r="G302" s="3"/>
      <c r="H302" s="1424" t="s">
        <v>2701</v>
      </c>
      <c r="I302" s="1424"/>
      <c r="J302" s="1424"/>
      <c r="K302" s="1424"/>
      <c r="L302" s="1424"/>
      <c r="M302" s="1424"/>
      <c r="N302" s="1440"/>
      <c r="O302" s="1440"/>
      <c r="P302" s="1440"/>
      <c r="Q302" s="1440"/>
      <c r="R302" s="1440"/>
      <c r="S302" s="3"/>
      <c r="T302" s="3" t="s">
        <v>76</v>
      </c>
      <c r="V302" s="3"/>
      <c r="W302" s="3"/>
      <c r="X302" s="3"/>
      <c r="Y302" s="3"/>
      <c r="AA302" s="251" t="s">
        <v>2768</v>
      </c>
      <c r="AB302" s="251"/>
      <c r="AC302" s="251"/>
      <c r="AD302" s="251"/>
      <c r="AE302" s="251"/>
      <c r="AF302" s="251"/>
      <c r="AG302" s="1285"/>
      <c r="AH302" s="1285"/>
      <c r="AI302" s="1285"/>
      <c r="AJ302" s="1285"/>
      <c r="AK302" s="1285"/>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323</v>
      </c>
      <c r="C304" s="3"/>
      <c r="D304" s="3"/>
      <c r="E304" s="3"/>
      <c r="F304" s="3"/>
      <c r="H304" s="1440" t="s">
        <v>2764</v>
      </c>
      <c r="I304" s="1440"/>
      <c r="J304" s="1440"/>
      <c r="K304" s="1440"/>
      <c r="L304" s="1440"/>
      <c r="M304" s="1440"/>
      <c r="N304" s="1440"/>
      <c r="O304" s="1440"/>
      <c r="P304" s="1440"/>
      <c r="Q304" s="1440"/>
      <c r="R304" s="1440"/>
      <c r="T304" s="3" t="s">
        <v>364</v>
      </c>
      <c r="V304" s="3"/>
      <c r="W304" s="3"/>
      <c r="X304" s="3"/>
      <c r="Y304" s="3"/>
      <c r="AA304" s="1440"/>
      <c r="AB304" s="1440"/>
      <c r="AC304" s="1440"/>
      <c r="AD304" s="1440"/>
      <c r="AE304" s="1440"/>
      <c r="AF304" s="1440"/>
      <c r="AG304" s="1440"/>
      <c r="AH304" s="1440"/>
      <c r="AI304" s="1440"/>
      <c r="AJ304" s="1440"/>
      <c r="AK304" s="1440"/>
    </row>
    <row r="305" spans="2:72" ht="12.9" customHeight="1">
      <c r="B305" s="3" t="s">
        <v>471</v>
      </c>
      <c r="C305" s="3"/>
      <c r="D305" s="3"/>
      <c r="E305" s="3"/>
      <c r="F305" s="3"/>
      <c r="H305" s="1424" t="s">
        <v>2709</v>
      </c>
      <c r="I305" s="1424"/>
      <c r="J305" s="1424"/>
      <c r="K305" s="1424"/>
      <c r="L305" s="1424"/>
      <c r="M305" s="1424"/>
      <c r="N305" s="1424"/>
      <c r="O305" s="1424"/>
      <c r="P305" s="1424"/>
      <c r="Q305" s="1424"/>
      <c r="R305" s="1424"/>
      <c r="T305" s="3" t="s">
        <v>471</v>
      </c>
      <c r="V305" s="3"/>
      <c r="W305" s="3"/>
      <c r="X305" s="3"/>
      <c r="Y305" s="3"/>
      <c r="AA305" s="1424"/>
      <c r="AB305" s="1424"/>
      <c r="AC305" s="1424"/>
      <c r="AD305" s="1424"/>
      <c r="AE305" s="1424"/>
      <c r="AF305" s="1424"/>
      <c r="AG305" s="1424"/>
      <c r="AH305" s="1424"/>
      <c r="AI305" s="1424"/>
      <c r="AJ305" s="1424"/>
      <c r="AK305" s="142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 customHeight="1">
      <c r="B306" s="3" t="s">
        <v>472</v>
      </c>
      <c r="C306" s="3"/>
      <c r="D306" s="3"/>
      <c r="E306" s="3"/>
      <c r="F306" s="3"/>
      <c r="H306" s="1424" t="s">
        <v>2765</v>
      </c>
      <c r="I306" s="1424"/>
      <c r="J306" s="1424"/>
      <c r="K306" s="1424"/>
      <c r="L306" s="1424"/>
      <c r="M306" s="1424"/>
      <c r="N306" s="1424"/>
      <c r="O306" s="1424"/>
      <c r="P306" s="1424"/>
      <c r="Q306" s="1424"/>
      <c r="R306" s="1424"/>
      <c r="T306" s="3" t="s">
        <v>75</v>
      </c>
      <c r="V306" s="3"/>
      <c r="W306" s="3"/>
      <c r="X306" s="3"/>
      <c r="Y306" s="3"/>
      <c r="AA306" s="1424"/>
      <c r="AB306" s="1424"/>
      <c r="AC306" s="1424"/>
      <c r="AD306" s="1424"/>
      <c r="AE306" s="1424"/>
      <c r="AF306" s="1424"/>
      <c r="AG306" s="1424"/>
      <c r="AH306" s="1424"/>
      <c r="AI306" s="1424"/>
      <c r="AJ306" s="1424"/>
      <c r="AK306" s="142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 customHeight="1">
      <c r="B307" s="3" t="s">
        <v>87</v>
      </c>
      <c r="C307" s="3"/>
      <c r="D307" s="3"/>
      <c r="E307" s="3"/>
      <c r="F307" s="3"/>
      <c r="H307" s="1424" t="s">
        <v>2766</v>
      </c>
      <c r="I307" s="1424"/>
      <c r="J307" s="1424"/>
      <c r="K307" s="1424"/>
      <c r="L307" s="1424"/>
      <c r="M307" s="1424"/>
      <c r="N307" s="1424"/>
      <c r="O307" s="1424"/>
      <c r="P307" s="1424"/>
      <c r="Q307" s="1424"/>
      <c r="R307" s="1424"/>
      <c r="T307" s="3" t="s">
        <v>87</v>
      </c>
      <c r="V307" s="3"/>
      <c r="W307" s="3"/>
      <c r="X307" s="3"/>
      <c r="Y307" s="3"/>
      <c r="AA307" s="1424"/>
      <c r="AB307" s="1424"/>
      <c r="AC307" s="1424"/>
      <c r="AD307" s="1424"/>
      <c r="AE307" s="1424"/>
      <c r="AF307" s="1424"/>
      <c r="AG307" s="1424"/>
      <c r="AH307" s="1424"/>
      <c r="AI307" s="1424"/>
      <c r="AJ307" s="1424"/>
      <c r="AK307" s="1424"/>
    </row>
    <row r="308" spans="2:72" ht="12.9" customHeight="1">
      <c r="B308" s="3" t="s">
        <v>88</v>
      </c>
      <c r="C308" s="3"/>
      <c r="D308" s="3"/>
      <c r="E308" s="3"/>
      <c r="F308" s="3"/>
      <c r="G308" s="3"/>
      <c r="H308" s="1738" t="s">
        <v>2774</v>
      </c>
      <c r="I308" s="1469"/>
      <c r="J308" s="1469"/>
      <c r="K308" s="1469"/>
      <c r="L308" s="1469"/>
      <c r="M308" s="1469"/>
      <c r="N308" s="4" t="s">
        <v>206</v>
      </c>
      <c r="O308" s="4"/>
      <c r="P308" s="1463"/>
      <c r="Q308" s="1463"/>
      <c r="R308" s="1463"/>
      <c r="S308" s="3"/>
      <c r="T308" s="3" t="s">
        <v>88</v>
      </c>
      <c r="V308" s="3"/>
      <c r="W308" s="3"/>
      <c r="X308" s="3"/>
      <c r="Y308" s="3"/>
      <c r="AA308" s="1469"/>
      <c r="AB308" s="1469"/>
      <c r="AC308" s="1469"/>
      <c r="AD308" s="1469"/>
      <c r="AE308" s="1469"/>
      <c r="AF308" s="1469"/>
      <c r="AG308" s="4" t="s">
        <v>206</v>
      </c>
      <c r="AH308" s="4"/>
      <c r="AI308" s="1463"/>
      <c r="AJ308" s="1463"/>
      <c r="AK308" s="1463"/>
    </row>
    <row r="309" spans="2:72" ht="12.9" customHeight="1">
      <c r="B309" s="3" t="s">
        <v>89</v>
      </c>
      <c r="C309" s="3"/>
      <c r="D309" s="3"/>
      <c r="E309" s="3"/>
      <c r="F309" s="3"/>
      <c r="G309" s="3"/>
      <c r="H309" s="1454"/>
      <c r="I309" s="1454"/>
      <c r="J309" s="1454"/>
      <c r="K309" s="1454"/>
      <c r="L309" s="1454"/>
      <c r="M309" s="1454"/>
      <c r="N309" s="4"/>
      <c r="O309" s="4"/>
      <c r="P309" s="35"/>
      <c r="Q309" s="35"/>
      <c r="R309" s="35"/>
      <c r="S309" s="3"/>
      <c r="T309" s="3" t="s">
        <v>89</v>
      </c>
      <c r="V309" s="3"/>
      <c r="W309" s="3"/>
      <c r="X309" s="3"/>
      <c r="Y309" s="3"/>
      <c r="AA309" s="1454"/>
      <c r="AB309" s="1454"/>
      <c r="AC309" s="1454"/>
      <c r="AD309" s="1454"/>
      <c r="AE309" s="1454"/>
      <c r="AF309" s="1454"/>
      <c r="AG309" s="4"/>
      <c r="AH309" s="4"/>
      <c r="AI309" s="35"/>
      <c r="AJ309" s="35"/>
      <c r="AK309" s="35"/>
    </row>
    <row r="310" spans="2:72" ht="12.9" customHeight="1">
      <c r="B310" s="3" t="s">
        <v>76</v>
      </c>
      <c r="C310" s="3"/>
      <c r="D310" s="3"/>
      <c r="E310" s="3"/>
      <c r="F310" s="3"/>
      <c r="G310" s="3"/>
      <c r="H310" s="1424" t="s">
        <v>2776</v>
      </c>
      <c r="I310" s="1424"/>
      <c r="J310" s="1424"/>
      <c r="K310" s="1424"/>
      <c r="L310" s="1424"/>
      <c r="M310" s="1424"/>
      <c r="N310" s="1440"/>
      <c r="O310" s="1440"/>
      <c r="P310" s="1440"/>
      <c r="Q310" s="1440"/>
      <c r="R310" s="1440"/>
      <c r="S310" s="3"/>
      <c r="T310" s="3" t="s">
        <v>76</v>
      </c>
      <c r="V310" s="3"/>
      <c r="W310" s="3"/>
      <c r="X310" s="3"/>
      <c r="Y310" s="3"/>
      <c r="AA310" s="1424"/>
      <c r="AB310" s="1424"/>
      <c r="AC310" s="1424"/>
      <c r="AD310" s="1424"/>
      <c r="AE310" s="1424"/>
      <c r="AF310" s="1424"/>
      <c r="AG310" s="1440"/>
      <c r="AH310" s="1440"/>
      <c r="AI310" s="1440"/>
      <c r="AJ310" s="1440"/>
      <c r="AK310" s="1440"/>
    </row>
    <row r="311" spans="2:72" ht="12.9" customHeight="1"/>
    <row r="312" spans="2:72" ht="12.9" customHeight="1">
      <c r="B312" s="3" t="s">
        <v>77</v>
      </c>
      <c r="C312" s="3"/>
      <c r="D312" s="3"/>
      <c r="E312" s="3"/>
      <c r="F312" s="3"/>
      <c r="H312" s="1440" t="s">
        <v>2764</v>
      </c>
      <c r="I312" s="1440"/>
      <c r="J312" s="1440"/>
      <c r="K312" s="1440"/>
      <c r="L312" s="1440"/>
      <c r="M312" s="1440"/>
      <c r="N312" s="1440"/>
      <c r="O312" s="1440"/>
      <c r="P312" s="1440"/>
      <c r="Q312" s="1440"/>
      <c r="R312" s="1440"/>
      <c r="T312" s="4" t="s">
        <v>878</v>
      </c>
      <c r="V312" s="3"/>
      <c r="W312" s="3"/>
      <c r="X312" s="3"/>
      <c r="Y312" s="3"/>
      <c r="AA312" s="1440"/>
      <c r="AB312" s="1440"/>
      <c r="AC312" s="1440"/>
      <c r="AD312" s="1440"/>
      <c r="AE312" s="1440"/>
      <c r="AF312" s="1440"/>
      <c r="AG312" s="1440"/>
      <c r="AH312" s="1440"/>
      <c r="AI312" s="1440"/>
      <c r="AJ312" s="1440"/>
      <c r="AK312" s="1440"/>
    </row>
    <row r="313" spans="2:72" ht="12.9" customHeight="1">
      <c r="B313" s="3" t="s">
        <v>471</v>
      </c>
      <c r="C313" s="3"/>
      <c r="D313" s="3"/>
      <c r="E313" s="3"/>
      <c r="F313" s="3"/>
      <c r="H313" s="1424" t="s">
        <v>2709</v>
      </c>
      <c r="I313" s="1424"/>
      <c r="J313" s="1424"/>
      <c r="K313" s="1424"/>
      <c r="L313" s="1424"/>
      <c r="M313" s="1424"/>
      <c r="N313" s="1424"/>
      <c r="O313" s="1424"/>
      <c r="P313" s="1424"/>
      <c r="Q313" s="1424"/>
      <c r="R313" s="1424"/>
      <c r="T313" s="3" t="s">
        <v>471</v>
      </c>
      <c r="V313" s="3"/>
      <c r="W313" s="3"/>
      <c r="X313" s="3"/>
      <c r="Y313" s="3"/>
      <c r="AA313" s="1424"/>
      <c r="AB313" s="1424"/>
      <c r="AC313" s="1424"/>
      <c r="AD313" s="1424"/>
      <c r="AE313" s="1424"/>
      <c r="AF313" s="1424"/>
      <c r="AG313" s="1424"/>
      <c r="AH313" s="1424"/>
      <c r="AI313" s="1424"/>
      <c r="AJ313" s="1424"/>
      <c r="AK313" s="1424"/>
    </row>
    <row r="314" spans="2:72" ht="12.9" customHeight="1">
      <c r="B314" s="3" t="s">
        <v>472</v>
      </c>
      <c r="C314" s="3"/>
      <c r="D314" s="3"/>
      <c r="E314" s="3"/>
      <c r="F314" s="3"/>
      <c r="H314" s="1424" t="s">
        <v>2765</v>
      </c>
      <c r="I314" s="1424"/>
      <c r="J314" s="1424"/>
      <c r="K314" s="1424"/>
      <c r="L314" s="1424"/>
      <c r="M314" s="1424"/>
      <c r="N314" s="1424"/>
      <c r="O314" s="1424"/>
      <c r="P314" s="1424"/>
      <c r="Q314" s="1424"/>
      <c r="R314" s="1424"/>
      <c r="T314" s="3" t="s">
        <v>75</v>
      </c>
      <c r="V314" s="3"/>
      <c r="W314" s="3"/>
      <c r="X314" s="3"/>
      <c r="Y314" s="3"/>
      <c r="AA314" s="1424"/>
      <c r="AB314" s="1424"/>
      <c r="AC314" s="1424"/>
      <c r="AD314" s="1424"/>
      <c r="AE314" s="1424"/>
      <c r="AF314" s="1424"/>
      <c r="AG314" s="1424"/>
      <c r="AH314" s="1424"/>
      <c r="AI314" s="1424"/>
      <c r="AJ314" s="1424"/>
      <c r="AK314" s="1424"/>
    </row>
    <row r="315" spans="2:72" ht="12.9" customHeight="1">
      <c r="B315" s="3" t="s">
        <v>87</v>
      </c>
      <c r="C315" s="3"/>
      <c r="D315" s="3"/>
      <c r="E315" s="3"/>
      <c r="F315" s="3"/>
      <c r="H315" s="1424" t="s">
        <v>2766</v>
      </c>
      <c r="I315" s="1424"/>
      <c r="J315" s="1424"/>
      <c r="K315" s="1424"/>
      <c r="L315" s="1424"/>
      <c r="M315" s="1424"/>
      <c r="N315" s="1424"/>
      <c r="O315" s="1424"/>
      <c r="P315" s="1424"/>
      <c r="Q315" s="1424"/>
      <c r="R315" s="1424"/>
      <c r="T315" s="3" t="s">
        <v>87</v>
      </c>
      <c r="V315" s="3"/>
      <c r="W315" s="3"/>
      <c r="X315" s="3"/>
      <c r="Y315" s="3"/>
      <c r="AA315" s="1424"/>
      <c r="AB315" s="1424"/>
      <c r="AC315" s="1424"/>
      <c r="AD315" s="1424"/>
      <c r="AE315" s="1424"/>
      <c r="AF315" s="1424"/>
      <c r="AG315" s="1424"/>
      <c r="AH315" s="1424"/>
      <c r="AI315" s="1424"/>
      <c r="AJ315" s="1424"/>
      <c r="AK315" s="1424"/>
    </row>
    <row r="316" spans="2:72" ht="12.9" customHeight="1">
      <c r="B316" s="3" t="s">
        <v>88</v>
      </c>
      <c r="C316" s="3"/>
      <c r="D316" s="3"/>
      <c r="E316" s="3"/>
      <c r="F316" s="3"/>
      <c r="G316" s="3"/>
      <c r="H316" s="1738" t="s">
        <v>2774</v>
      </c>
      <c r="I316" s="1469"/>
      <c r="J316" s="1469"/>
      <c r="K316" s="1469"/>
      <c r="L316" s="1469"/>
      <c r="M316" s="1469"/>
      <c r="N316" s="4" t="s">
        <v>206</v>
      </c>
      <c r="O316" s="4"/>
      <c r="P316" s="1463"/>
      <c r="Q316" s="1463"/>
      <c r="R316" s="1463"/>
      <c r="S316" s="3"/>
      <c r="T316" s="3" t="s">
        <v>88</v>
      </c>
      <c r="V316" s="3"/>
      <c r="W316" s="3"/>
      <c r="X316" s="3"/>
      <c r="Y316" s="3"/>
      <c r="AA316" s="1469"/>
      <c r="AB316" s="1469"/>
      <c r="AC316" s="1469"/>
      <c r="AD316" s="1469"/>
      <c r="AE316" s="1469"/>
      <c r="AF316" s="1469"/>
      <c r="AG316" s="4" t="s">
        <v>206</v>
      </c>
      <c r="AH316" s="4"/>
      <c r="AI316" s="1463"/>
      <c r="AJ316" s="1463"/>
      <c r="AK316" s="1463"/>
    </row>
    <row r="317" spans="2:72" ht="12.9" customHeight="1">
      <c r="B317" s="3" t="s">
        <v>89</v>
      </c>
      <c r="C317" s="3"/>
      <c r="D317" s="3"/>
      <c r="E317" s="3"/>
      <c r="F317" s="3"/>
      <c r="G317" s="3"/>
      <c r="H317" s="1454"/>
      <c r="I317" s="1454"/>
      <c r="J317" s="1454"/>
      <c r="K317" s="1454"/>
      <c r="L317" s="1454"/>
      <c r="M317" s="1454"/>
      <c r="N317" s="4"/>
      <c r="O317" s="4"/>
      <c r="P317" s="35"/>
      <c r="Q317" s="35"/>
      <c r="R317" s="35"/>
      <c r="S317" s="3"/>
      <c r="T317" s="3" t="s">
        <v>89</v>
      </c>
      <c r="V317" s="3"/>
      <c r="W317" s="3"/>
      <c r="X317" s="3"/>
      <c r="Y317" s="3"/>
      <c r="AA317" s="1454"/>
      <c r="AB317" s="1454"/>
      <c r="AC317" s="1454"/>
      <c r="AD317" s="1454"/>
      <c r="AE317" s="1454"/>
      <c r="AF317" s="1454"/>
      <c r="AG317" s="4"/>
      <c r="AH317" s="4"/>
      <c r="AI317" s="35"/>
      <c r="AJ317" s="35"/>
      <c r="AK317" s="35"/>
    </row>
    <row r="318" spans="2:72" ht="12.9" customHeight="1">
      <c r="B318" s="3" t="s">
        <v>76</v>
      </c>
      <c r="C318" s="3"/>
      <c r="D318" s="3"/>
      <c r="E318" s="3"/>
      <c r="F318" s="3"/>
      <c r="G318" s="3"/>
      <c r="H318" s="1424" t="s">
        <v>2776</v>
      </c>
      <c r="I318" s="1424"/>
      <c r="J318" s="1424"/>
      <c r="K318" s="1424"/>
      <c r="L318" s="1424"/>
      <c r="M318" s="1424"/>
      <c r="N318" s="1440"/>
      <c r="O318" s="1440"/>
      <c r="P318" s="1440"/>
      <c r="Q318" s="1440"/>
      <c r="R318" s="1440"/>
      <c r="S318" s="3"/>
      <c r="T318" s="3" t="s">
        <v>76</v>
      </c>
      <c r="V318" s="3"/>
      <c r="W318" s="3"/>
      <c r="X318" s="3"/>
      <c r="Y318" s="3"/>
      <c r="AA318" s="1424"/>
      <c r="AB318" s="1424"/>
      <c r="AC318" s="1424"/>
      <c r="AD318" s="1424"/>
      <c r="AE318" s="1424"/>
      <c r="AF318" s="1424"/>
      <c r="AG318" s="1440"/>
      <c r="AH318" s="1440"/>
      <c r="AI318" s="1440"/>
      <c r="AJ318" s="1440"/>
      <c r="AK318" s="1440"/>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907</v>
      </c>
      <c r="C320" s="3"/>
      <c r="D320" s="3"/>
      <c r="E320" s="3"/>
      <c r="F320" s="3"/>
      <c r="H320" s="1440" t="s">
        <v>2769</v>
      </c>
      <c r="I320" s="1440"/>
      <c r="J320" s="1440"/>
      <c r="K320" s="1440"/>
      <c r="L320" s="1440"/>
      <c r="M320" s="1440"/>
      <c r="N320" s="1440"/>
      <c r="O320" s="1440"/>
      <c r="P320" s="1440"/>
      <c r="Q320" s="1440"/>
      <c r="R320" s="1440"/>
      <c r="S320" s="3"/>
      <c r="T320" s="3" t="s">
        <v>365</v>
      </c>
      <c r="V320" s="3"/>
      <c r="W320" s="3"/>
      <c r="X320" s="3"/>
      <c r="Y320" s="3"/>
      <c r="AA320" s="1440" t="s">
        <v>2791</v>
      </c>
      <c r="AB320" s="1440"/>
      <c r="AC320" s="1440"/>
      <c r="AD320" s="1440"/>
      <c r="AE320" s="1440"/>
      <c r="AF320" s="1440"/>
      <c r="AG320" s="1440"/>
      <c r="AH320" s="1440"/>
      <c r="AI320" s="1440"/>
      <c r="AJ320" s="1440"/>
      <c r="AK320" s="1440"/>
    </row>
    <row r="321" spans="2:37" ht="12.9" customHeight="1">
      <c r="B321" s="3" t="s">
        <v>471</v>
      </c>
      <c r="C321" s="3"/>
      <c r="D321" s="3"/>
      <c r="E321" s="3"/>
      <c r="F321" s="3"/>
      <c r="H321" s="1424" t="s">
        <v>2770</v>
      </c>
      <c r="I321" s="1424"/>
      <c r="J321" s="1424"/>
      <c r="K321" s="1424"/>
      <c r="L321" s="1424"/>
      <c r="M321" s="1424"/>
      <c r="N321" s="1424"/>
      <c r="O321" s="1424"/>
      <c r="P321" s="1424"/>
      <c r="Q321" s="1424"/>
      <c r="R321" s="1424"/>
      <c r="S321" s="3"/>
      <c r="T321" s="3" t="s">
        <v>471</v>
      </c>
      <c r="V321" s="3"/>
      <c r="W321" s="3"/>
      <c r="X321" s="3"/>
      <c r="Y321" s="3"/>
      <c r="AA321" s="1424" t="s">
        <v>2792</v>
      </c>
      <c r="AB321" s="1424"/>
      <c r="AC321" s="1424"/>
      <c r="AD321" s="1424"/>
      <c r="AE321" s="1424"/>
      <c r="AF321" s="1424"/>
      <c r="AG321" s="1424"/>
      <c r="AH321" s="1424"/>
      <c r="AI321" s="1424"/>
      <c r="AJ321" s="1424"/>
      <c r="AK321" s="1424"/>
    </row>
    <row r="322" spans="2:37" ht="12.9" customHeight="1">
      <c r="B322" s="3" t="s">
        <v>472</v>
      </c>
      <c r="C322" s="3"/>
      <c r="D322" s="3"/>
      <c r="E322" s="3"/>
      <c r="F322" s="3"/>
      <c r="H322" s="1424" t="s">
        <v>2771</v>
      </c>
      <c r="I322" s="1424"/>
      <c r="J322" s="1424"/>
      <c r="K322" s="1424"/>
      <c r="L322" s="1424"/>
      <c r="M322" s="1424"/>
      <c r="N322" s="1424"/>
      <c r="O322" s="1424"/>
      <c r="P322" s="1424"/>
      <c r="Q322" s="1424"/>
      <c r="R322" s="1424"/>
      <c r="S322" s="3"/>
      <c r="T322" s="3" t="s">
        <v>75</v>
      </c>
      <c r="V322" s="3"/>
      <c r="W322" s="3"/>
      <c r="X322" s="3"/>
      <c r="Y322" s="3"/>
      <c r="AA322" s="1424" t="s">
        <v>2715</v>
      </c>
      <c r="AB322" s="1424"/>
      <c r="AC322" s="1424"/>
      <c r="AD322" s="1424"/>
      <c r="AE322" s="1424"/>
      <c r="AF322" s="1424"/>
      <c r="AG322" s="1424"/>
      <c r="AH322" s="1424"/>
      <c r="AI322" s="1424"/>
      <c r="AJ322" s="1424"/>
      <c r="AK322" s="1424"/>
    </row>
    <row r="323" spans="2:37" ht="12.9" customHeight="1">
      <c r="B323" s="3" t="s">
        <v>87</v>
      </c>
      <c r="C323" s="3"/>
      <c r="D323" s="3"/>
      <c r="E323" s="3"/>
      <c r="F323" s="3"/>
      <c r="H323" s="1424" t="s">
        <v>2772</v>
      </c>
      <c r="I323" s="1424"/>
      <c r="J323" s="1424"/>
      <c r="K323" s="1424"/>
      <c r="L323" s="1424"/>
      <c r="M323" s="1424"/>
      <c r="N323" s="1424"/>
      <c r="O323" s="1424"/>
      <c r="P323" s="1424"/>
      <c r="Q323" s="1424"/>
      <c r="R323" s="1424"/>
      <c r="S323" s="3"/>
      <c r="T323" s="3" t="s">
        <v>87</v>
      </c>
      <c r="V323" s="3"/>
      <c r="W323" s="3"/>
      <c r="X323" s="3"/>
      <c r="Y323" s="3"/>
      <c r="AA323" s="1424" t="s">
        <v>2793</v>
      </c>
      <c r="AB323" s="1424"/>
      <c r="AC323" s="1424"/>
      <c r="AD323" s="1424"/>
      <c r="AE323" s="1424"/>
      <c r="AF323" s="1424"/>
      <c r="AG323" s="1424"/>
      <c r="AH323" s="1424"/>
      <c r="AI323" s="1424"/>
      <c r="AJ323" s="1424"/>
      <c r="AK323" s="1424"/>
    </row>
    <row r="324" spans="2:37" ht="12.9" customHeight="1">
      <c r="B324" s="3" t="s">
        <v>88</v>
      </c>
      <c r="C324" s="3"/>
      <c r="D324" s="3"/>
      <c r="E324" s="3"/>
      <c r="F324" s="3"/>
      <c r="G324" s="3"/>
      <c r="H324" s="1738" t="s">
        <v>2775</v>
      </c>
      <c r="I324" s="1469"/>
      <c r="J324" s="1469"/>
      <c r="K324" s="1469"/>
      <c r="L324" s="1469"/>
      <c r="M324" s="1469"/>
      <c r="N324" s="4" t="s">
        <v>206</v>
      </c>
      <c r="O324" s="4"/>
      <c r="P324" s="1463"/>
      <c r="Q324" s="1463"/>
      <c r="R324" s="1463"/>
      <c r="S324" s="3"/>
      <c r="T324" s="3" t="s">
        <v>88</v>
      </c>
      <c r="V324" s="3"/>
      <c r="W324" s="3"/>
      <c r="X324" s="3"/>
      <c r="Y324" s="3"/>
      <c r="AA324" s="1738" t="s">
        <v>2794</v>
      </c>
      <c r="AB324" s="1469"/>
      <c r="AC324" s="1469"/>
      <c r="AD324" s="1469"/>
      <c r="AE324" s="1469"/>
      <c r="AF324" s="1469"/>
      <c r="AG324" s="4" t="s">
        <v>206</v>
      </c>
      <c r="AH324" s="4"/>
      <c r="AI324" s="1463"/>
      <c r="AJ324" s="1463"/>
      <c r="AK324" s="1463"/>
    </row>
    <row r="325" spans="2:37" ht="12.9" customHeight="1">
      <c r="B325" s="3" t="s">
        <v>89</v>
      </c>
      <c r="C325" s="3"/>
      <c r="D325" s="3"/>
      <c r="E325" s="3"/>
      <c r="F325" s="3"/>
      <c r="G325" s="3"/>
      <c r="H325" s="1454"/>
      <c r="I325" s="1454"/>
      <c r="J325" s="1454"/>
      <c r="K325" s="1454"/>
      <c r="L325" s="1454"/>
      <c r="M325" s="1454"/>
      <c r="N325" s="4"/>
      <c r="O325" s="4"/>
      <c r="P325" s="35"/>
      <c r="Q325" s="35"/>
      <c r="R325" s="35"/>
      <c r="S325" s="3"/>
      <c r="T325" s="3" t="s">
        <v>89</v>
      </c>
      <c r="V325" s="3"/>
      <c r="W325" s="3"/>
      <c r="X325" s="3"/>
      <c r="Y325" s="3"/>
      <c r="AA325" s="1454"/>
      <c r="AB325" s="1454"/>
      <c r="AC325" s="1454"/>
      <c r="AD325" s="1454"/>
      <c r="AE325" s="1454"/>
      <c r="AF325" s="1454"/>
      <c r="AG325" s="4"/>
      <c r="AH325" s="4"/>
      <c r="AI325" s="35"/>
      <c r="AJ325" s="35"/>
      <c r="AK325" s="35"/>
    </row>
    <row r="326" spans="2:37" ht="12.9" customHeight="1">
      <c r="B326" s="3" t="s">
        <v>76</v>
      </c>
      <c r="C326" s="3"/>
      <c r="D326" s="3"/>
      <c r="E326" s="3"/>
      <c r="F326" s="3"/>
      <c r="G326" s="3"/>
      <c r="H326" s="1424" t="s">
        <v>2796</v>
      </c>
      <c r="I326" s="1424"/>
      <c r="J326" s="1424"/>
      <c r="K326" s="1424"/>
      <c r="L326" s="1424"/>
      <c r="M326" s="1424"/>
      <c r="N326" s="1440"/>
      <c r="O326" s="1440"/>
      <c r="P326" s="1440"/>
      <c r="Q326" s="1440"/>
      <c r="R326" s="1440"/>
      <c r="S326" s="3"/>
      <c r="T326" s="3" t="s">
        <v>76</v>
      </c>
      <c r="V326" s="3"/>
      <c r="W326" s="3"/>
      <c r="X326" s="3"/>
      <c r="Y326" s="3"/>
      <c r="AA326" s="1424" t="s">
        <v>2795</v>
      </c>
      <c r="AB326" s="1424"/>
      <c r="AC326" s="1424"/>
      <c r="AD326" s="1424"/>
      <c r="AE326" s="1424"/>
      <c r="AF326" s="1424"/>
      <c r="AG326" s="1440"/>
      <c r="AH326" s="1440"/>
      <c r="AI326" s="1440"/>
      <c r="AJ326" s="1440"/>
      <c r="AK326" s="1440"/>
    </row>
    <row r="327" spans="2:37" ht="12.9" customHeight="1"/>
    <row r="328" spans="2:37" ht="12.9" customHeight="1">
      <c r="B328" s="4" t="s">
        <v>908</v>
      </c>
      <c r="C328" s="3"/>
      <c r="D328" s="3"/>
      <c r="E328" s="3"/>
      <c r="F328" s="3"/>
      <c r="H328" s="1285" t="s">
        <v>2764</v>
      </c>
      <c r="I328" s="1285"/>
      <c r="J328" s="1285"/>
      <c r="K328" s="1285"/>
      <c r="L328" s="1285"/>
      <c r="M328" s="1285"/>
      <c r="N328" s="1285"/>
      <c r="O328" s="1285"/>
      <c r="P328" s="1285"/>
      <c r="Q328" s="1285"/>
      <c r="R328" s="1285"/>
      <c r="T328" s="3" t="s">
        <v>366</v>
      </c>
      <c r="V328" s="3"/>
      <c r="W328" s="3"/>
      <c r="X328" s="3"/>
      <c r="Y328" s="3"/>
      <c r="AA328" s="1285" t="s">
        <v>2777</v>
      </c>
      <c r="AB328" s="1285"/>
      <c r="AC328" s="1285"/>
      <c r="AD328" s="1285"/>
      <c r="AE328" s="1285"/>
      <c r="AF328" s="1285"/>
      <c r="AG328" s="1285"/>
      <c r="AH328" s="1285"/>
      <c r="AI328" s="1285"/>
      <c r="AJ328" s="1285"/>
      <c r="AK328" s="1285"/>
    </row>
    <row r="329" spans="2:37" ht="12.9" customHeight="1">
      <c r="B329" s="3" t="s">
        <v>471</v>
      </c>
      <c r="C329" s="3"/>
      <c r="D329" s="3"/>
      <c r="E329" s="3"/>
      <c r="F329" s="3"/>
      <c r="H329" s="251" t="s">
        <v>2709</v>
      </c>
      <c r="I329" s="251"/>
      <c r="J329" s="251"/>
      <c r="K329" s="251"/>
      <c r="L329" s="251"/>
      <c r="M329" s="251"/>
      <c r="N329" s="251"/>
      <c r="O329" s="251"/>
      <c r="P329" s="251"/>
      <c r="Q329" s="251"/>
      <c r="R329" s="251"/>
      <c r="T329" s="3" t="s">
        <v>471</v>
      </c>
      <c r="V329" s="3"/>
      <c r="W329" s="3"/>
      <c r="X329" s="3"/>
      <c r="Y329" s="3"/>
      <c r="AA329" s="251" t="s">
        <v>2778</v>
      </c>
      <c r="AB329" s="251"/>
      <c r="AC329" s="251"/>
      <c r="AD329" s="251"/>
      <c r="AE329" s="251"/>
      <c r="AF329" s="251"/>
      <c r="AG329" s="251"/>
      <c r="AH329" s="251"/>
      <c r="AI329" s="251"/>
      <c r="AJ329" s="251"/>
      <c r="AK329" s="251"/>
    </row>
    <row r="330" spans="2:37" ht="12.9" customHeight="1">
      <c r="B330" s="3" t="s">
        <v>472</v>
      </c>
      <c r="C330" s="3"/>
      <c r="D330" s="3"/>
      <c r="E330" s="3"/>
      <c r="F330" s="3"/>
      <c r="H330" s="251" t="s">
        <v>2765</v>
      </c>
      <c r="I330" s="251"/>
      <c r="J330" s="251"/>
      <c r="K330" s="251"/>
      <c r="L330" s="251"/>
      <c r="M330" s="251"/>
      <c r="N330" s="251"/>
      <c r="O330" s="251"/>
      <c r="P330" s="251"/>
      <c r="Q330" s="251"/>
      <c r="R330" s="251"/>
      <c r="T330" s="3" t="s">
        <v>75</v>
      </c>
      <c r="V330" s="3"/>
      <c r="W330" s="3"/>
      <c r="X330" s="3"/>
      <c r="Y330" s="3"/>
      <c r="AA330" s="251" t="s">
        <v>2779</v>
      </c>
      <c r="AB330" s="251"/>
      <c r="AC330" s="251"/>
      <c r="AD330" s="251"/>
      <c r="AE330" s="251"/>
      <c r="AF330" s="251"/>
      <c r="AG330" s="251"/>
      <c r="AH330" s="251"/>
      <c r="AI330" s="251"/>
      <c r="AJ330" s="251"/>
      <c r="AK330" s="251"/>
    </row>
    <row r="331" spans="2:37" ht="12.9" customHeight="1">
      <c r="B331" s="3" t="s">
        <v>87</v>
      </c>
      <c r="C331" s="3"/>
      <c r="D331" s="3"/>
      <c r="E331" s="3"/>
      <c r="F331" s="3"/>
      <c r="H331" s="251" t="s">
        <v>2773</v>
      </c>
      <c r="I331" s="251"/>
      <c r="J331" s="251"/>
      <c r="K331" s="251"/>
      <c r="L331" s="251"/>
      <c r="M331" s="251"/>
      <c r="N331" s="251"/>
      <c r="O331" s="251"/>
      <c r="P331" s="251"/>
      <c r="Q331" s="251"/>
      <c r="R331" s="251"/>
      <c r="T331" s="3" t="s">
        <v>87</v>
      </c>
      <c r="V331" s="3"/>
      <c r="W331" s="3"/>
      <c r="X331" s="3"/>
      <c r="Y331" s="3"/>
      <c r="AA331" s="251" t="s">
        <v>2780</v>
      </c>
      <c r="AB331" s="251"/>
      <c r="AC331" s="251"/>
      <c r="AD331" s="251"/>
      <c r="AE331" s="251"/>
      <c r="AF331" s="251"/>
      <c r="AG331" s="251"/>
      <c r="AH331" s="251"/>
      <c r="AI331" s="251"/>
      <c r="AJ331" s="251"/>
      <c r="AK331" s="251"/>
    </row>
    <row r="332" spans="2:37" ht="12.9" customHeight="1">
      <c r="B332" s="3" t="s">
        <v>88</v>
      </c>
      <c r="C332" s="3"/>
      <c r="D332" s="3"/>
      <c r="E332" s="3"/>
      <c r="F332" s="3"/>
      <c r="G332" s="3"/>
      <c r="H332" s="1469" t="s">
        <v>2774</v>
      </c>
      <c r="I332" s="1469"/>
      <c r="J332" s="1469"/>
      <c r="K332" s="1469"/>
      <c r="L332" s="1469"/>
      <c r="M332" s="1469"/>
      <c r="N332" s="4" t="s">
        <v>206</v>
      </c>
      <c r="O332" s="4"/>
      <c r="P332" s="1463"/>
      <c r="Q332" s="1463"/>
      <c r="R332" s="1463"/>
      <c r="S332" s="3"/>
      <c r="T332" s="3" t="s">
        <v>88</v>
      </c>
      <c r="V332" s="3"/>
      <c r="W332" s="3"/>
      <c r="X332" s="3"/>
      <c r="Y332" s="3"/>
      <c r="AA332" s="1738" t="s">
        <v>2781</v>
      </c>
      <c r="AB332" s="1469"/>
      <c r="AC332" s="1469"/>
      <c r="AD332" s="1469"/>
      <c r="AE332" s="1469"/>
      <c r="AF332" s="1469"/>
      <c r="AG332" s="4" t="s">
        <v>206</v>
      </c>
      <c r="AH332" s="4"/>
      <c r="AI332" s="1463"/>
      <c r="AJ332" s="1463"/>
      <c r="AK332" s="1463"/>
    </row>
    <row r="333" spans="2:37" ht="12.9" customHeight="1">
      <c r="B333" s="3" t="s">
        <v>89</v>
      </c>
      <c r="C333" s="3"/>
      <c r="D333" s="3"/>
      <c r="E333" s="3"/>
      <c r="F333" s="3"/>
      <c r="G333" s="3"/>
      <c r="H333" s="1454"/>
      <c r="I333" s="1454"/>
      <c r="J333" s="1454"/>
      <c r="K333" s="1454"/>
      <c r="L333" s="1454"/>
      <c r="M333" s="1454"/>
      <c r="N333" s="4"/>
      <c r="O333" s="4"/>
      <c r="P333" s="35"/>
      <c r="Q333" s="35"/>
      <c r="R333" s="35"/>
      <c r="S333" s="3"/>
      <c r="T333" s="3" t="s">
        <v>89</v>
      </c>
      <c r="V333" s="3"/>
      <c r="W333" s="3"/>
      <c r="X333" s="3"/>
      <c r="Y333" s="3"/>
      <c r="AA333" s="1454"/>
      <c r="AB333" s="1454"/>
      <c r="AC333" s="1454"/>
      <c r="AD333" s="1454"/>
      <c r="AE333" s="1454"/>
      <c r="AF333" s="1454"/>
      <c r="AG333" s="4"/>
      <c r="AH333" s="4"/>
      <c r="AI333" s="35"/>
      <c r="AJ333" s="35"/>
      <c r="AK333" s="35"/>
    </row>
    <row r="334" spans="2:37" ht="12.9" customHeight="1">
      <c r="B334" s="3" t="s">
        <v>76</v>
      </c>
      <c r="C334" s="3"/>
      <c r="D334" s="3"/>
      <c r="E334" s="3"/>
      <c r="F334" s="3"/>
      <c r="G334" s="3"/>
      <c r="H334" s="1424" t="s">
        <v>2776</v>
      </c>
      <c r="I334" s="1424"/>
      <c r="J334" s="1424"/>
      <c r="K334" s="1424"/>
      <c r="L334" s="1424"/>
      <c r="M334" s="1424"/>
      <c r="N334" s="1440"/>
      <c r="O334" s="1440"/>
      <c r="P334" s="1440"/>
      <c r="Q334" s="1440"/>
      <c r="R334" s="1440"/>
      <c r="S334" s="3"/>
      <c r="T334" s="3" t="s">
        <v>76</v>
      </c>
      <c r="V334" s="3"/>
      <c r="W334" s="3"/>
      <c r="X334" s="3"/>
      <c r="Y334" s="3"/>
      <c r="AA334" s="1424" t="s">
        <v>2790</v>
      </c>
      <c r="AB334" s="1424"/>
      <c r="AC334" s="1424"/>
      <c r="AD334" s="1424"/>
      <c r="AE334" s="1424"/>
      <c r="AF334" s="1424"/>
      <c r="AG334" s="1440"/>
      <c r="AH334" s="1440"/>
      <c r="AI334" s="1440"/>
      <c r="AJ334" s="1440"/>
      <c r="AK334" s="1440"/>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367</v>
      </c>
      <c r="C336" s="3"/>
      <c r="D336" s="3"/>
      <c r="E336" s="3"/>
      <c r="F336" s="3"/>
      <c r="H336" s="1440" t="s">
        <v>2777</v>
      </c>
      <c r="I336" s="1440"/>
      <c r="J336" s="1440"/>
      <c r="K336" s="1440"/>
      <c r="L336" s="1440"/>
      <c r="M336" s="1440"/>
      <c r="N336" s="1440"/>
      <c r="O336" s="1440"/>
      <c r="P336" s="1440"/>
      <c r="Q336" s="1440"/>
      <c r="R336" s="1440"/>
      <c r="T336" s="3" t="s">
        <v>368</v>
      </c>
      <c r="V336" s="3"/>
      <c r="W336" s="3"/>
      <c r="X336" s="3"/>
      <c r="Y336" s="3"/>
      <c r="AA336" s="1440" t="s">
        <v>591</v>
      </c>
      <c r="AB336" s="1440"/>
      <c r="AC336" s="1440"/>
      <c r="AD336" s="1440"/>
      <c r="AE336" s="1440"/>
      <c r="AF336" s="1440"/>
      <c r="AG336" s="1440"/>
      <c r="AH336" s="1440"/>
      <c r="AI336" s="1440"/>
      <c r="AJ336" s="1440"/>
      <c r="AK336" s="1440"/>
    </row>
    <row r="337" spans="2:66" ht="12.9" customHeight="1">
      <c r="B337" s="3" t="s">
        <v>471</v>
      </c>
      <c r="C337" s="3"/>
      <c r="D337" s="3"/>
      <c r="E337" s="3"/>
      <c r="F337" s="3"/>
      <c r="H337" s="1424" t="s">
        <v>2778</v>
      </c>
      <c r="I337" s="1424"/>
      <c r="J337" s="1424"/>
      <c r="K337" s="1424"/>
      <c r="L337" s="1424"/>
      <c r="M337" s="1424"/>
      <c r="N337" s="1424"/>
      <c r="O337" s="1424"/>
      <c r="P337" s="1424"/>
      <c r="Q337" s="1424"/>
      <c r="R337" s="1424"/>
      <c r="T337" s="3" t="s">
        <v>471</v>
      </c>
      <c r="V337" s="3"/>
      <c r="W337" s="3"/>
      <c r="X337" s="3"/>
      <c r="Y337" s="3"/>
      <c r="AA337" s="1424"/>
      <c r="AB337" s="1424"/>
      <c r="AC337" s="1424"/>
      <c r="AD337" s="1424"/>
      <c r="AE337" s="1424"/>
      <c r="AF337" s="1424"/>
      <c r="AG337" s="1424"/>
      <c r="AH337" s="1424"/>
      <c r="AI337" s="1424"/>
      <c r="AJ337" s="1424"/>
      <c r="AK337" s="1424"/>
    </row>
    <row r="338" spans="2:66" ht="12.9" customHeight="1">
      <c r="B338" s="3" t="s">
        <v>472</v>
      </c>
      <c r="C338" s="3"/>
      <c r="D338" s="3"/>
      <c r="E338" s="3"/>
      <c r="F338" s="3"/>
      <c r="H338" s="1424" t="s">
        <v>2779</v>
      </c>
      <c r="I338" s="1424"/>
      <c r="J338" s="1424"/>
      <c r="K338" s="1424"/>
      <c r="L338" s="1424"/>
      <c r="M338" s="1424"/>
      <c r="N338" s="1424"/>
      <c r="O338" s="1424"/>
      <c r="P338" s="1424"/>
      <c r="Q338" s="1424"/>
      <c r="R338" s="1424"/>
      <c r="T338" s="3" t="s">
        <v>75</v>
      </c>
      <c r="V338" s="3"/>
      <c r="W338" s="3"/>
      <c r="X338" s="3"/>
      <c r="Y338" s="3"/>
      <c r="AA338" s="1424"/>
      <c r="AB338" s="1424"/>
      <c r="AC338" s="1424"/>
      <c r="AD338" s="1424"/>
      <c r="AE338" s="1424"/>
      <c r="AF338" s="1424"/>
      <c r="AG338" s="1424"/>
      <c r="AH338" s="1424"/>
      <c r="AI338" s="1424"/>
      <c r="AJ338" s="1424"/>
      <c r="AK338" s="1424"/>
    </row>
    <row r="339" spans="2:66" ht="12.9" customHeight="1">
      <c r="B339" s="3" t="s">
        <v>87</v>
      </c>
      <c r="C339" s="3"/>
      <c r="D339" s="3"/>
      <c r="E339" s="3"/>
      <c r="F339" s="3"/>
      <c r="H339" s="1424" t="s">
        <v>2780</v>
      </c>
      <c r="I339" s="1424"/>
      <c r="J339" s="1424"/>
      <c r="K339" s="1424"/>
      <c r="L339" s="1424"/>
      <c r="M339" s="1424"/>
      <c r="N339" s="1424"/>
      <c r="O339" s="1424"/>
      <c r="P339" s="1424"/>
      <c r="Q339" s="1424"/>
      <c r="R339" s="1424"/>
      <c r="T339" s="3" t="s">
        <v>87</v>
      </c>
      <c r="V339" s="3"/>
      <c r="W339" s="3"/>
      <c r="X339" s="3"/>
      <c r="Y339" s="3"/>
      <c r="AA339" s="1424"/>
      <c r="AB339" s="1424"/>
      <c r="AC339" s="1424"/>
      <c r="AD339" s="1424"/>
      <c r="AE339" s="1424"/>
      <c r="AF339" s="1424"/>
      <c r="AG339" s="1424"/>
      <c r="AH339" s="1424"/>
      <c r="AI339" s="1424"/>
      <c r="AJ339" s="1424"/>
      <c r="AK339" s="1424"/>
    </row>
    <row r="340" spans="2:66" ht="12.9" customHeight="1">
      <c r="B340" s="3" t="s">
        <v>88</v>
      </c>
      <c r="C340" s="3"/>
      <c r="D340" s="3"/>
      <c r="E340" s="3"/>
      <c r="F340" s="3"/>
      <c r="G340" s="3"/>
      <c r="H340" s="1469" t="s">
        <v>2781</v>
      </c>
      <c r="I340" s="1469"/>
      <c r="J340" s="1469"/>
      <c r="K340" s="1469"/>
      <c r="L340" s="1469"/>
      <c r="M340" s="1469"/>
      <c r="N340" s="4" t="s">
        <v>206</v>
      </c>
      <c r="O340" s="4"/>
      <c r="P340" s="1463"/>
      <c r="Q340" s="1463"/>
      <c r="R340" s="1463"/>
      <c r="S340" s="3"/>
      <c r="T340" s="3" t="s">
        <v>88</v>
      </c>
      <c r="V340" s="3"/>
      <c r="W340" s="3"/>
      <c r="X340" s="3"/>
      <c r="Y340" s="3"/>
      <c r="AA340" s="1469"/>
      <c r="AB340" s="1469"/>
      <c r="AC340" s="1469"/>
      <c r="AD340" s="1469"/>
      <c r="AE340" s="1469"/>
      <c r="AF340" s="1469"/>
      <c r="AG340" s="4" t="s">
        <v>206</v>
      </c>
      <c r="AH340" s="4"/>
      <c r="AI340" s="1463"/>
      <c r="AJ340" s="1463"/>
      <c r="AK340" s="1463"/>
    </row>
    <row r="341" spans="2:66" ht="12.9" customHeight="1">
      <c r="B341" s="3" t="s">
        <v>89</v>
      </c>
      <c r="C341" s="3"/>
      <c r="D341" s="3"/>
      <c r="E341" s="3"/>
      <c r="F341" s="3"/>
      <c r="G341" s="3"/>
      <c r="H341" s="1454"/>
      <c r="I341" s="1454"/>
      <c r="J341" s="1454"/>
      <c r="K341" s="1454"/>
      <c r="L341" s="1454"/>
      <c r="M341" s="1454"/>
      <c r="N341" s="4"/>
      <c r="O341" s="4"/>
      <c r="P341" s="35"/>
      <c r="Q341" s="35"/>
      <c r="R341" s="35"/>
      <c r="S341" s="3"/>
      <c r="T341" s="3" t="s">
        <v>89</v>
      </c>
      <c r="V341" s="3"/>
      <c r="W341" s="3"/>
      <c r="X341" s="3"/>
      <c r="Y341" s="3"/>
      <c r="AA341" s="1454"/>
      <c r="AB341" s="1454"/>
      <c r="AC341" s="1454"/>
      <c r="AD341" s="1454"/>
      <c r="AE341" s="1454"/>
      <c r="AF341" s="1454"/>
      <c r="AG341" s="4"/>
      <c r="AH341" s="4"/>
      <c r="AI341" s="35"/>
      <c r="AJ341" s="35"/>
      <c r="AK341" s="35"/>
    </row>
    <row r="342" spans="2:66" ht="12.9" customHeight="1">
      <c r="B342" s="3" t="s">
        <v>76</v>
      </c>
      <c r="C342" s="3"/>
      <c r="D342" s="3"/>
      <c r="E342" s="3"/>
      <c r="F342" s="3"/>
      <c r="G342" s="3"/>
      <c r="H342" s="1424" t="s">
        <v>2790</v>
      </c>
      <c r="I342" s="1424"/>
      <c r="J342" s="1424"/>
      <c r="K342" s="1424"/>
      <c r="L342" s="1424"/>
      <c r="M342" s="1424"/>
      <c r="N342" s="1440"/>
      <c r="O342" s="1440"/>
      <c r="P342" s="1440"/>
      <c r="Q342" s="1440"/>
      <c r="R342" s="1440"/>
      <c r="S342" s="3"/>
      <c r="T342" s="3" t="s">
        <v>76</v>
      </c>
      <c r="V342" s="3"/>
      <c r="W342" s="3"/>
      <c r="X342" s="3"/>
      <c r="Y342" s="3"/>
      <c r="AA342" s="1424"/>
      <c r="AB342" s="1424"/>
      <c r="AC342" s="1424"/>
      <c r="AD342" s="1424"/>
      <c r="AE342" s="1424"/>
      <c r="AF342" s="1424"/>
      <c r="AG342" s="1440"/>
      <c r="AH342" s="1440"/>
      <c r="AI342" s="1440"/>
      <c r="AJ342" s="1440"/>
      <c r="AK342" s="1440"/>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329</v>
      </c>
      <c r="C344" s="3"/>
      <c r="D344" s="3"/>
      <c r="E344" s="3"/>
      <c r="F344" s="3"/>
      <c r="H344" s="1440" t="s">
        <v>2666</v>
      </c>
      <c r="I344" s="1440"/>
      <c r="J344" s="1440"/>
      <c r="K344" s="1440"/>
      <c r="L344" s="1440"/>
      <c r="M344" s="1440"/>
      <c r="N344" s="1440"/>
      <c r="O344" s="1440"/>
      <c r="P344" s="1440"/>
      <c r="Q344" s="1440"/>
      <c r="R344" s="1440"/>
      <c r="T344" s="204" t="s">
        <v>886</v>
      </c>
      <c r="V344" s="3"/>
      <c r="W344" s="3"/>
      <c r="X344" s="3"/>
      <c r="Y344" s="3"/>
      <c r="AA344" s="1440" t="s">
        <v>2832</v>
      </c>
      <c r="AB344" s="1440"/>
      <c r="AC344" s="1440"/>
      <c r="AD344" s="1440"/>
      <c r="AE344" s="1440"/>
      <c r="AF344" s="1440"/>
      <c r="AG344" s="1440"/>
      <c r="AH344" s="1440"/>
      <c r="AI344" s="1440"/>
      <c r="AJ344" s="1440"/>
      <c r="AK344" s="1440"/>
    </row>
    <row r="345" spans="2:66" ht="12.9" customHeight="1">
      <c r="B345" s="3" t="s">
        <v>471</v>
      </c>
      <c r="C345" s="3"/>
      <c r="D345" s="3"/>
      <c r="E345" s="3"/>
      <c r="F345" s="3"/>
      <c r="H345" s="251" t="s">
        <v>2782</v>
      </c>
      <c r="I345" s="251"/>
      <c r="J345" s="251"/>
      <c r="K345" s="251"/>
      <c r="L345" s="251"/>
      <c r="M345" s="251"/>
      <c r="N345" s="251"/>
      <c r="O345" s="251"/>
      <c r="P345" s="251"/>
      <c r="Q345" s="251"/>
      <c r="R345" s="251"/>
      <c r="T345" s="3" t="s">
        <v>471</v>
      </c>
      <c r="V345" s="3"/>
      <c r="W345" s="3"/>
      <c r="X345" s="3"/>
      <c r="Y345" s="3"/>
      <c r="AA345" s="1424" t="s">
        <v>2714</v>
      </c>
      <c r="AB345" s="1424"/>
      <c r="AC345" s="1424"/>
      <c r="AD345" s="1424"/>
      <c r="AE345" s="1424"/>
      <c r="AF345" s="1424"/>
      <c r="AG345" s="1424"/>
      <c r="AH345" s="1424"/>
      <c r="AI345" s="1424"/>
      <c r="AJ345" s="1424"/>
      <c r="AK345" s="1424"/>
    </row>
    <row r="346" spans="2:66" ht="12.9" customHeight="1">
      <c r="B346" s="3" t="s">
        <v>75</v>
      </c>
      <c r="C346" s="3"/>
      <c r="D346" s="3"/>
      <c r="E346" s="3"/>
      <c r="F346" s="3"/>
      <c r="H346" s="251" t="s">
        <v>2783</v>
      </c>
      <c r="I346" s="251"/>
      <c r="J346" s="251"/>
      <c r="K346" s="251"/>
      <c r="L346" s="251"/>
      <c r="M346" s="251"/>
      <c r="N346" s="251"/>
      <c r="O346" s="251"/>
      <c r="P346" s="251"/>
      <c r="Q346" s="251"/>
      <c r="R346" s="251"/>
      <c r="T346" s="3" t="s">
        <v>75</v>
      </c>
      <c r="V346" s="3"/>
      <c r="W346" s="3"/>
      <c r="X346" s="3"/>
      <c r="Y346" s="3"/>
      <c r="AA346" s="1424" t="s">
        <v>2715</v>
      </c>
      <c r="AB346" s="1424"/>
      <c r="AC346" s="1424"/>
      <c r="AD346" s="1424"/>
      <c r="AE346" s="1424"/>
      <c r="AF346" s="1424"/>
      <c r="AG346" s="1424"/>
      <c r="AH346" s="1424"/>
      <c r="AI346" s="1424"/>
      <c r="AJ346" s="1424"/>
      <c r="AK346" s="1424"/>
    </row>
    <row r="347" spans="2:66" ht="12.9" customHeight="1">
      <c r="B347" s="3" t="s">
        <v>87</v>
      </c>
      <c r="C347" s="3"/>
      <c r="D347" s="3"/>
      <c r="E347" s="3"/>
      <c r="F347" s="3"/>
      <c r="G347" s="3"/>
      <c r="H347" s="251" t="s">
        <v>2784</v>
      </c>
      <c r="I347" s="251"/>
      <c r="J347" s="251"/>
      <c r="K347" s="251"/>
      <c r="L347" s="251"/>
      <c r="M347" s="251"/>
      <c r="N347" s="251"/>
      <c r="O347" s="251"/>
      <c r="P347" s="251"/>
      <c r="Q347" s="251"/>
      <c r="R347" s="251"/>
      <c r="T347" s="3" t="s">
        <v>87</v>
      </c>
      <c r="V347" s="3"/>
      <c r="W347" s="3"/>
      <c r="X347" s="3"/>
      <c r="Y347" s="3"/>
      <c r="AA347" s="1424" t="s">
        <v>2716</v>
      </c>
      <c r="AB347" s="1424"/>
      <c r="AC347" s="1424"/>
      <c r="AD347" s="1424"/>
      <c r="AE347" s="1424"/>
      <c r="AF347" s="1424"/>
      <c r="AG347" s="1424"/>
      <c r="AH347" s="1424"/>
      <c r="AI347" s="1424"/>
      <c r="AJ347" s="1424"/>
      <c r="AK347" s="1424"/>
    </row>
    <row r="348" spans="2:66" ht="12.9" customHeight="1">
      <c r="B348" s="3" t="s">
        <v>88</v>
      </c>
      <c r="C348" s="3"/>
      <c r="D348" s="3"/>
      <c r="E348" s="3"/>
      <c r="F348" s="3"/>
      <c r="G348" s="3"/>
      <c r="H348" s="1286" t="s">
        <v>2785</v>
      </c>
      <c r="I348" s="1286"/>
      <c r="J348" s="1286"/>
      <c r="K348" s="1286"/>
      <c r="L348" s="1286"/>
      <c r="M348" s="1286"/>
      <c r="N348" s="4" t="s">
        <v>206</v>
      </c>
      <c r="O348" s="4"/>
      <c r="P348" s="1463"/>
      <c r="Q348" s="1463"/>
      <c r="R348" s="1463"/>
      <c r="S348" s="3"/>
      <c r="T348" s="3" t="s">
        <v>88</v>
      </c>
      <c r="V348" s="3"/>
      <c r="W348" s="3"/>
      <c r="X348" s="3"/>
      <c r="Y348" s="3"/>
      <c r="AA348" s="1738" t="s">
        <v>2717</v>
      </c>
      <c r="AB348" s="1469"/>
      <c r="AC348" s="1469"/>
      <c r="AD348" s="1469"/>
      <c r="AE348" s="1469"/>
      <c r="AF348" s="1469"/>
      <c r="AG348" s="4" t="s">
        <v>206</v>
      </c>
      <c r="AH348" s="4"/>
      <c r="AI348" s="1463"/>
      <c r="AJ348" s="1463"/>
      <c r="AK348" s="1463"/>
    </row>
    <row r="349" spans="2:66" ht="12.9" customHeight="1">
      <c r="B349" s="3" t="s">
        <v>89</v>
      </c>
      <c r="C349" s="3"/>
      <c r="D349" s="3"/>
      <c r="E349" s="3"/>
      <c r="F349" s="3"/>
      <c r="G349" s="3"/>
      <c r="H349" s="1454"/>
      <c r="I349" s="1454"/>
      <c r="J349" s="1454"/>
      <c r="K349" s="1454"/>
      <c r="L349" s="1454"/>
      <c r="M349" s="1454"/>
      <c r="N349" s="4"/>
      <c r="O349" s="4"/>
      <c r="P349" s="35"/>
      <c r="Q349" s="35"/>
      <c r="R349" s="35"/>
      <c r="S349" s="3"/>
      <c r="T349" s="3" t="s">
        <v>89</v>
      </c>
      <c r="V349" s="3"/>
      <c r="W349" s="3"/>
      <c r="X349" s="3"/>
      <c r="Y349" s="3"/>
      <c r="AA349" s="1454"/>
      <c r="AB349" s="1454"/>
      <c r="AC349" s="1454"/>
      <c r="AD349" s="1454"/>
      <c r="AE349" s="1454"/>
      <c r="AF349" s="1454"/>
      <c r="AG349" s="4"/>
      <c r="AH349" s="4"/>
      <c r="AI349" s="35"/>
      <c r="AJ349" s="35"/>
      <c r="AK349" s="35"/>
    </row>
    <row r="350" spans="2:66" ht="12.9" customHeight="1">
      <c r="B350" s="3" t="s">
        <v>76</v>
      </c>
      <c r="C350" s="3"/>
      <c r="D350" s="3"/>
      <c r="E350" s="3"/>
      <c r="F350" s="3"/>
      <c r="G350" s="3"/>
      <c r="H350" s="1285" t="s">
        <v>2786</v>
      </c>
      <c r="I350" s="1285"/>
      <c r="J350" s="1285"/>
      <c r="K350" s="1285"/>
      <c r="L350" s="1285"/>
      <c r="M350" s="1285"/>
      <c r="N350" s="1285"/>
      <c r="O350" s="1285"/>
      <c r="P350" s="1285"/>
      <c r="Q350" s="1285"/>
      <c r="R350" s="1285"/>
      <c r="S350" s="3"/>
      <c r="T350" s="3" t="s">
        <v>76</v>
      </c>
      <c r="V350" s="3"/>
      <c r="W350" s="3"/>
      <c r="X350" s="3"/>
      <c r="Y350" s="3"/>
      <c r="AA350" s="1424" t="s">
        <v>2718</v>
      </c>
      <c r="AB350" s="1424"/>
      <c r="AC350" s="1424"/>
      <c r="AD350" s="1424"/>
      <c r="AE350" s="1424"/>
      <c r="AF350" s="1424"/>
      <c r="AG350" s="1440"/>
      <c r="AH350" s="1440"/>
      <c r="AI350" s="1440"/>
      <c r="AJ350" s="1440"/>
      <c r="AK350" s="1440"/>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 customHeight="1">
      <c r="B352" s="3"/>
      <c r="C352" s="4"/>
      <c r="D352" s="4"/>
      <c r="E352" s="4"/>
      <c r="F352" s="4"/>
      <c r="I352" s="204" t="s">
        <v>887</v>
      </c>
      <c r="P352" s="1440" t="s">
        <v>591</v>
      </c>
      <c r="Q352" s="1440"/>
      <c r="R352" s="1440"/>
      <c r="S352" s="1440"/>
      <c r="T352" s="1440"/>
      <c r="U352" s="1440"/>
      <c r="V352" s="1440"/>
      <c r="W352" s="1440"/>
      <c r="X352" s="1440"/>
      <c r="Y352" s="1440"/>
      <c r="Z352" s="1440"/>
      <c r="AA352" s="1440"/>
      <c r="AB352" s="1440"/>
      <c r="AC352" s="1440"/>
      <c r="AD352" s="1440"/>
      <c r="AE352" s="1440"/>
      <c r="BN352" t="s">
        <v>669</v>
      </c>
    </row>
    <row r="353" spans="1:66" ht="12.9" customHeight="1">
      <c r="B353" s="4"/>
      <c r="C353" s="4"/>
      <c r="D353" s="4"/>
      <c r="E353" s="4"/>
      <c r="F353" s="4"/>
      <c r="I353" s="4" t="s">
        <v>471</v>
      </c>
      <c r="P353" s="1424"/>
      <c r="Q353" s="1424"/>
      <c r="R353" s="1424"/>
      <c r="S353" s="1424"/>
      <c r="T353" s="1424"/>
      <c r="U353" s="1424"/>
      <c r="V353" s="1424"/>
      <c r="W353" s="1424"/>
      <c r="X353" s="1424"/>
      <c r="Y353" s="1424"/>
      <c r="Z353" s="1424"/>
      <c r="AA353" s="1424"/>
      <c r="AB353" s="1424"/>
      <c r="AC353" s="1424"/>
      <c r="AD353" s="1424"/>
      <c r="AE353" s="1424"/>
      <c r="BN353" t="s">
        <v>545</v>
      </c>
    </row>
    <row r="354" spans="1:66" ht="12.9" customHeight="1">
      <c r="B354" s="4"/>
      <c r="C354" s="4"/>
      <c r="D354" s="4"/>
      <c r="E354" s="4"/>
      <c r="F354" s="4"/>
      <c r="I354" s="4" t="s">
        <v>75</v>
      </c>
      <c r="P354" s="1424"/>
      <c r="Q354" s="1424"/>
      <c r="R354" s="1424"/>
      <c r="S354" s="1424"/>
      <c r="T354" s="1424"/>
      <c r="U354" s="1424"/>
      <c r="V354" s="1424"/>
      <c r="W354" s="1424"/>
      <c r="X354" s="1424"/>
      <c r="Y354" s="1424"/>
      <c r="Z354" s="1424"/>
      <c r="AA354" s="1424"/>
      <c r="AB354" s="1424"/>
      <c r="AC354" s="1424"/>
      <c r="AD354" s="1424"/>
      <c r="AE354" s="1424"/>
    </row>
    <row r="355" spans="1:66" ht="12.9" customHeight="1">
      <c r="B355" s="4"/>
      <c r="C355" s="4"/>
      <c r="D355" s="4"/>
      <c r="E355" s="4"/>
      <c r="F355" s="4"/>
      <c r="G355" s="4"/>
      <c r="I355" s="4" t="s">
        <v>87</v>
      </c>
      <c r="P355" s="1424"/>
      <c r="Q355" s="1424"/>
      <c r="R355" s="1424"/>
      <c r="S355" s="1424"/>
      <c r="T355" s="1424"/>
      <c r="U355" s="1424"/>
      <c r="V355" s="1424"/>
      <c r="W355" s="1424"/>
      <c r="X355" s="1424"/>
      <c r="Y355" s="1424"/>
      <c r="Z355" s="1424"/>
      <c r="AA355" s="1424"/>
      <c r="AB355" s="1424"/>
      <c r="AC355" s="1424"/>
      <c r="AD355" s="1424"/>
      <c r="AE355" s="1424"/>
    </row>
    <row r="356" spans="1:66" ht="12.9" customHeight="1">
      <c r="B356" s="4"/>
      <c r="C356" s="4"/>
      <c r="D356" s="4"/>
      <c r="E356" s="4"/>
      <c r="F356" s="4"/>
      <c r="G356" s="4"/>
      <c r="H356" s="302"/>
      <c r="I356" s="4" t="s">
        <v>88</v>
      </c>
      <c r="P356" s="1454"/>
      <c r="Q356" s="1454"/>
      <c r="R356" s="1454"/>
      <c r="S356" s="1454"/>
      <c r="T356" s="1454"/>
      <c r="U356" s="1454"/>
      <c r="V356" s="1454"/>
      <c r="W356" s="1454"/>
      <c r="X356" s="1454"/>
      <c r="Y356" s="1454"/>
      <c r="Z356" s="1454"/>
      <c r="AA356" s="4" t="s">
        <v>206</v>
      </c>
      <c r="AB356" s="4"/>
      <c r="AC356" s="1439"/>
      <c r="AD356" s="1439"/>
      <c r="AE356" s="1439"/>
      <c r="AF356" s="302"/>
      <c r="AG356" s="4"/>
      <c r="AH356" s="4"/>
      <c r="AI356" s="4"/>
      <c r="AJ356" s="4"/>
      <c r="AK356" s="4"/>
    </row>
    <row r="357" spans="1:66" ht="12.9" customHeight="1">
      <c r="B357" s="4"/>
      <c r="C357" s="4"/>
      <c r="D357" s="4"/>
      <c r="E357" s="4"/>
      <c r="F357" s="4"/>
      <c r="G357" s="4"/>
      <c r="H357" s="302"/>
      <c r="I357" s="4" t="s">
        <v>89</v>
      </c>
      <c r="P357" s="1454"/>
      <c r="Q357" s="1454"/>
      <c r="R357" s="1454"/>
      <c r="S357" s="1454"/>
      <c r="T357" s="1454"/>
      <c r="U357" s="1454"/>
      <c r="V357" s="1454"/>
      <c r="W357" s="1454"/>
      <c r="X357" s="1454"/>
      <c r="Y357" s="1454"/>
      <c r="Z357" s="1454"/>
      <c r="AF357" s="302"/>
      <c r="AG357" s="4"/>
      <c r="AH357" s="4"/>
      <c r="AI357" s="35"/>
      <c r="AJ357" s="35"/>
      <c r="AK357" s="35"/>
    </row>
    <row r="358" spans="1:66" ht="12.9" customHeight="1">
      <c r="B358" s="4"/>
      <c r="C358" s="4"/>
      <c r="D358" s="4"/>
      <c r="E358" s="4"/>
      <c r="F358" s="4"/>
      <c r="G358" s="4"/>
      <c r="I358" s="4" t="s">
        <v>76</v>
      </c>
      <c r="P358" s="1440"/>
      <c r="Q358" s="1440"/>
      <c r="R358" s="1440"/>
      <c r="S358" s="1440"/>
      <c r="T358" s="1440"/>
      <c r="U358" s="1440"/>
      <c r="V358" s="1440"/>
      <c r="W358" s="1440"/>
      <c r="X358" s="1440"/>
      <c r="Y358" s="1440"/>
      <c r="Z358" s="1440"/>
      <c r="AA358" s="1440"/>
      <c r="AB358" s="1440"/>
      <c r="AC358" s="1440"/>
      <c r="AD358" s="1440"/>
      <c r="AE358" s="1440"/>
    </row>
    <row r="359" spans="1:66" ht="12.9" customHeight="1">
      <c r="T359" s="8"/>
      <c r="U359" s="8"/>
      <c r="V359" s="8"/>
      <c r="W359" s="8"/>
      <c r="X359" s="8"/>
      <c r="Y359" s="8"/>
      <c r="Z359" s="8"/>
      <c r="AU359" s="95"/>
      <c r="AV359" s="95"/>
      <c r="AW359" s="95"/>
      <c r="AX359" s="95"/>
      <c r="AY359" s="95"/>
    </row>
    <row r="360" spans="1:66" ht="12.9" customHeight="1">
      <c r="A360" s="1359" t="s">
        <v>542</v>
      </c>
      <c r="B360" s="1359"/>
      <c r="C360" s="1359"/>
      <c r="D360" s="1359"/>
      <c r="E360" s="1359"/>
      <c r="F360" s="1359"/>
      <c r="G360" s="1359"/>
      <c r="H360" s="1359"/>
      <c r="I360" s="1359"/>
      <c r="J360" s="1359"/>
      <c r="K360" s="1359"/>
      <c r="L360" s="1359"/>
      <c r="M360" s="1359"/>
      <c r="N360" s="1359"/>
      <c r="O360" s="1359"/>
      <c r="P360" s="1359"/>
      <c r="Q360" s="1359"/>
      <c r="R360" s="1359"/>
      <c r="S360" s="1359"/>
      <c r="T360" s="1359"/>
      <c r="U360" s="1359"/>
      <c r="V360" s="1359"/>
      <c r="W360" s="1359"/>
      <c r="X360" s="1359"/>
      <c r="Y360" s="1359"/>
      <c r="Z360" s="1359"/>
      <c r="AA360" s="1359"/>
      <c r="AB360" s="1359"/>
      <c r="AC360" s="1359"/>
      <c r="AD360" s="1359"/>
      <c r="AE360" s="1359"/>
      <c r="AF360" s="1359"/>
      <c r="AG360" s="1359"/>
      <c r="AH360" s="1359"/>
      <c r="AI360" s="1359"/>
      <c r="AJ360" s="1359"/>
      <c r="AK360" s="1359"/>
      <c r="AL360" s="1359"/>
      <c r="AM360" s="1359"/>
      <c r="AN360" s="1359"/>
      <c r="AO360" s="1359"/>
      <c r="AP360" s="1359"/>
      <c r="AQ360" s="1359"/>
      <c r="AR360" s="1359"/>
      <c r="AS360" s="1359"/>
      <c r="AT360" s="1359"/>
      <c r="AU360" s="95"/>
      <c r="AV360" s="95"/>
      <c r="AW360" s="95"/>
      <c r="AX360" s="95"/>
      <c r="AY360" s="95"/>
    </row>
    <row r="361" spans="1:66" ht="12.9" customHeight="1">
      <c r="A361" s="1359"/>
      <c r="B361" s="1359"/>
      <c r="C361" s="1359"/>
      <c r="D361" s="1359"/>
      <c r="E361" s="1359"/>
      <c r="F361" s="1359"/>
      <c r="G361" s="1359"/>
      <c r="H361" s="1359"/>
      <c r="I361" s="1359"/>
      <c r="J361" s="1359"/>
      <c r="K361" s="1359"/>
      <c r="L361" s="1359"/>
      <c r="M361" s="1359"/>
      <c r="N361" s="1359"/>
      <c r="O361" s="1359"/>
      <c r="P361" s="1359"/>
      <c r="Q361" s="1359"/>
      <c r="R361" s="1359"/>
      <c r="S361" s="1359"/>
      <c r="T361" s="1359"/>
      <c r="U361" s="1359"/>
      <c r="V361" s="1359"/>
      <c r="W361" s="1359"/>
      <c r="X361" s="1359"/>
      <c r="Y361" s="1359"/>
      <c r="Z361" s="1359"/>
      <c r="AA361" s="1359"/>
      <c r="AB361" s="1359"/>
      <c r="AC361" s="1359"/>
      <c r="AD361" s="1359"/>
      <c r="AE361" s="1359"/>
      <c r="AF361" s="1359"/>
      <c r="AG361" s="1359"/>
      <c r="AH361" s="1359"/>
      <c r="AI361" s="1359"/>
      <c r="AJ361" s="1359"/>
      <c r="AK361" s="1359"/>
      <c r="AL361" s="1359"/>
      <c r="AM361" s="1359"/>
      <c r="AN361" s="1359"/>
      <c r="AO361" s="1359"/>
      <c r="AP361" s="1359"/>
      <c r="AQ361" s="1359"/>
      <c r="AR361" s="1359"/>
      <c r="AS361" s="1359"/>
      <c r="AT361" s="1359"/>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319</v>
      </c>
      <c r="B363" s="2"/>
      <c r="C363" s="2" t="s">
        <v>782</v>
      </c>
    </row>
    <row r="364" spans="1:66" ht="12.9" customHeight="1">
      <c r="D364" s="3" t="s">
        <v>2048</v>
      </c>
      <c r="M364" s="1289" t="s">
        <v>545</v>
      </c>
      <c r="N364" s="1289"/>
      <c r="P364" t="s">
        <v>1638</v>
      </c>
      <c r="AJ364" s="1289" t="s">
        <v>591</v>
      </c>
      <c r="AK364" s="1289"/>
    </row>
    <row r="365" spans="1:66" ht="12.9" customHeight="1">
      <c r="D365" s="3" t="s">
        <v>1627</v>
      </c>
      <c r="M365" s="1289" t="s">
        <v>545</v>
      </c>
      <c r="N365" s="1289"/>
      <c r="P365" s="3" t="s">
        <v>1707</v>
      </c>
      <c r="AJ365" s="1508"/>
      <c r="AK365" s="1508"/>
    </row>
    <row r="366" spans="1:66" ht="12.9" customHeight="1">
      <c r="D366" s="3" t="s">
        <v>704</v>
      </c>
      <c r="M366" s="1289" t="s">
        <v>591</v>
      </c>
      <c r="N366" s="1289"/>
      <c r="P366" t="s">
        <v>1637</v>
      </c>
      <c r="AJ366" s="1289" t="s">
        <v>591</v>
      </c>
      <c r="AK366" s="1289"/>
    </row>
    <row r="367" spans="1:66" ht="12.9" customHeight="1">
      <c r="D367" s="3" t="s">
        <v>705</v>
      </c>
      <c r="M367" s="1289" t="s">
        <v>591</v>
      </c>
      <c r="N367" s="1289"/>
      <c r="Q367" s="4"/>
    </row>
    <row r="368" spans="1:66" ht="12.9" customHeight="1">
      <c r="Q368" s="4"/>
    </row>
    <row r="369" spans="1:34" ht="12.9" customHeight="1">
      <c r="Q369" s="4"/>
    </row>
    <row r="370" spans="1:34" ht="12.9" customHeight="1">
      <c r="A370" s="2" t="s">
        <v>576</v>
      </c>
      <c r="B370" s="2"/>
      <c r="C370" s="2" t="s">
        <v>552</v>
      </c>
      <c r="D370" s="2"/>
    </row>
    <row r="371" spans="1:34" ht="12.9"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186</v>
      </c>
      <c r="E372" s="40"/>
      <c r="F372" s="40"/>
      <c r="G372" s="40"/>
      <c r="H372" s="40"/>
      <c r="I372" s="40"/>
      <c r="J372" s="40"/>
      <c r="K372" s="40"/>
      <c r="L372" s="40"/>
      <c r="M372" s="40"/>
      <c r="N372" s="1289" t="s">
        <v>591</v>
      </c>
      <c r="O372" s="1289"/>
      <c r="P372" s="40"/>
      <c r="Q372" s="40"/>
      <c r="R372" s="40"/>
      <c r="S372" s="40"/>
      <c r="T372" s="40"/>
      <c r="U372" s="40"/>
      <c r="V372" s="40"/>
      <c r="W372" s="40"/>
      <c r="X372" s="40"/>
      <c r="Y372" s="40"/>
      <c r="Z372" s="40"/>
      <c r="AC372" s="40"/>
      <c r="AD372" s="40"/>
      <c r="AE372" s="40"/>
    </row>
    <row r="373" spans="1:34" ht="12.9" customHeight="1">
      <c r="E373" t="s">
        <v>370</v>
      </c>
      <c r="Y373" s="1289" t="s">
        <v>591</v>
      </c>
      <c r="Z373" s="1289"/>
    </row>
    <row r="374" spans="1:34" ht="12.9" customHeight="1">
      <c r="D374" s="4" t="s">
        <v>978</v>
      </c>
      <c r="Q374" s="1440"/>
      <c r="R374" s="1440"/>
      <c r="S374" s="1440"/>
      <c r="T374" s="1440"/>
      <c r="U374" s="1440"/>
      <c r="V374" s="1440"/>
      <c r="W374" s="1440"/>
      <c r="X374" s="1440"/>
      <c r="Y374" s="1440"/>
      <c r="Z374" s="1440"/>
      <c r="AA374" s="1440"/>
      <c r="AB374" s="1440"/>
      <c r="AC374" s="1440"/>
      <c r="AD374" s="1440"/>
      <c r="AE374" s="1440"/>
      <c r="AF374" s="1440"/>
      <c r="AG374" s="1440"/>
    </row>
    <row r="375" spans="1:34" ht="12.9"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188</v>
      </c>
      <c r="E376" s="40"/>
      <c r="F376" s="40"/>
      <c r="G376" s="40"/>
      <c r="H376" s="40"/>
      <c r="I376" s="40"/>
      <c r="J376" s="1289" t="s">
        <v>591</v>
      </c>
      <c r="K376" s="1289"/>
      <c r="L376" s="40"/>
      <c r="M376" s="40"/>
      <c r="N376" s="40"/>
      <c r="O376" s="40"/>
      <c r="P376" s="40"/>
      <c r="Q376" s="40"/>
      <c r="R376" s="40"/>
      <c r="S376" s="40"/>
      <c r="T376" s="40"/>
      <c r="U376" s="40"/>
      <c r="V376" s="40"/>
      <c r="W376" s="40"/>
      <c r="X376" s="40"/>
      <c r="Y376" s="40"/>
      <c r="Z376" s="40"/>
      <c r="AC376" s="40"/>
      <c r="AD376" s="40"/>
      <c r="AE376" s="40"/>
    </row>
    <row r="377" spans="1:34" ht="12.9" customHeight="1">
      <c r="E377" s="1461" t="s">
        <v>706</v>
      </c>
      <c r="F377" s="1461"/>
      <c r="G377" s="1461"/>
      <c r="H377" s="1461"/>
      <c r="I377" s="1461"/>
      <c r="J377" s="1461"/>
      <c r="K377" s="1461"/>
      <c r="L377" s="1461"/>
      <c r="M377" s="1461"/>
      <c r="N377" s="1461"/>
      <c r="O377" s="1461"/>
      <c r="P377" s="1461"/>
      <c r="Q377" s="1461"/>
      <c r="R377" s="1461"/>
      <c r="S377" s="1461"/>
      <c r="T377" s="1461"/>
      <c r="U377" s="1461"/>
      <c r="V377" s="1461"/>
      <c r="W377" s="1461"/>
      <c r="X377" s="1461"/>
      <c r="Y377" s="1461"/>
      <c r="Z377" s="1461"/>
      <c r="AA377" s="1461"/>
      <c r="AB377" s="1461"/>
      <c r="AC377" s="1461"/>
      <c r="AD377" s="1461"/>
      <c r="AE377" s="1461"/>
      <c r="AF377" s="1461"/>
      <c r="AG377" s="1461"/>
      <c r="AH377" s="1461"/>
    </row>
    <row r="378" spans="1:34" ht="12.9" customHeight="1">
      <c r="E378" s="1461"/>
      <c r="F378" s="1461"/>
      <c r="G378" s="1461"/>
      <c r="H378" s="1461"/>
      <c r="I378" s="1461"/>
      <c r="J378" s="1461"/>
      <c r="K378" s="1461"/>
      <c r="L378" s="1461"/>
      <c r="M378" s="1461"/>
      <c r="N378" s="1461"/>
      <c r="O378" s="1461"/>
      <c r="P378" s="1461"/>
      <c r="Q378" s="1461"/>
      <c r="R378" s="1461"/>
      <c r="S378" s="1461"/>
      <c r="T378" s="1461"/>
      <c r="U378" s="1461"/>
      <c r="V378" s="1461"/>
      <c r="W378" s="1461"/>
      <c r="X378" s="1461"/>
      <c r="Y378" s="1461"/>
      <c r="Z378" s="1461"/>
      <c r="AA378" s="1461"/>
      <c r="AB378" s="1461"/>
      <c r="AC378" s="1461"/>
      <c r="AD378" s="1461"/>
      <c r="AE378" s="1461"/>
      <c r="AF378" s="1461"/>
      <c r="AG378" s="1461"/>
      <c r="AH378" s="1461"/>
    </row>
    <row r="379" spans="1:34" ht="12.9" customHeight="1">
      <c r="E379" s="4" t="s">
        <v>448</v>
      </c>
      <c r="F379" s="4"/>
      <c r="G379" s="4"/>
      <c r="H379" s="4"/>
      <c r="I379" s="4"/>
      <c r="J379" s="4"/>
      <c r="K379" s="4"/>
      <c r="L379" s="4"/>
      <c r="N379" s="1426"/>
      <c r="O379" s="1426"/>
      <c r="P379" s="1426"/>
      <c r="Q379" s="1426"/>
      <c r="R379" s="4"/>
      <c r="U379" s="4" t="s">
        <v>449</v>
      </c>
      <c r="V379" s="4"/>
      <c r="W379" s="4"/>
      <c r="X379" s="4"/>
      <c r="Y379" s="4"/>
      <c r="Z379" s="4"/>
      <c r="AA379" s="4"/>
      <c r="AB379" s="4"/>
      <c r="AC379" s="1426"/>
      <c r="AD379" s="1426"/>
      <c r="AE379" s="1426"/>
      <c r="AF379" s="1426"/>
    </row>
    <row r="380" spans="1:34" ht="12.9" customHeight="1">
      <c r="E380" s="4" t="s">
        <v>450</v>
      </c>
      <c r="F380" s="4"/>
      <c r="G380" s="4"/>
      <c r="H380" s="4"/>
      <c r="I380" s="4"/>
      <c r="J380" s="4"/>
      <c r="K380" s="4"/>
      <c r="L380" s="4"/>
      <c r="N380" s="1426"/>
      <c r="O380" s="1426"/>
      <c r="P380" s="1426"/>
      <c r="Q380" s="1426"/>
      <c r="R380" s="4"/>
      <c r="U380" s="4" t="s">
        <v>0</v>
      </c>
      <c r="V380" s="4"/>
      <c r="W380" s="4"/>
      <c r="X380" s="4"/>
      <c r="Y380" s="4"/>
      <c r="Z380" s="4"/>
      <c r="AA380" s="4"/>
      <c r="AB380" s="4"/>
      <c r="AC380" s="1426"/>
      <c r="AD380" s="1426"/>
      <c r="AE380" s="1426"/>
      <c r="AF380" s="1426"/>
    </row>
    <row r="381" spans="1:34" ht="12.9" customHeight="1">
      <c r="E381" s="4" t="s">
        <v>1</v>
      </c>
      <c r="F381" s="4"/>
      <c r="G381" s="4"/>
      <c r="H381" s="4"/>
      <c r="I381" s="4"/>
      <c r="J381" s="4"/>
      <c r="K381" s="4"/>
      <c r="L381" s="4"/>
      <c r="N381" s="1426"/>
      <c r="O381" s="1426"/>
      <c r="P381" s="1426"/>
      <c r="Q381" s="1426"/>
      <c r="R381" s="4"/>
      <c r="V381" s="4"/>
      <c r="W381" s="4"/>
      <c r="X381" s="4"/>
      <c r="Y381" s="4"/>
      <c r="Z381" s="4"/>
      <c r="AA381" s="4"/>
      <c r="AB381" s="4"/>
    </row>
    <row r="382" spans="1:34" ht="12.9" customHeight="1">
      <c r="E382" s="4" t="s">
        <v>2</v>
      </c>
      <c r="F382" s="4"/>
      <c r="G382" s="4"/>
      <c r="H382" s="4"/>
      <c r="I382" s="4"/>
      <c r="J382" s="4"/>
      <c r="K382" s="4"/>
      <c r="L382" s="4"/>
      <c r="N382" s="1774"/>
      <c r="O382" s="1774"/>
      <c r="P382" s="1774"/>
      <c r="Q382" s="1774"/>
      <c r="R382" s="1774"/>
      <c r="S382" s="1774"/>
      <c r="T382" s="1774"/>
      <c r="U382" s="1774"/>
      <c r="V382" s="1774"/>
      <c r="W382" s="1774"/>
      <c r="X382" s="1774"/>
      <c r="Y382" s="1774"/>
      <c r="Z382" s="1774"/>
      <c r="AA382" s="1774"/>
      <c r="AB382" s="1774"/>
      <c r="AC382" s="1774"/>
      <c r="AD382" s="1774"/>
      <c r="AE382" s="1774"/>
      <c r="AF382" s="1774"/>
    </row>
    <row r="383" spans="1:34" ht="12.9" customHeight="1">
      <c r="E383" s="4"/>
      <c r="F383" s="4"/>
      <c r="G383" s="4"/>
      <c r="H383" s="4"/>
      <c r="I383" s="4"/>
      <c r="J383" s="4"/>
      <c r="K383" s="4"/>
      <c r="L383" s="4"/>
      <c r="N383" s="1775"/>
      <c r="O383" s="1775"/>
      <c r="P383" s="1775"/>
      <c r="Q383" s="1775"/>
      <c r="R383" s="1775"/>
      <c r="S383" s="1775"/>
      <c r="T383" s="1775"/>
      <c r="U383" s="1775"/>
      <c r="V383" s="1775"/>
      <c r="W383" s="1775"/>
      <c r="X383" s="1775"/>
      <c r="Y383" s="1775"/>
      <c r="Z383" s="1775"/>
      <c r="AA383" s="1775"/>
      <c r="AB383" s="1775"/>
      <c r="AC383" s="1775"/>
      <c r="AD383" s="1775"/>
      <c r="AE383" s="1775"/>
      <c r="AF383" s="1775"/>
    </row>
    <row r="384" spans="1:34" ht="12.9" customHeight="1">
      <c r="C384" s="508"/>
      <c r="E384" s="4"/>
      <c r="F384" s="4"/>
      <c r="G384" s="4"/>
      <c r="H384" s="4"/>
      <c r="I384" s="4"/>
      <c r="J384" s="4"/>
      <c r="K384" s="4"/>
      <c r="L384" s="4"/>
    </row>
    <row r="385" spans="1:36" ht="12.9" customHeight="1">
      <c r="D385" s="2" t="s">
        <v>975</v>
      </c>
      <c r="E385" s="2"/>
      <c r="F385" s="4"/>
      <c r="G385" s="4"/>
      <c r="H385" s="4"/>
      <c r="I385" s="4"/>
      <c r="J385" s="4"/>
      <c r="K385" s="4"/>
      <c r="L385" s="4"/>
    </row>
    <row r="386" spans="1:36" ht="12.9" customHeight="1">
      <c r="E386" s="4" t="s">
        <v>2034</v>
      </c>
      <c r="F386" s="4"/>
      <c r="G386" s="4"/>
      <c r="H386" s="4"/>
      <c r="I386" s="4"/>
      <c r="J386" s="4"/>
      <c r="K386" s="4"/>
      <c r="L386" s="4"/>
      <c r="N386" t="s">
        <v>2030</v>
      </c>
      <c r="R386" s="27" t="s">
        <v>305</v>
      </c>
      <c r="S386" s="1733"/>
      <c r="T386" s="1733"/>
      <c r="U386" s="1" t="s">
        <v>306</v>
      </c>
      <c r="V386" s="1733"/>
      <c r="W386" s="1733"/>
      <c r="Y386" t="s">
        <v>2030</v>
      </c>
      <c r="AC386" s="27" t="s">
        <v>305</v>
      </c>
      <c r="AD386" s="1733"/>
      <c r="AE386" s="1733"/>
      <c r="AF386" s="1" t="s">
        <v>306</v>
      </c>
      <c r="AG386" s="1733"/>
      <c r="AH386" s="1733"/>
    </row>
    <row r="387" spans="1:36" ht="12.9" customHeight="1">
      <c r="E387" s="4" t="s">
        <v>987</v>
      </c>
      <c r="F387" s="4"/>
      <c r="G387" s="4"/>
      <c r="H387" s="4"/>
      <c r="I387" s="4"/>
      <c r="J387" s="4"/>
      <c r="K387" s="4"/>
      <c r="L387" s="4"/>
      <c r="N387" s="1733"/>
      <c r="O387" s="1733"/>
      <c r="P387" s="1733"/>
    </row>
    <row r="388" spans="1:36" ht="12.9" customHeight="1">
      <c r="E388" s="204" t="s">
        <v>2035</v>
      </c>
      <c r="F388" s="4"/>
      <c r="G388" s="4"/>
      <c r="H388" s="4"/>
      <c r="I388" s="4"/>
      <c r="J388" s="4"/>
      <c r="K388" s="4"/>
      <c r="L388" s="4"/>
      <c r="AG388" s="1731" t="s">
        <v>591</v>
      </c>
      <c r="AH388" s="1731"/>
    </row>
    <row r="389" spans="1:36" ht="12.9" customHeight="1">
      <c r="E389" s="4"/>
      <c r="F389" s="4"/>
      <c r="G389" s="4" t="s">
        <v>2036</v>
      </c>
      <c r="H389" s="4"/>
      <c r="I389" s="4"/>
      <c r="J389" s="4"/>
      <c r="K389" s="4"/>
      <c r="L389" s="4"/>
      <c r="AG389" s="1731" t="s">
        <v>591</v>
      </c>
      <c r="AH389" s="1731"/>
    </row>
    <row r="390" spans="1:36" ht="12.9" customHeight="1">
      <c r="E390" s="4"/>
      <c r="F390" s="4"/>
      <c r="G390" s="317" t="s">
        <v>988</v>
      </c>
      <c r="H390" s="4"/>
      <c r="I390" s="4"/>
      <c r="J390" s="4"/>
      <c r="K390" s="4"/>
      <c r="L390" s="4"/>
      <c r="V390" s="1289" t="s">
        <v>591</v>
      </c>
      <c r="W390" s="1289"/>
      <c r="Y390" s="22" t="s">
        <v>980</v>
      </c>
    </row>
    <row r="391" spans="1:36" ht="12.9" customHeight="1">
      <c r="E391" s="4" t="s">
        <v>981</v>
      </c>
      <c r="F391" s="4"/>
      <c r="G391" s="4"/>
      <c r="H391" s="4"/>
      <c r="I391" s="4"/>
      <c r="J391" s="4"/>
      <c r="K391" s="4"/>
      <c r="L391" s="4"/>
      <c r="V391" s="1289" t="s">
        <v>591</v>
      </c>
      <c r="W391" s="1289"/>
      <c r="Y391" s="4" t="s">
        <v>982</v>
      </c>
    </row>
    <row r="392" spans="1:36" ht="12.9" customHeight="1"/>
    <row r="393" spans="1:36" ht="12.9" customHeight="1">
      <c r="A393" s="2" t="s">
        <v>78</v>
      </c>
      <c r="B393" s="2"/>
    </row>
    <row r="394" spans="1:36" ht="12.9" customHeight="1">
      <c r="D394" t="s">
        <v>428</v>
      </c>
      <c r="J394" s="1440" t="s">
        <v>2824</v>
      </c>
      <c r="K394" s="1440"/>
      <c r="L394" s="1440"/>
      <c r="M394" s="1440"/>
      <c r="N394" s="1440"/>
      <c r="O394" s="1440"/>
      <c r="P394" s="1440"/>
      <c r="Q394" s="1440"/>
      <c r="R394" s="1440"/>
      <c r="S394" s="1440"/>
      <c r="T394" s="1440"/>
      <c r="U394" s="1440"/>
      <c r="V394" s="8" t="s">
        <v>83</v>
      </c>
      <c r="W394" s="8"/>
      <c r="X394" s="8"/>
      <c r="Y394" s="8"/>
      <c r="Z394" s="8"/>
      <c r="AA394" s="8"/>
      <c r="AB394" s="8"/>
      <c r="AC394" s="1440" t="s">
        <v>2825</v>
      </c>
      <c r="AD394" s="1440"/>
      <c r="AE394" s="1440"/>
      <c r="AF394" s="1440"/>
      <c r="AG394" s="1440"/>
      <c r="AH394" s="1440"/>
      <c r="AI394" s="1440"/>
      <c r="AJ394" s="1440"/>
    </row>
    <row r="395" spans="1:36" ht="12.9" customHeight="1">
      <c r="D395" s="3" t="s">
        <v>1181</v>
      </c>
      <c r="J395" s="1424"/>
      <c r="K395" s="1424"/>
      <c r="L395" s="1424"/>
      <c r="M395" s="1424"/>
      <c r="N395" s="1424"/>
      <c r="O395" s="1424"/>
      <c r="P395" s="1424"/>
      <c r="Q395" s="1424"/>
      <c r="R395" s="1424"/>
      <c r="S395" s="1424"/>
      <c r="T395" s="1424"/>
      <c r="U395" s="1424"/>
      <c r="V395" s="3" t="s">
        <v>1181</v>
      </c>
      <c r="W395" s="8"/>
      <c r="X395" s="8"/>
      <c r="Y395" s="8"/>
      <c r="Z395" s="8"/>
      <c r="AA395" s="8"/>
      <c r="AB395" s="8"/>
      <c r="AC395" s="1440"/>
      <c r="AD395" s="1440"/>
      <c r="AE395" s="1440"/>
      <c r="AF395" s="1440"/>
      <c r="AG395" s="1440"/>
      <c r="AH395" s="1440"/>
      <c r="AI395" s="1440"/>
      <c r="AJ395" s="1440"/>
    </row>
    <row r="396" spans="1:36" ht="12.9" customHeight="1">
      <c r="D396" s="3" t="s">
        <v>441</v>
      </c>
      <c r="J396" s="1424"/>
      <c r="K396" s="1424"/>
      <c r="L396" s="1424"/>
      <c r="M396" s="1424"/>
      <c r="N396" s="1424"/>
      <c r="O396" s="1424"/>
      <c r="P396" s="1424"/>
      <c r="Q396" s="1424"/>
      <c r="R396" s="1424"/>
      <c r="S396" s="1424"/>
      <c r="T396" s="1424"/>
      <c r="U396" s="1424"/>
      <c r="V396" s="3" t="s">
        <v>441</v>
      </c>
      <c r="W396" s="8"/>
      <c r="X396" s="8"/>
      <c r="Y396" s="8"/>
      <c r="Z396" s="8"/>
      <c r="AA396" s="8"/>
      <c r="AB396" s="8"/>
      <c r="AC396" s="1440"/>
      <c r="AD396" s="1440"/>
      <c r="AE396" s="1440"/>
      <c r="AF396" s="1440"/>
      <c r="AG396" s="1440"/>
      <c r="AH396" s="1440"/>
      <c r="AI396" s="1440"/>
      <c r="AJ396" s="1440"/>
    </row>
    <row r="397" spans="1:36" ht="12.9" customHeight="1">
      <c r="D397" t="s">
        <v>1177</v>
      </c>
      <c r="J397" s="1384" t="s">
        <v>2826</v>
      </c>
      <c r="K397" s="1384"/>
      <c r="L397" s="1384"/>
      <c r="M397" s="1384"/>
      <c r="N397" s="1384"/>
      <c r="O397" s="1384"/>
      <c r="P397" s="1384"/>
      <c r="Q397" s="1384"/>
      <c r="R397" s="1384"/>
      <c r="S397" s="1384"/>
      <c r="T397" s="1384"/>
      <c r="U397" s="1384"/>
      <c r="V397" s="1440"/>
      <c r="W397" s="1440"/>
      <c r="X397" s="1440"/>
      <c r="Y397" s="1440"/>
      <c r="Z397" s="1440"/>
      <c r="AA397" s="1440"/>
      <c r="AB397" s="1440"/>
      <c r="AC397" s="1440"/>
      <c r="AD397" s="1440"/>
      <c r="AE397" s="1440"/>
      <c r="AF397" s="1440"/>
      <c r="AG397" s="1440"/>
      <c r="AH397" s="1440"/>
      <c r="AI397" s="1440"/>
      <c r="AJ397" s="1440"/>
    </row>
    <row r="398" spans="1:36" ht="12.9" customHeight="1">
      <c r="D398" t="s">
        <v>4</v>
      </c>
      <c r="Q398" s="1690">
        <v>46261</v>
      </c>
      <c r="R398" s="1690"/>
      <c r="S398" s="1690"/>
      <c r="T398" s="1690"/>
      <c r="U398" s="1690"/>
      <c r="V398" t="s">
        <v>309</v>
      </c>
      <c r="AI398" s="1289" t="s">
        <v>669</v>
      </c>
      <c r="AJ398" s="1289"/>
    </row>
    <row r="399" spans="1:36" ht="12.9" customHeight="1">
      <c r="D399" t="s">
        <v>5</v>
      </c>
      <c r="Q399" s="1323">
        <v>46284</v>
      </c>
      <c r="R399" s="1691"/>
      <c r="S399" s="1691"/>
      <c r="T399" s="1691"/>
      <c r="U399" s="1691"/>
      <c r="W399" s="21" t="s">
        <v>74</v>
      </c>
      <c r="AG399" s="1678"/>
      <c r="AH399" s="1678"/>
      <c r="AI399" s="1678"/>
      <c r="AJ399" s="1678"/>
    </row>
    <row r="400" spans="1:36" ht="12.9" customHeight="1">
      <c r="D400" t="s">
        <v>427</v>
      </c>
      <c r="Q400" s="1679">
        <v>26000000</v>
      </c>
      <c r="R400" s="1679"/>
      <c r="S400" s="1679"/>
      <c r="T400" s="1679"/>
      <c r="U400" s="1679"/>
      <c r="V400" s="3" t="s">
        <v>1180</v>
      </c>
      <c r="AG400" s="1680">
        <v>46284</v>
      </c>
      <c r="AH400" s="1680"/>
      <c r="AI400" s="1680"/>
      <c r="AJ400" s="1680"/>
    </row>
    <row r="401" spans="4:36" ht="12.9" customHeight="1">
      <c r="D401" t="s">
        <v>88</v>
      </c>
      <c r="I401" s="1469"/>
      <c r="J401" s="1469"/>
      <c r="K401" s="1469"/>
      <c r="L401" s="1469"/>
      <c r="M401" s="1469"/>
      <c r="N401" s="1469"/>
      <c r="Q401" s="4" t="s">
        <v>206</v>
      </c>
      <c r="S401" s="1732"/>
      <c r="T401" s="1732"/>
      <c r="U401" s="1732"/>
      <c r="V401" t="s">
        <v>73</v>
      </c>
      <c r="AI401" s="1289" t="s">
        <v>669</v>
      </c>
      <c r="AJ401" s="1289"/>
    </row>
    <row r="402" spans="4:36" ht="12.9" customHeight="1">
      <c r="D402" t="s">
        <v>310</v>
      </c>
      <c r="Q402" s="1333"/>
      <c r="R402" s="1333"/>
      <c r="S402" s="1333"/>
      <c r="T402" s="1333"/>
      <c r="U402" s="1333"/>
      <c r="V402" t="s">
        <v>311</v>
      </c>
      <c r="AG402" s="1678">
        <v>2000000</v>
      </c>
      <c r="AH402" s="1678"/>
      <c r="AI402" s="1678"/>
      <c r="AJ402" s="1678"/>
    </row>
    <row r="403" spans="4:36" ht="12.9" customHeight="1">
      <c r="D403" t="s">
        <v>312</v>
      </c>
      <c r="Q403" s="1794">
        <v>0.01</v>
      </c>
      <c r="R403" s="1794"/>
      <c r="S403" s="1794"/>
      <c r="T403" s="1794"/>
      <c r="U403" s="1794"/>
      <c r="V403" t="s">
        <v>1162</v>
      </c>
      <c r="AG403" s="1678"/>
      <c r="AH403" s="1678"/>
      <c r="AI403" s="1678"/>
      <c r="AJ403" s="1678"/>
    </row>
    <row r="404" spans="4:36" ht="12.9" customHeight="1">
      <c r="D404" t="s">
        <v>1161</v>
      </c>
      <c r="AG404" s="1678"/>
      <c r="AH404" s="1678"/>
      <c r="AI404" s="1678"/>
      <c r="AJ404" s="1678"/>
    </row>
    <row r="405" spans="4:36" ht="12.9" customHeight="1">
      <c r="AG405" s="452"/>
      <c r="AH405" s="452"/>
      <c r="AI405" s="452"/>
      <c r="AJ405" s="452"/>
    </row>
    <row r="406" spans="4:36" ht="12.9" customHeight="1">
      <c r="D406" s="3" t="s">
        <v>2092</v>
      </c>
      <c r="AG406" s="452"/>
      <c r="AH406" s="452"/>
      <c r="AI406" s="1289" t="s">
        <v>669</v>
      </c>
      <c r="AJ406" s="1289"/>
    </row>
    <row r="407" spans="4:36" ht="12.9" customHeight="1">
      <c r="D407" s="3" t="s">
        <v>1655</v>
      </c>
      <c r="T407" s="1700"/>
      <c r="U407" s="1700"/>
      <c r="V407" s="1700"/>
      <c r="W407" s="1700"/>
      <c r="X407" s="1700"/>
      <c r="Y407" s="1700"/>
      <c r="Z407" s="1700"/>
      <c r="AA407" s="1700"/>
      <c r="AB407" s="1700"/>
      <c r="AC407" s="1700"/>
      <c r="AD407" s="1700"/>
      <c r="AE407" s="1700"/>
      <c r="AF407" s="1700"/>
      <c r="AG407" s="1700"/>
      <c r="AH407" s="1700"/>
      <c r="AI407" s="1700"/>
      <c r="AJ407" s="1700"/>
    </row>
    <row r="408" spans="4:36" ht="12.9" customHeight="1">
      <c r="D408" s="3" t="s">
        <v>1654</v>
      </c>
      <c r="T408" s="1700"/>
      <c r="U408" s="1700"/>
      <c r="V408" s="1700"/>
      <c r="W408" s="1700"/>
      <c r="X408" s="1700"/>
      <c r="Y408" s="1700"/>
      <c r="Z408" s="1700"/>
      <c r="AA408" s="1700"/>
      <c r="AB408" s="1700"/>
      <c r="AC408" s="1700"/>
      <c r="AD408" s="1700"/>
      <c r="AE408" s="1700"/>
      <c r="AF408" s="1700"/>
      <c r="AG408" s="1700"/>
      <c r="AH408" s="1700"/>
      <c r="AI408" s="1700"/>
      <c r="AJ408" s="1700"/>
    </row>
    <row r="409" spans="4:36" ht="12.9" customHeight="1">
      <c r="AG409" s="452"/>
      <c r="AH409" s="452"/>
      <c r="AI409" s="452"/>
      <c r="AJ409" s="452"/>
    </row>
    <row r="410" spans="4:36" ht="12.9" customHeight="1">
      <c r="D410" s="3" t="s">
        <v>1648</v>
      </c>
      <c r="S410" s="1700" t="s">
        <v>669</v>
      </c>
      <c r="T410" s="1700"/>
      <c r="U410" s="1700"/>
      <c r="V410" t="s">
        <v>1649</v>
      </c>
      <c r="AG410" s="1735"/>
      <c r="AH410" s="1735"/>
      <c r="AI410" s="1735"/>
      <c r="AJ410" s="1735"/>
    </row>
    <row r="411" spans="4:36" ht="12.9" customHeight="1">
      <c r="D411" s="3" t="s">
        <v>1646</v>
      </c>
      <c r="S411" s="1700" t="s">
        <v>591</v>
      </c>
      <c r="T411" s="1700"/>
      <c r="U411" s="1700"/>
      <c r="V411" t="s">
        <v>1651</v>
      </c>
      <c r="AE411" s="1693"/>
      <c r="AF411" s="1693"/>
      <c r="AG411" s="1693"/>
      <c r="AH411" s="1693"/>
      <c r="AI411" s="1693"/>
      <c r="AJ411" s="1693"/>
    </row>
    <row r="412" spans="4:36" ht="12.9" customHeight="1">
      <c r="D412" s="3" t="s">
        <v>1647</v>
      </c>
      <c r="K412" s="1681"/>
      <c r="L412" s="1681"/>
      <c r="M412" s="1681"/>
      <c r="N412" s="1681"/>
      <c r="O412" s="1681"/>
      <c r="P412" s="1681"/>
      <c r="Q412" s="1681"/>
      <c r="R412" s="1681"/>
      <c r="S412" s="1681"/>
      <c r="T412" s="1681"/>
      <c r="U412" s="1681"/>
      <c r="V412" s="1681"/>
      <c r="W412" s="1681"/>
      <c r="X412" s="1681"/>
      <c r="Y412" s="1681"/>
      <c r="Z412" s="1681"/>
      <c r="AA412" s="1681"/>
      <c r="AB412" s="1681"/>
      <c r="AC412" s="1681"/>
      <c r="AD412" s="1681"/>
      <c r="AE412" s="1681"/>
      <c r="AF412" s="1681"/>
      <c r="AG412" s="1681"/>
      <c r="AH412" s="1681"/>
      <c r="AI412" s="1681"/>
      <c r="AJ412" s="1681"/>
    </row>
    <row r="413" spans="4:36" ht="12.9" customHeight="1">
      <c r="D413" s="3" t="s">
        <v>1650</v>
      </c>
      <c r="K413" s="1681"/>
      <c r="L413" s="1681"/>
      <c r="M413" s="1681"/>
      <c r="N413" s="1681"/>
      <c r="O413" s="1681"/>
      <c r="P413" s="1681"/>
      <c r="Q413" s="1681"/>
      <c r="R413" s="1681"/>
      <c r="S413" s="1681"/>
      <c r="T413" s="1681"/>
      <c r="U413" s="1681"/>
      <c r="V413" s="1681"/>
      <c r="W413" s="1681"/>
      <c r="X413" s="1681"/>
      <c r="Y413" s="1681"/>
      <c r="Z413" s="1681"/>
      <c r="AA413" s="1681"/>
      <c r="AB413" s="1681"/>
      <c r="AC413" s="1681"/>
      <c r="AD413" s="1681"/>
      <c r="AE413" s="1681"/>
      <c r="AF413" s="1681"/>
      <c r="AG413" s="1681"/>
      <c r="AH413" s="1681"/>
      <c r="AI413" s="1681"/>
      <c r="AJ413" s="1681"/>
    </row>
    <row r="414" spans="4:36" ht="12.9" customHeight="1">
      <c r="D414" s="3" t="s">
        <v>1653</v>
      </c>
      <c r="E414" s="473"/>
      <c r="F414" s="473"/>
      <c r="G414" s="473"/>
      <c r="H414" s="473"/>
      <c r="I414" s="473"/>
      <c r="J414" s="473"/>
      <c r="K414" s="473"/>
      <c r="L414" s="473"/>
      <c r="M414" s="473"/>
      <c r="N414" s="473"/>
      <c r="O414" s="473"/>
      <c r="P414" s="473"/>
      <c r="Q414" s="473"/>
      <c r="R414" s="473"/>
      <c r="S414" s="1736" t="s">
        <v>1183</v>
      </c>
      <c r="T414" s="1736"/>
      <c r="U414" s="1736"/>
      <c r="V414" s="1736"/>
      <c r="W414" s="1736"/>
      <c r="X414" s="1736"/>
      <c r="Y414" s="1736"/>
      <c r="Z414" s="1736"/>
      <c r="AA414" s="1736"/>
      <c r="AB414" s="1736"/>
      <c r="AC414" s="1736"/>
      <c r="AD414" s="1736"/>
      <c r="AE414" s="1736"/>
      <c r="AF414" s="1736"/>
      <c r="AG414" s="1736"/>
      <c r="AH414" s="1736"/>
      <c r="AI414" s="1736"/>
      <c r="AJ414" s="1736"/>
    </row>
    <row r="415" spans="4:36" ht="12.9" customHeight="1">
      <c r="D415" s="1325" t="s">
        <v>1652</v>
      </c>
      <c r="E415" s="1325"/>
      <c r="F415" s="1325"/>
      <c r="G415" s="1325"/>
      <c r="H415" s="1325"/>
      <c r="I415" s="1325"/>
      <c r="J415" s="1325"/>
      <c r="K415" s="1325"/>
      <c r="L415" s="1325"/>
      <c r="M415" s="1325"/>
      <c r="N415" s="1325"/>
      <c r="O415" s="1325"/>
      <c r="P415" s="1325"/>
      <c r="Q415" s="1325"/>
      <c r="R415" s="1325"/>
      <c r="S415" s="1325"/>
      <c r="T415" s="1325"/>
      <c r="U415" s="1325"/>
      <c r="V415" s="1325"/>
      <c r="W415" s="1325"/>
      <c r="X415" s="1325"/>
      <c r="Y415" s="1325"/>
      <c r="Z415" s="1325"/>
      <c r="AA415" s="1325"/>
      <c r="AB415" s="1325"/>
      <c r="AC415" s="1325"/>
      <c r="AD415" s="1325"/>
      <c r="AE415" s="1325"/>
      <c r="AF415" s="1325"/>
      <c r="AG415" s="1325"/>
      <c r="AH415" s="1325"/>
      <c r="AI415" s="1325"/>
      <c r="AJ415" s="1325"/>
    </row>
    <row r="416" spans="4:36" ht="12.9" customHeight="1">
      <c r="D416" s="1325"/>
      <c r="E416" s="1325"/>
      <c r="F416" s="1325"/>
      <c r="G416" s="1325"/>
      <c r="H416" s="1325"/>
      <c r="I416" s="1325"/>
      <c r="J416" s="1325"/>
      <c r="K416" s="1325"/>
      <c r="L416" s="1325"/>
      <c r="M416" s="1325"/>
      <c r="N416" s="1325"/>
      <c r="O416" s="1325"/>
      <c r="P416" s="1325"/>
      <c r="Q416" s="1325"/>
      <c r="R416" s="1325"/>
      <c r="S416" s="1325"/>
      <c r="T416" s="1325"/>
      <c r="U416" s="1325"/>
      <c r="V416" s="1325"/>
      <c r="W416" s="1325"/>
      <c r="X416" s="1325"/>
      <c r="Y416" s="1325"/>
      <c r="Z416" s="1325"/>
      <c r="AA416" s="1325"/>
      <c r="AB416" s="1325"/>
      <c r="AC416" s="1325"/>
      <c r="AD416" s="1325"/>
      <c r="AE416" s="1325"/>
      <c r="AF416" s="1325"/>
      <c r="AG416" s="1325"/>
      <c r="AH416" s="1325"/>
      <c r="AI416" s="1325"/>
      <c r="AJ416" s="1325"/>
    </row>
    <row r="417" spans="1:39" ht="12.9" customHeight="1">
      <c r="AG417" s="452"/>
      <c r="AH417" s="452"/>
      <c r="AI417" s="452"/>
      <c r="AJ417" s="452"/>
    </row>
    <row r="418" spans="1:39" ht="12.9" customHeight="1">
      <c r="A418" s="2" t="s">
        <v>589</v>
      </c>
      <c r="B418" s="2"/>
      <c r="C418" s="2" t="s">
        <v>111</v>
      </c>
    </row>
    <row r="419" spans="1:39" ht="12.9" customHeight="1">
      <c r="B419" s="2"/>
      <c r="C419" s="2"/>
      <c r="D419" s="2" t="s">
        <v>1203</v>
      </c>
      <c r="I419" s="1462" t="s">
        <v>2797</v>
      </c>
      <c r="J419" s="1462"/>
      <c r="K419" s="1462"/>
      <c r="L419" s="1462"/>
      <c r="M419" s="1462"/>
      <c r="N419" s="1462"/>
      <c r="O419" s="1462"/>
      <c r="P419" s="1462"/>
      <c r="Q419" s="1462"/>
      <c r="R419" s="1462"/>
      <c r="S419" s="1462"/>
      <c r="T419" s="1462"/>
      <c r="U419" s="1462"/>
      <c r="V419" s="1462"/>
      <c r="W419" s="1462"/>
      <c r="X419" s="1462"/>
      <c r="Y419" s="1462"/>
      <c r="Z419" s="1462"/>
      <c r="AA419" s="1462"/>
      <c r="AB419" s="1462"/>
      <c r="AC419" s="1462"/>
      <c r="AD419" s="1462"/>
      <c r="AE419" s="1462"/>
    </row>
    <row r="420" spans="1:39" ht="12.9" customHeight="1">
      <c r="E420" t="s">
        <v>106</v>
      </c>
      <c r="R420" s="1289" t="s">
        <v>545</v>
      </c>
      <c r="S420" s="1289"/>
      <c r="AC420" s="27" t="s">
        <v>570</v>
      </c>
      <c r="AD420" s="1426">
        <v>19</v>
      </c>
      <c r="AE420" s="1426"/>
    </row>
    <row r="421" spans="1:39" ht="12.9" customHeight="1">
      <c r="E421" t="s">
        <v>107</v>
      </c>
      <c r="R421" s="1289" t="s">
        <v>591</v>
      </c>
      <c r="S421" s="1289"/>
      <c r="AC421" s="27" t="s">
        <v>570</v>
      </c>
      <c r="AD421" s="1426"/>
      <c r="AE421" s="1426"/>
    </row>
    <row r="422" spans="1:39" ht="12.9" customHeight="1">
      <c r="E422" t="s">
        <v>108</v>
      </c>
      <c r="S422" s="1289" t="s">
        <v>591</v>
      </c>
      <c r="T422" s="1289"/>
    </row>
    <row r="423" spans="1:39" ht="12.9" customHeight="1">
      <c r="E423" t="s">
        <v>170</v>
      </c>
      <c r="H423" s="1795" t="s">
        <v>2798</v>
      </c>
      <c r="I423" s="1795"/>
      <c r="J423" s="1795"/>
      <c r="K423" s="1795"/>
      <c r="L423" s="1795"/>
      <c r="M423" s="1795"/>
      <c r="N423" s="1795"/>
      <c r="O423" s="1795"/>
      <c r="P423" s="1795"/>
      <c r="Q423" s="1795"/>
      <c r="R423" s="1795"/>
      <c r="S423" s="1795"/>
      <c r="T423" s="1795"/>
      <c r="U423" s="1795"/>
      <c r="V423" s="1795"/>
      <c r="W423" s="1795"/>
      <c r="X423" s="1795"/>
      <c r="Y423" s="1795"/>
      <c r="Z423" s="1795"/>
      <c r="AA423" s="1795"/>
      <c r="AB423" s="1795"/>
      <c r="AC423" s="1795"/>
      <c r="AD423" s="1795"/>
      <c r="AE423" s="1795"/>
    </row>
    <row r="424" spans="1:39" ht="12.9" customHeight="1">
      <c r="H424" s="1796"/>
      <c r="I424" s="1796"/>
      <c r="J424" s="1796"/>
      <c r="K424" s="1796"/>
      <c r="L424" s="1796"/>
      <c r="M424" s="1796"/>
      <c r="N424" s="1796"/>
      <c r="O424" s="1796"/>
      <c r="P424" s="1796"/>
      <c r="Q424" s="1796"/>
      <c r="R424" s="1796"/>
      <c r="S424" s="1796"/>
      <c r="T424" s="1796"/>
      <c r="U424" s="1796"/>
      <c r="V424" s="1796"/>
      <c r="W424" s="1796"/>
      <c r="X424" s="1796"/>
      <c r="Y424" s="1796"/>
      <c r="Z424" s="1796"/>
      <c r="AA424" s="1796"/>
      <c r="AB424" s="1796"/>
      <c r="AC424" s="1796"/>
      <c r="AD424" s="1796"/>
      <c r="AE424" s="1796"/>
    </row>
    <row r="425" spans="1:39" ht="12.9" customHeight="1"/>
    <row r="426" spans="1:39" ht="12.9" customHeight="1">
      <c r="A426" s="2" t="s">
        <v>590</v>
      </c>
      <c r="B426" s="2"/>
      <c r="C426" s="2"/>
      <c r="D426" s="2" t="s">
        <v>114</v>
      </c>
      <c r="AF426" s="2" t="s">
        <v>957</v>
      </c>
    </row>
    <row r="427" spans="1:39" ht="12.9" customHeight="1">
      <c r="E427" s="1733"/>
      <c r="F427" s="1733"/>
      <c r="G427" s="1733"/>
      <c r="H427" s="13" t="s">
        <v>115</v>
      </c>
      <c r="I427" s="1733"/>
      <c r="J427" s="1733"/>
      <c r="K427" s="1733"/>
      <c r="L427" t="s">
        <v>116</v>
      </c>
      <c r="N427" s="27" t="s">
        <v>575</v>
      </c>
      <c r="P427" s="1737">
        <v>0.46</v>
      </c>
      <c r="Q427" s="1737"/>
      <c r="R427" s="1737"/>
      <c r="S427" t="s">
        <v>117</v>
      </c>
      <c r="W427" s="1734">
        <f>IF(E427&gt;0,(E427*I427),(P427*43560))</f>
        <v>20037.600000000002</v>
      </c>
      <c r="X427" s="1734"/>
      <c r="Y427" s="1734"/>
      <c r="Z427" t="s">
        <v>118</v>
      </c>
      <c r="AF427" s="1739">
        <f>IFERROR(IF(P427&gt;0,(AG446/P427),(AG446/(W427/43560))),0)</f>
        <v>400</v>
      </c>
      <c r="AG427" s="1739"/>
      <c r="AH427" s="1739"/>
      <c r="AM427" s="3"/>
    </row>
    <row r="428" spans="1:39" ht="12.9" customHeight="1">
      <c r="E428" t="s">
        <v>51</v>
      </c>
    </row>
    <row r="429" spans="1:39" ht="12.9" customHeight="1">
      <c r="E429" s="1798"/>
      <c r="F429" s="1798"/>
      <c r="G429" s="1798"/>
      <c r="H429" s="1798"/>
      <c r="I429" s="1798"/>
      <c r="J429" s="1798"/>
      <c r="K429" s="1798"/>
      <c r="L429" s="1798"/>
      <c r="M429" s="1798"/>
      <c r="N429" s="1798"/>
      <c r="O429" s="1798"/>
      <c r="P429" s="1798"/>
      <c r="Q429" s="1798"/>
      <c r="R429" s="1798"/>
      <c r="S429" s="1798"/>
      <c r="T429" s="1798"/>
      <c r="U429" s="1798"/>
      <c r="V429" s="1798"/>
      <c r="W429" s="1798"/>
      <c r="X429" s="1798"/>
      <c r="Y429" s="1798"/>
      <c r="Z429" s="1798"/>
      <c r="AA429" s="1798"/>
      <c r="AB429" s="1798"/>
      <c r="AC429" s="1798"/>
      <c r="AD429" s="1798"/>
      <c r="AE429" s="1798"/>
      <c r="AF429" s="1798"/>
      <c r="AG429" s="1798"/>
      <c r="AH429" s="1798"/>
      <c r="AI429" s="1798"/>
      <c r="AJ429" s="1798"/>
    </row>
    <row r="430" spans="1:39" ht="12.9" customHeight="1">
      <c r="E430" s="118" t="s">
        <v>1723</v>
      </c>
      <c r="F430" s="1003"/>
      <c r="G430" s="1003"/>
      <c r="H430" s="1003"/>
      <c r="I430" s="1701">
        <v>0.46</v>
      </c>
      <c r="J430" s="1701"/>
      <c r="K430" s="1701"/>
      <c r="L430" s="1003"/>
      <c r="M430" s="118"/>
      <c r="N430" s="1003"/>
      <c r="O430" s="1003"/>
      <c r="P430" s="1498">
        <f>(DU763+DU786+DU808)/I430</f>
        <v>500</v>
      </c>
      <c r="Q430" s="1498"/>
      <c r="R430" s="1498"/>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592</v>
      </c>
      <c r="B432" s="2"/>
      <c r="C432" s="2"/>
      <c r="D432" s="2" t="s">
        <v>120</v>
      </c>
    </row>
    <row r="433" spans="1:36" ht="12.9" customHeight="1">
      <c r="E433" t="s">
        <v>121</v>
      </c>
      <c r="P433" s="1289">
        <v>1</v>
      </c>
      <c r="Q433" s="1289"/>
      <c r="S433" t="s">
        <v>189</v>
      </c>
      <c r="AE433" s="1289">
        <v>1</v>
      </c>
      <c r="AF433" s="1289"/>
    </row>
    <row r="434" spans="1:36" ht="12.9" customHeight="1">
      <c r="E434" t="s">
        <v>190</v>
      </c>
      <c r="P434" s="1289">
        <v>0</v>
      </c>
      <c r="Q434" s="1289"/>
      <c r="S434" t="s">
        <v>131</v>
      </c>
      <c r="AE434" s="1289" t="s">
        <v>591</v>
      </c>
      <c r="AF434" s="1289"/>
    </row>
    <row r="435" spans="1:36" ht="12.9" customHeight="1">
      <c r="F435" s="28" t="s">
        <v>132</v>
      </c>
    </row>
    <row r="436" spans="1:36" ht="12.9" customHeight="1">
      <c r="F436" s="1767"/>
      <c r="G436" s="1767"/>
      <c r="H436" s="1767"/>
      <c r="I436" s="1767"/>
      <c r="J436" s="1767"/>
      <c r="K436" s="1767"/>
      <c r="L436" s="1767"/>
      <c r="M436" s="1767"/>
      <c r="N436" s="1767"/>
      <c r="O436" s="1767"/>
      <c r="P436" s="1767"/>
      <c r="Q436" s="1767"/>
      <c r="R436" s="1767"/>
      <c r="S436" s="1767"/>
      <c r="T436" s="1767"/>
      <c r="U436" s="1767"/>
      <c r="V436" s="1767"/>
      <c r="W436" s="1767"/>
      <c r="X436" s="1767"/>
      <c r="Y436" s="1767"/>
      <c r="Z436" s="1767"/>
      <c r="AA436" s="1767"/>
      <c r="AB436" s="1767"/>
      <c r="AC436" s="1767"/>
      <c r="AD436" s="1767"/>
      <c r="AE436" s="1767"/>
      <c r="AF436" s="1767"/>
      <c r="AG436" s="1767"/>
      <c r="AH436" s="1767"/>
    </row>
    <row r="437" spans="1:36" ht="12.9" customHeight="1">
      <c r="F437" s="1768"/>
      <c r="G437" s="1768"/>
      <c r="H437" s="1768"/>
      <c r="I437" s="1768"/>
      <c r="J437" s="1768"/>
      <c r="K437" s="1768"/>
      <c r="L437" s="1768"/>
      <c r="M437" s="1768"/>
      <c r="N437" s="1768"/>
      <c r="O437" s="1768"/>
      <c r="P437" s="1768"/>
      <c r="Q437" s="1768"/>
      <c r="R437" s="1768"/>
      <c r="S437" s="1768"/>
      <c r="T437" s="1768"/>
      <c r="U437" s="1768"/>
      <c r="V437" s="1768"/>
      <c r="W437" s="1768"/>
      <c r="X437" s="1768"/>
      <c r="Y437" s="1768"/>
      <c r="Z437" s="1768"/>
      <c r="AA437" s="1768"/>
      <c r="AB437" s="1768"/>
      <c r="AC437" s="1768"/>
      <c r="AD437" s="1768"/>
      <c r="AE437" s="1768"/>
      <c r="AF437" s="1768"/>
      <c r="AG437" s="1768"/>
      <c r="AH437" s="1768"/>
    </row>
    <row r="438" spans="1:36" ht="12.9" customHeight="1">
      <c r="E438" t="s">
        <v>608</v>
      </c>
      <c r="P438" s="1"/>
      <c r="Q438" s="1289" t="s">
        <v>545</v>
      </c>
      <c r="R438" s="1289"/>
    </row>
    <row r="439" spans="1:36" ht="12.9" customHeight="1">
      <c r="F439" t="s">
        <v>609</v>
      </c>
      <c r="P439" s="1"/>
      <c r="Q439" s="1"/>
      <c r="AF439" s="1289" t="s">
        <v>591</v>
      </c>
      <c r="AG439" s="1697"/>
    </row>
    <row r="440" spans="1:36" ht="12.9" customHeight="1"/>
    <row r="441" spans="1:36" ht="12.9" customHeight="1">
      <c r="A441" s="2"/>
      <c r="B441" s="2"/>
      <c r="C441" s="2"/>
      <c r="E441" s="4" t="s">
        <v>308</v>
      </c>
      <c r="Z441" s="1289" t="s">
        <v>669</v>
      </c>
      <c r="AA441" s="1289"/>
    </row>
    <row r="442" spans="1:36" ht="12.9"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 customHeight="1">
      <c r="F443" t="s">
        <v>707</v>
      </c>
      <c r="G443" s="40"/>
      <c r="I443" s="40"/>
      <c r="J443" s="40"/>
      <c r="K443" s="40"/>
      <c r="L443" s="40"/>
      <c r="M443" s="40"/>
      <c r="N443" s="40"/>
      <c r="O443" s="28"/>
      <c r="P443" s="40"/>
      <c r="Q443" s="40"/>
      <c r="R443" s="40"/>
      <c r="S443" s="40"/>
      <c r="T443" s="40"/>
      <c r="U443" s="40"/>
      <c r="V443" s="40"/>
      <c r="W443" s="40"/>
      <c r="Z443" s="1289" t="s">
        <v>591</v>
      </c>
      <c r="AA443" s="1289"/>
    </row>
    <row r="444" spans="1:36" ht="12.9" customHeight="1"/>
    <row r="445" spans="1:36" ht="12.9" customHeight="1">
      <c r="A445" s="2" t="s">
        <v>467</v>
      </c>
      <c r="B445" s="2"/>
      <c r="C445" s="2"/>
      <c r="D445" s="2" t="s">
        <v>764</v>
      </c>
      <c r="AF445" s="48"/>
    </row>
    <row r="446" spans="1:36" ht="12.9" customHeight="1">
      <c r="D446" s="1646" t="s">
        <v>43</v>
      </c>
      <c r="E446" s="1642"/>
      <c r="F446" s="1642"/>
      <c r="G446" s="1642"/>
      <c r="H446" s="1642"/>
      <c r="I446" s="1642"/>
      <c r="J446" s="1642"/>
      <c r="K446" s="1642"/>
      <c r="L446" s="1642"/>
      <c r="M446" s="1642"/>
      <c r="N446" s="1642"/>
      <c r="O446" s="1642"/>
      <c r="P446" s="1642"/>
      <c r="Q446" s="1642"/>
      <c r="R446" s="1642"/>
      <c r="S446" s="1642"/>
      <c r="T446" s="1642"/>
      <c r="U446" s="1642"/>
      <c r="V446" s="1642"/>
      <c r="W446" s="1642"/>
      <c r="X446" s="1642"/>
      <c r="Y446" s="1642"/>
      <c r="Z446" s="1642"/>
      <c r="AA446" s="1642"/>
      <c r="AB446" s="1642"/>
      <c r="AC446" s="1642"/>
      <c r="AD446" s="1642"/>
      <c r="AE446" s="1642"/>
      <c r="AF446" s="1694"/>
      <c r="AG446" s="1698">
        <v>184</v>
      </c>
      <c r="AH446" s="1698"/>
      <c r="AI446" s="1698"/>
      <c r="AJ446" s="1698"/>
    </row>
    <row r="447" spans="1:36" ht="12.9" customHeight="1">
      <c r="D447" s="1673" t="s">
        <v>1221</v>
      </c>
      <c r="E447" s="1674"/>
      <c r="F447" s="1674"/>
      <c r="G447" s="1674"/>
      <c r="H447" s="1674"/>
      <c r="I447" s="1674"/>
      <c r="J447" s="1674"/>
      <c r="K447" s="1674"/>
      <c r="L447" s="1674"/>
      <c r="M447" s="1674"/>
      <c r="N447" s="1674"/>
      <c r="O447" s="1674"/>
      <c r="P447" s="1674"/>
      <c r="Q447" s="1674"/>
      <c r="R447" s="1674"/>
      <c r="S447" s="1674"/>
      <c r="T447" s="1674"/>
      <c r="U447" s="1674"/>
      <c r="V447" s="1674"/>
      <c r="W447" s="1674"/>
      <c r="X447" s="1674"/>
      <c r="Y447" s="1674"/>
      <c r="Z447" s="1674"/>
      <c r="AA447" s="1674"/>
      <c r="AB447" s="1674"/>
      <c r="AC447" s="1674"/>
      <c r="AD447" s="1674"/>
      <c r="AE447" s="1674"/>
      <c r="AF447" s="1675"/>
      <c r="AG447" s="1780"/>
      <c r="AH447" s="1544"/>
      <c r="AI447" s="1544"/>
      <c r="AJ447" s="1544"/>
    </row>
    <row r="448" spans="1:36" ht="12.9" customHeight="1">
      <c r="D448" s="1673" t="s">
        <v>1031</v>
      </c>
      <c r="E448" s="1674"/>
      <c r="F448" s="1674"/>
      <c r="G448" s="1674"/>
      <c r="H448" s="1674"/>
      <c r="I448" s="1674"/>
      <c r="J448" s="1674"/>
      <c r="K448" s="1674"/>
      <c r="L448" s="1674"/>
      <c r="M448" s="1674"/>
      <c r="N448" s="1674"/>
      <c r="O448" s="1674"/>
      <c r="P448" s="1674"/>
      <c r="Q448" s="1674"/>
      <c r="R448" s="1674"/>
      <c r="S448" s="1674"/>
      <c r="T448" s="1674"/>
      <c r="U448" s="1674"/>
      <c r="V448" s="1674"/>
      <c r="W448" s="1674"/>
      <c r="X448" s="1674"/>
      <c r="Y448" s="1674"/>
      <c r="Z448" s="1674"/>
      <c r="AA448" s="1674"/>
      <c r="AB448" s="1674"/>
      <c r="AC448" s="1674"/>
      <c r="AD448" s="1674"/>
      <c r="AE448" s="1674"/>
      <c r="AF448" s="1675"/>
      <c r="AG448" s="1698">
        <v>182</v>
      </c>
      <c r="AH448" s="1698"/>
      <c r="AI448" s="1698"/>
      <c r="AJ448" s="1698"/>
    </row>
    <row r="449" spans="4:55" ht="12.9" customHeight="1">
      <c r="D449" s="1673" t="s">
        <v>1032</v>
      </c>
      <c r="E449" s="1674"/>
      <c r="F449" s="1674"/>
      <c r="G449" s="1674"/>
      <c r="H449" s="1674"/>
      <c r="I449" s="1674"/>
      <c r="J449" s="1674"/>
      <c r="K449" s="1674"/>
      <c r="L449" s="1674"/>
      <c r="M449" s="1674"/>
      <c r="N449" s="1674"/>
      <c r="O449" s="1674"/>
      <c r="P449" s="1674"/>
      <c r="Q449" s="1674"/>
      <c r="R449" s="1674"/>
      <c r="S449" s="1674"/>
      <c r="T449" s="1674"/>
      <c r="U449" s="1674"/>
      <c r="V449" s="1674"/>
      <c r="W449" s="1674"/>
      <c r="X449" s="1674"/>
      <c r="Y449" s="1674"/>
      <c r="Z449" s="1674"/>
      <c r="AA449" s="1674"/>
      <c r="AB449" s="1674"/>
      <c r="AC449" s="1674"/>
      <c r="AD449" s="1674"/>
      <c r="AE449" s="1674"/>
      <c r="AF449" s="1675"/>
      <c r="AG449" s="1698">
        <v>182</v>
      </c>
      <c r="AH449" s="1698"/>
      <c r="AI449" s="1698"/>
      <c r="AJ449" s="1698"/>
    </row>
    <row r="450" spans="4:55" ht="12.9" customHeight="1">
      <c r="D450" s="1673" t="s">
        <v>1034</v>
      </c>
      <c r="E450" s="1674"/>
      <c r="F450" s="1674"/>
      <c r="G450" s="1674"/>
      <c r="H450" s="1674"/>
      <c r="I450" s="1674"/>
      <c r="J450" s="1674"/>
      <c r="K450" s="1674"/>
      <c r="L450" s="1674"/>
      <c r="M450" s="1674"/>
      <c r="N450" s="1674"/>
      <c r="O450" s="1674"/>
      <c r="P450" s="1674"/>
      <c r="Q450" s="1674"/>
      <c r="R450" s="1674"/>
      <c r="S450" s="1674"/>
      <c r="T450" s="1674"/>
      <c r="U450" s="1674"/>
      <c r="V450" s="1674"/>
      <c r="W450" s="1674"/>
      <c r="X450" s="1674"/>
      <c r="Y450" s="1674"/>
      <c r="Z450" s="1674"/>
      <c r="AA450" s="1674"/>
      <c r="AB450" s="1674"/>
      <c r="AC450" s="1674"/>
      <c r="AD450" s="1674"/>
      <c r="AE450" s="1674"/>
      <c r="AF450" s="1675"/>
      <c r="AG450" s="1692">
        <f>IF(ISERROR(AG449/AG448),0,AG449/AG448)</f>
        <v>1</v>
      </c>
      <c r="AH450" s="1692"/>
      <c r="AI450" s="1692"/>
      <c r="AJ450" s="1692"/>
    </row>
    <row r="451" spans="4:55" ht="12.9" customHeight="1">
      <c r="D451" s="1673" t="s">
        <v>1033</v>
      </c>
      <c r="E451" s="1674"/>
      <c r="F451" s="1674"/>
      <c r="G451" s="1674"/>
      <c r="H451" s="1674"/>
      <c r="I451" s="1674"/>
      <c r="J451" s="1674"/>
      <c r="K451" s="1674"/>
      <c r="L451" s="1674"/>
      <c r="M451" s="1674"/>
      <c r="N451" s="1674"/>
      <c r="O451" s="1674"/>
      <c r="P451" s="1674"/>
      <c r="Q451" s="1674"/>
      <c r="R451" s="1674"/>
      <c r="S451" s="1674"/>
      <c r="T451" s="1674"/>
      <c r="U451" s="1674"/>
      <c r="V451" s="1674"/>
      <c r="W451" s="1674"/>
      <c r="X451" s="1674"/>
      <c r="Y451" s="1674"/>
      <c r="Z451" s="1674"/>
      <c r="AA451" s="1674"/>
      <c r="AB451" s="1674"/>
      <c r="AC451" s="1674"/>
      <c r="AD451" s="1674"/>
      <c r="AE451" s="1674"/>
      <c r="AF451" s="1675"/>
      <c r="AG451" s="1672">
        <v>118003</v>
      </c>
      <c r="AH451" s="1672"/>
      <c r="AI451" s="1672"/>
      <c r="AJ451" s="1672"/>
    </row>
    <row r="452" spans="4:55" ht="12.9" customHeight="1">
      <c r="D452" s="1673" t="s">
        <v>1035</v>
      </c>
      <c r="E452" s="1674"/>
      <c r="F452" s="1674"/>
      <c r="G452" s="1674"/>
      <c r="H452" s="1674"/>
      <c r="I452" s="1674"/>
      <c r="J452" s="1674"/>
      <c r="K452" s="1674"/>
      <c r="L452" s="1674"/>
      <c r="M452" s="1674"/>
      <c r="N452" s="1674"/>
      <c r="O452" s="1674"/>
      <c r="P452" s="1674"/>
      <c r="Q452" s="1674"/>
      <c r="R452" s="1674"/>
      <c r="S452" s="1674"/>
      <c r="T452" s="1674"/>
      <c r="U452" s="1674"/>
      <c r="V452" s="1674"/>
      <c r="W452" s="1674"/>
      <c r="X452" s="1674"/>
      <c r="Y452" s="1674"/>
      <c r="Z452" s="1674"/>
      <c r="AA452" s="1674"/>
      <c r="AB452" s="1674"/>
      <c r="AC452" s="1674"/>
      <c r="AD452" s="1674"/>
      <c r="AE452" s="1674"/>
      <c r="AF452" s="1675"/>
      <c r="AG452" s="1672">
        <v>118003</v>
      </c>
      <c r="AH452" s="1672"/>
      <c r="AI452" s="1672"/>
      <c r="AJ452" s="1672"/>
    </row>
    <row r="453" spans="4:55" ht="12.9" customHeight="1">
      <c r="D453" s="1673" t="s">
        <v>1036</v>
      </c>
      <c r="E453" s="1674"/>
      <c r="F453" s="1674"/>
      <c r="G453" s="1674"/>
      <c r="H453" s="1674"/>
      <c r="I453" s="1674"/>
      <c r="J453" s="1674"/>
      <c r="K453" s="1674"/>
      <c r="L453" s="1674"/>
      <c r="M453" s="1674"/>
      <c r="N453" s="1674"/>
      <c r="O453" s="1674"/>
      <c r="P453" s="1674"/>
      <c r="Q453" s="1674"/>
      <c r="R453" s="1674"/>
      <c r="S453" s="1674"/>
      <c r="T453" s="1674"/>
      <c r="U453" s="1674"/>
      <c r="V453" s="1674"/>
      <c r="W453" s="1674"/>
      <c r="X453" s="1674"/>
      <c r="Y453" s="1674"/>
      <c r="Z453" s="1674"/>
      <c r="AA453" s="1674"/>
      <c r="AB453" s="1674"/>
      <c r="AC453" s="1674"/>
      <c r="AD453" s="1674"/>
      <c r="AE453" s="1674"/>
      <c r="AF453" s="1675"/>
      <c r="AG453" s="1692">
        <f>IF(ISERROR(AG452/AG451),0,AG452/AG451)</f>
        <v>1</v>
      </c>
      <c r="AH453" s="1692"/>
      <c r="AI453" s="1692"/>
      <c r="AJ453" s="1692"/>
    </row>
    <row r="454" spans="4:55" ht="12.9" customHeight="1">
      <c r="D454" s="1673" t="s">
        <v>1037</v>
      </c>
      <c r="E454" s="1674"/>
      <c r="F454" s="1674"/>
      <c r="G454" s="1674"/>
      <c r="H454" s="1674"/>
      <c r="I454" s="1674"/>
      <c r="J454" s="1674"/>
      <c r="K454" s="1674"/>
      <c r="L454" s="1674"/>
      <c r="M454" s="1674"/>
      <c r="N454" s="1674"/>
      <c r="O454" s="1674"/>
      <c r="P454" s="1674"/>
      <c r="Q454" s="1674"/>
      <c r="R454" s="1674"/>
      <c r="S454" s="1674"/>
      <c r="T454" s="1674"/>
      <c r="U454" s="1674"/>
      <c r="V454" s="1674"/>
      <c r="W454" s="1674"/>
      <c r="X454" s="1674"/>
      <c r="Y454" s="1674"/>
      <c r="Z454" s="1674"/>
      <c r="AA454" s="1674"/>
      <c r="AB454" s="1674"/>
      <c r="AC454" s="1674"/>
      <c r="AD454" s="1674"/>
      <c r="AE454" s="1674"/>
      <c r="AF454" s="1675"/>
      <c r="AG454" s="1692">
        <f>MIN(IF(AG450&gt;AG453,AG453,AG450),1)</f>
        <v>1</v>
      </c>
      <c r="AH454" s="1692"/>
      <c r="AI454" s="1692"/>
      <c r="AJ454" s="1692"/>
    </row>
    <row r="455" spans="4:55" ht="12.9" customHeight="1">
      <c r="D455" s="1673" t="s">
        <v>2037</v>
      </c>
      <c r="E455" s="1642"/>
      <c r="F455" s="1642"/>
      <c r="G455" s="1642"/>
      <c r="H455" s="1642"/>
      <c r="I455" s="1642"/>
      <c r="J455" s="1642"/>
      <c r="K455" s="1642"/>
      <c r="L455" s="1642"/>
      <c r="M455" s="1642"/>
      <c r="N455" s="1642"/>
      <c r="O455" s="1642"/>
      <c r="P455" s="1642"/>
      <c r="Q455" s="1642"/>
      <c r="R455" s="1642"/>
      <c r="S455" s="1642"/>
      <c r="T455" s="1642"/>
      <c r="U455" s="1642"/>
      <c r="V455" s="1642"/>
      <c r="W455" s="1642"/>
      <c r="X455" s="1642"/>
      <c r="Y455" s="1642"/>
      <c r="Z455" s="1642"/>
      <c r="AA455" s="1642"/>
      <c r="AB455" s="1642"/>
      <c r="AC455" s="1642"/>
      <c r="AD455" s="1642"/>
      <c r="AE455" s="1642"/>
      <c r="AF455" s="1694"/>
      <c r="AG455" s="1672">
        <v>3445</v>
      </c>
      <c r="AH455" s="1672"/>
      <c r="AI455" s="1672"/>
      <c r="AJ455" s="1672"/>
      <c r="AZ455" s="34"/>
      <c r="BA455" s="34"/>
      <c r="BB455" s="34"/>
      <c r="BC455" s="34"/>
    </row>
    <row r="456" spans="4:55" ht="12.9" customHeight="1">
      <c r="D456" s="1646" t="s">
        <v>569</v>
      </c>
      <c r="E456" s="1642"/>
      <c r="F456" s="1642"/>
      <c r="G456" s="1642"/>
      <c r="H456" s="1642"/>
      <c r="I456" s="1642"/>
      <c r="J456" s="1642"/>
      <c r="K456" s="1642"/>
      <c r="L456" s="1642"/>
      <c r="M456" s="1642"/>
      <c r="N456" s="1642"/>
      <c r="O456" s="1642"/>
      <c r="P456" s="1642"/>
      <c r="Q456" s="1642"/>
      <c r="R456" s="1642"/>
      <c r="S456" s="1642"/>
      <c r="T456" s="1642"/>
      <c r="U456" s="1642"/>
      <c r="V456" s="1642"/>
      <c r="W456" s="1642"/>
      <c r="X456" s="1642"/>
      <c r="Y456" s="1642"/>
      <c r="Z456" s="1642"/>
      <c r="AA456" s="1642"/>
      <c r="AB456" s="1642"/>
      <c r="AC456" s="1642"/>
      <c r="AD456" s="1642"/>
      <c r="AE456" s="1642"/>
      <c r="AF456" s="1694"/>
      <c r="AG456" s="1672">
        <v>3445</v>
      </c>
      <c r="AH456" s="1672"/>
      <c r="AI456" s="1672"/>
      <c r="AJ456" s="1672"/>
      <c r="AZ456" s="3"/>
      <c r="BA456" s="3"/>
      <c r="BB456" s="3"/>
      <c r="BC456" s="3"/>
    </row>
    <row r="457" spans="4:55" ht="12.9" customHeight="1">
      <c r="D457" s="1673" t="s">
        <v>1204</v>
      </c>
      <c r="E457" s="1642"/>
      <c r="F457" s="1642"/>
      <c r="G457" s="1642"/>
      <c r="H457" s="1642"/>
      <c r="I457" s="1642"/>
      <c r="J457" s="1642"/>
      <c r="K457" s="1642"/>
      <c r="L457" s="1642"/>
      <c r="M457" s="1642"/>
      <c r="N457" s="1642"/>
      <c r="O457" s="1642"/>
      <c r="P457" s="1642"/>
      <c r="Q457" s="1642"/>
      <c r="R457" s="1642"/>
      <c r="S457" s="1642"/>
      <c r="T457" s="1642"/>
      <c r="U457" s="1642"/>
      <c r="V457" s="1642"/>
      <c r="W457" s="1642"/>
      <c r="X457" s="1642"/>
      <c r="Y457" s="1642"/>
      <c r="Z457" s="1642"/>
      <c r="AA457" s="1642"/>
      <c r="AB457" s="1642"/>
      <c r="AC457" s="1642"/>
      <c r="AD457" s="1642"/>
      <c r="AE457" s="1642"/>
      <c r="AF457" s="1694"/>
      <c r="AG457" s="1672">
        <v>0</v>
      </c>
      <c r="AH457" s="1672"/>
      <c r="AI457" s="1672"/>
      <c r="AJ457" s="1672"/>
      <c r="AZ457" s="3"/>
      <c r="BA457" s="3"/>
      <c r="BB457" s="3"/>
      <c r="BC457" s="3"/>
    </row>
    <row r="458" spans="4:55" ht="12.9" customHeight="1">
      <c r="D458" s="1673" t="s">
        <v>1038</v>
      </c>
      <c r="E458" s="1642"/>
      <c r="F458" s="1642"/>
      <c r="G458" s="1642"/>
      <c r="H458" s="1642"/>
      <c r="I458" s="1642"/>
      <c r="J458" s="1642"/>
      <c r="K458" s="1642"/>
      <c r="L458" s="1642"/>
      <c r="M458" s="1642"/>
      <c r="N458" s="1642"/>
      <c r="O458" s="1642"/>
      <c r="P458" s="1642"/>
      <c r="Q458" s="1642"/>
      <c r="R458" s="1642"/>
      <c r="S458" s="1642"/>
      <c r="T458" s="1642"/>
      <c r="U458" s="1642"/>
      <c r="V458" s="1642"/>
      <c r="W458" s="1642"/>
      <c r="X458" s="1642"/>
      <c r="Y458" s="1642"/>
      <c r="Z458" s="1642"/>
      <c r="AA458" s="1642"/>
      <c r="AB458" s="1642"/>
      <c r="AC458" s="1642"/>
      <c r="AD458" s="1642"/>
      <c r="AE458" s="1642"/>
      <c r="AF458" s="1694"/>
      <c r="AG458" s="1672">
        <v>83076</v>
      </c>
      <c r="AH458" s="1672"/>
      <c r="AI458" s="1672"/>
      <c r="AJ458" s="1672"/>
      <c r="BB458" s="3"/>
      <c r="BC458" s="3"/>
    </row>
    <row r="459" spans="4:55" ht="12.9" customHeight="1">
      <c r="D459" s="1685" t="s">
        <v>1039</v>
      </c>
      <c r="E459" s="1686"/>
      <c r="F459" s="1686"/>
      <c r="G459" s="1686"/>
      <c r="H459" s="1686"/>
      <c r="I459" s="1686"/>
      <c r="J459" s="1686"/>
      <c r="K459" s="1686"/>
      <c r="L459" s="1686"/>
      <c r="M459" s="1686"/>
      <c r="N459" s="1686"/>
      <c r="O459" s="1686"/>
      <c r="P459" s="1686"/>
      <c r="Q459" s="1686"/>
      <c r="R459" s="1686"/>
      <c r="S459" s="1686"/>
      <c r="T459" s="1686"/>
      <c r="U459" s="1686"/>
      <c r="V459" s="1686"/>
      <c r="W459" s="1686"/>
      <c r="X459" s="1686"/>
      <c r="Y459" s="1686"/>
      <c r="Z459" s="1686"/>
      <c r="AA459" s="1686"/>
      <c r="AB459" s="1686"/>
      <c r="AC459" s="1686"/>
      <c r="AD459" s="1686"/>
      <c r="AE459" s="1686"/>
      <c r="AF459" s="1687"/>
      <c r="AG459" s="1799">
        <f>AG451+AG455+AG457+AG458</f>
        <v>204524</v>
      </c>
      <c r="AH459" s="1799"/>
      <c r="AI459" s="1799"/>
      <c r="AJ459" s="1799"/>
      <c r="AZ459" s="3"/>
      <c r="BA459" s="3"/>
      <c r="BB459" s="3"/>
      <c r="BC459" s="3"/>
    </row>
    <row r="460" spans="4:55" ht="12.9" customHeight="1">
      <c r="D460" s="1676" t="s">
        <v>1205</v>
      </c>
      <c r="E460" s="1676"/>
      <c r="F460" s="1676"/>
      <c r="G460" s="1676"/>
      <c r="H460" s="1676"/>
      <c r="I460" s="1676"/>
      <c r="J460" s="1676"/>
      <c r="K460" s="1676"/>
      <c r="L460" s="1676"/>
      <c r="M460" s="1676"/>
      <c r="N460" s="1676"/>
      <c r="O460" s="1676"/>
      <c r="P460" s="1676"/>
      <c r="Q460" s="1676"/>
      <c r="R460" s="1676"/>
      <c r="S460" s="1676"/>
      <c r="T460" s="1676"/>
      <c r="U460" s="1676"/>
      <c r="V460" s="1676"/>
      <c r="W460" s="1676"/>
      <c r="X460" s="1676"/>
      <c r="Y460" s="1676"/>
      <c r="Z460" s="1676"/>
      <c r="AA460" s="1676"/>
      <c r="AB460" s="1676"/>
      <c r="AC460" s="1676"/>
      <c r="AD460" s="1676"/>
      <c r="AE460" s="1676"/>
      <c r="AF460" s="1676"/>
      <c r="AG460" s="1676"/>
      <c r="AH460" s="1676"/>
      <c r="AI460" s="1676"/>
      <c r="AJ460" s="1676"/>
      <c r="AZ460" s="3"/>
      <c r="BA460" s="3"/>
      <c r="BB460" s="3"/>
      <c r="BC460" s="3"/>
    </row>
    <row r="461" spans="4:55" ht="12.9" customHeight="1">
      <c r="D461" s="1677"/>
      <c r="E461" s="1677"/>
      <c r="F461" s="1677"/>
      <c r="G461" s="1677"/>
      <c r="H461" s="1677"/>
      <c r="I461" s="1677"/>
      <c r="J461" s="1677"/>
      <c r="K461" s="1677"/>
      <c r="L461" s="1677"/>
      <c r="M461" s="1677"/>
      <c r="N461" s="1677"/>
      <c r="O461" s="1677"/>
      <c r="P461" s="1677"/>
      <c r="Q461" s="1677"/>
      <c r="R461" s="1677"/>
      <c r="S461" s="1677"/>
      <c r="T461" s="1677"/>
      <c r="U461" s="1677"/>
      <c r="V461" s="1677"/>
      <c r="W461" s="1677"/>
      <c r="X461" s="1677"/>
      <c r="Y461" s="1677"/>
      <c r="Z461" s="1677"/>
      <c r="AA461" s="1677"/>
      <c r="AB461" s="1677"/>
      <c r="AC461" s="1677"/>
      <c r="AD461" s="1677"/>
      <c r="AE461" s="1677"/>
      <c r="AF461" s="1677"/>
      <c r="AG461" s="1677"/>
      <c r="AH461" s="1677"/>
      <c r="AI461" s="1677"/>
      <c r="AJ461" s="1677"/>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2">
        <f>IF(AG446=0,"",'Sources and Uses Budget'!B105/Application!AG446)</f>
        <v>566296.36956521741</v>
      </c>
      <c r="AD463" s="1702"/>
      <c r="AE463" s="1702"/>
      <c r="AF463" s="1702"/>
      <c r="AG463" s="177"/>
      <c r="AH463" s="177"/>
      <c r="AI463" s="177"/>
      <c r="AJ463" s="183"/>
      <c r="AZ463" s="3"/>
      <c r="BA463" s="3" t="str">
        <f>AG583</f>
        <v>Yes</v>
      </c>
      <c r="BB463" s="3"/>
      <c r="BC463" s="3"/>
    </row>
    <row r="464" spans="4:55" ht="12.9"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2">
        <f>IF(AG446=0,"",'Sources and Uses Budget'!C105/Application!AG446)</f>
        <v>566296.36956521741</v>
      </c>
      <c r="AD464" s="1702"/>
      <c r="AE464" s="1702"/>
      <c r="AF464" s="1702"/>
      <c r="AG464" s="177"/>
      <c r="AH464" s="177"/>
      <c r="AI464" s="177"/>
      <c r="AJ464" s="183"/>
      <c r="AZ464" s="3"/>
      <c r="BA464" s="3"/>
      <c r="BB464" s="3"/>
      <c r="BC464" s="3"/>
    </row>
    <row r="465" spans="1:55" ht="12.9"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2">
        <f>IF(AG446=0,"",('Sources and Uses Budget'!$S$107+'Sources and Uses Budget'!$T$107)/Application!AG446)</f>
        <v>520429.15217391303</v>
      </c>
      <c r="AD465" s="1702"/>
      <c r="AE465" s="1702"/>
      <c r="AF465" s="1702"/>
      <c r="AG465" s="177"/>
      <c r="AH465" s="177"/>
      <c r="AI465" s="177"/>
      <c r="AJ465" s="183"/>
      <c r="AZ465" s="3"/>
      <c r="BA465" s="3"/>
      <c r="BB465" s="3"/>
      <c r="BC465" s="3"/>
    </row>
    <row r="466" spans="1:55" ht="12.9"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779" t="s">
        <v>2049</v>
      </c>
      <c r="E473" s="1704"/>
      <c r="F473" s="1704"/>
      <c r="G473" s="1704"/>
      <c r="H473" s="1704"/>
      <c r="I473" s="1704"/>
      <c r="J473" s="1704"/>
      <c r="K473" s="1704"/>
      <c r="L473" s="1704"/>
      <c r="M473" s="1704"/>
      <c r="N473" s="1704"/>
      <c r="O473" s="1704"/>
      <c r="P473" s="1704"/>
      <c r="Q473" s="1704"/>
      <c r="R473" s="1704"/>
      <c r="S473" s="1704"/>
      <c r="T473" s="1704"/>
      <c r="U473" s="1704"/>
      <c r="V473" s="1705"/>
      <c r="W473" s="1682">
        <v>0</v>
      </c>
      <c r="X473" s="1683"/>
      <c r="Y473" s="1684"/>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703" t="s">
        <v>693</v>
      </c>
      <c r="E474" s="1704"/>
      <c r="F474" s="1704"/>
      <c r="G474" s="1704"/>
      <c r="H474" s="1704"/>
      <c r="I474" s="1704"/>
      <c r="J474" s="1704"/>
      <c r="K474" s="1704"/>
      <c r="L474" s="1704"/>
      <c r="M474" s="1704"/>
      <c r="N474" s="1704"/>
      <c r="O474" s="1704"/>
      <c r="P474" s="1704"/>
      <c r="Q474" s="1704"/>
      <c r="R474" s="1704"/>
      <c r="S474" s="1704"/>
      <c r="T474" s="1704"/>
      <c r="U474" s="1704"/>
      <c r="V474" s="1705"/>
      <c r="W474" s="1682">
        <v>0</v>
      </c>
      <c r="X474" s="1683"/>
      <c r="Y474" s="1684"/>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703" t="s">
        <v>694</v>
      </c>
      <c r="E475" s="1704"/>
      <c r="F475" s="1704"/>
      <c r="G475" s="1704"/>
      <c r="H475" s="1704"/>
      <c r="I475" s="1704"/>
      <c r="J475" s="1704"/>
      <c r="K475" s="1704"/>
      <c r="L475" s="1704"/>
      <c r="M475" s="1704"/>
      <c r="N475" s="1704"/>
      <c r="O475" s="1704"/>
      <c r="P475" s="1704"/>
      <c r="Q475" s="1704"/>
      <c r="R475" s="1704"/>
      <c r="S475" s="1704"/>
      <c r="T475" s="1704"/>
      <c r="U475" s="1704"/>
      <c r="V475" s="1705"/>
      <c r="W475" s="1682">
        <v>0</v>
      </c>
      <c r="X475" s="1683"/>
      <c r="Y475" s="1684"/>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703" t="s">
        <v>695</v>
      </c>
      <c r="E476" s="1704"/>
      <c r="F476" s="1704"/>
      <c r="G476" s="1704"/>
      <c r="H476" s="1704"/>
      <c r="I476" s="1704"/>
      <c r="J476" s="1704"/>
      <c r="K476" s="1704"/>
      <c r="L476" s="1704"/>
      <c r="M476" s="1704"/>
      <c r="N476" s="1704"/>
      <c r="O476" s="1704"/>
      <c r="P476" s="1704"/>
      <c r="Q476" s="1704"/>
      <c r="R476" s="1704"/>
      <c r="S476" s="1704"/>
      <c r="T476" s="1704"/>
      <c r="U476" s="1704"/>
      <c r="V476" s="1705"/>
      <c r="W476" s="1682">
        <v>0</v>
      </c>
      <c r="X476" s="1683"/>
      <c r="Y476" s="1684"/>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703" t="s">
        <v>881</v>
      </c>
      <c r="E477" s="1704"/>
      <c r="F477" s="1704"/>
      <c r="G477" s="1704"/>
      <c r="H477" s="1704"/>
      <c r="I477" s="1704"/>
      <c r="J477" s="1704"/>
      <c r="K477" s="1704"/>
      <c r="L477" s="1704"/>
      <c r="M477" s="1704"/>
      <c r="N477" s="1704"/>
      <c r="O477" s="1704"/>
      <c r="P477" s="1704"/>
      <c r="Q477" s="1704"/>
      <c r="R477" s="1704"/>
      <c r="S477" s="1704"/>
      <c r="T477" s="1704"/>
      <c r="U477" s="1704"/>
      <c r="V477" s="1705"/>
      <c r="W477" s="1682">
        <v>0</v>
      </c>
      <c r="X477" s="1683"/>
      <c r="Y477" s="1684"/>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703" t="s">
        <v>696</v>
      </c>
      <c r="E478" s="1704"/>
      <c r="F478" s="1704"/>
      <c r="G478" s="1704"/>
      <c r="H478" s="1704"/>
      <c r="I478" s="1704"/>
      <c r="J478" s="1704"/>
      <c r="K478" s="1704"/>
      <c r="L478" s="1704"/>
      <c r="M478" s="1704"/>
      <c r="N478" s="1704"/>
      <c r="O478" s="1704"/>
      <c r="P478" s="1704"/>
      <c r="Q478" s="1704"/>
      <c r="R478" s="1704"/>
      <c r="S478" s="1704"/>
      <c r="T478" s="1704"/>
      <c r="U478" s="1704"/>
      <c r="V478" s="1705"/>
      <c r="W478" s="1682">
        <v>0</v>
      </c>
      <c r="X478" s="1683"/>
      <c r="Y478" s="1684"/>
      <c r="Z478" s="184"/>
      <c r="AA478" s="184"/>
      <c r="AB478" s="184"/>
      <c r="AC478" s="184"/>
      <c r="AD478" s="177"/>
      <c r="AE478" s="177"/>
      <c r="AF478" s="177"/>
      <c r="AG478" s="177"/>
      <c r="AH478" s="177"/>
      <c r="AI478" s="177"/>
      <c r="AJ478" s="183"/>
      <c r="AZ478" s="3"/>
      <c r="BA478" s="3" t="str">
        <f>AG599</f>
        <v>Yes</v>
      </c>
      <c r="BB478" s="3"/>
      <c r="BC478" s="3"/>
    </row>
    <row r="479" spans="1:55" ht="12.9" customHeight="1">
      <c r="A479" s="3"/>
      <c r="B479" s="3"/>
      <c r="C479" s="3"/>
      <c r="D479" s="1703" t="s">
        <v>1012</v>
      </c>
      <c r="E479" s="1704"/>
      <c r="F479" s="1704"/>
      <c r="G479" s="1704"/>
      <c r="H479" s="1704"/>
      <c r="I479" s="1704"/>
      <c r="J479" s="1704"/>
      <c r="K479" s="1704"/>
      <c r="L479" s="1704"/>
      <c r="M479" s="1704"/>
      <c r="N479" s="1704"/>
      <c r="O479" s="1704"/>
      <c r="P479" s="1704"/>
      <c r="Q479" s="1704"/>
      <c r="R479" s="1704"/>
      <c r="S479" s="1704"/>
      <c r="T479" s="1704"/>
      <c r="U479" s="1704"/>
      <c r="V479" s="1705"/>
      <c r="W479" s="1682">
        <v>0</v>
      </c>
      <c r="X479" s="1683"/>
      <c r="Y479" s="1684"/>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779" t="s">
        <v>2139</v>
      </c>
      <c r="E480" s="1788"/>
      <c r="F480" s="1788"/>
      <c r="G480" s="1788"/>
      <c r="H480" s="1788"/>
      <c r="I480" s="1788"/>
      <c r="J480" s="1788"/>
      <c r="K480" s="1788"/>
      <c r="L480" s="1788"/>
      <c r="M480" s="1788"/>
      <c r="N480" s="1788"/>
      <c r="O480" s="1788"/>
      <c r="P480" s="1788"/>
      <c r="Q480" s="1788"/>
      <c r="R480" s="1788"/>
      <c r="S480" s="1788"/>
      <c r="T480" s="1788"/>
      <c r="U480" s="1788"/>
      <c r="V480" s="1789"/>
      <c r="W480" s="1682">
        <v>0</v>
      </c>
      <c r="X480" s="1683"/>
      <c r="Y480" s="1684"/>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779" t="s">
        <v>1642</v>
      </c>
      <c r="E481" s="1704"/>
      <c r="F481" s="1704"/>
      <c r="G481" s="1704"/>
      <c r="H481" s="1704"/>
      <c r="I481" s="1704"/>
      <c r="J481" s="1704"/>
      <c r="K481" s="1704"/>
      <c r="L481" s="1704"/>
      <c r="M481" s="1704"/>
      <c r="N481" s="1704"/>
      <c r="O481" s="1704"/>
      <c r="P481" s="1704"/>
      <c r="Q481" s="1704"/>
      <c r="R481" s="1704"/>
      <c r="S481" s="1704"/>
      <c r="T481" s="1704"/>
      <c r="U481" s="1704"/>
      <c r="V481" s="1705"/>
      <c r="W481" s="1682">
        <v>47</v>
      </c>
      <c r="X481" s="1683"/>
      <c r="Y481" s="1684"/>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170</v>
      </c>
      <c r="E482" s="244"/>
      <c r="F482" s="245"/>
      <c r="G482" s="1499"/>
      <c r="H482" s="1500"/>
      <c r="I482" s="1500"/>
      <c r="J482" s="1500"/>
      <c r="K482" s="1500"/>
      <c r="L482" s="1500"/>
      <c r="M482" s="1500"/>
      <c r="N482" s="1500"/>
      <c r="O482" s="1500"/>
      <c r="P482" s="1500"/>
      <c r="Q482" s="1500"/>
      <c r="R482" s="1500"/>
      <c r="S482" s="1500"/>
      <c r="T482" s="1500"/>
      <c r="U482" s="1500"/>
      <c r="V482" s="1501"/>
      <c r="W482" s="1682">
        <v>0</v>
      </c>
      <c r="X482" s="1683"/>
      <c r="Y482" s="1684"/>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 customHeight="1">
      <c r="AU487" s="95"/>
      <c r="AV487" s="95"/>
      <c r="AW487" s="95"/>
      <c r="AX487" s="95"/>
      <c r="AY487" s="95"/>
      <c r="AZ487" s="3"/>
      <c r="BA487" s="3" t="str">
        <f>AG607</f>
        <v>No</v>
      </c>
      <c r="BB487" s="3"/>
      <c r="BC487" s="3"/>
    </row>
    <row r="488" spans="1:55" ht="12.9" customHeight="1">
      <c r="A488" s="1359" t="s">
        <v>810</v>
      </c>
      <c r="B488" s="1359"/>
      <c r="C488" s="1359"/>
      <c r="D488" s="1359"/>
      <c r="E488" s="1359"/>
      <c r="F488" s="1359"/>
      <c r="G488" s="1359"/>
      <c r="H488" s="1359"/>
      <c r="I488" s="1359"/>
      <c r="J488" s="1359"/>
      <c r="K488" s="1359"/>
      <c r="L488" s="1359"/>
      <c r="M488" s="1359"/>
      <c r="N488" s="1359"/>
      <c r="O488" s="1359"/>
      <c r="P488" s="1359"/>
      <c r="Q488" s="1359"/>
      <c r="R488" s="1359"/>
      <c r="S488" s="1359"/>
      <c r="T488" s="1359"/>
      <c r="U488" s="1359"/>
      <c r="V488" s="1359"/>
      <c r="W488" s="1359"/>
      <c r="X488" s="1359"/>
      <c r="Y488" s="1359"/>
      <c r="Z488" s="1359"/>
      <c r="AA488" s="1359"/>
      <c r="AB488" s="1359"/>
      <c r="AC488" s="1359"/>
      <c r="AD488" s="1359"/>
      <c r="AE488" s="1359"/>
      <c r="AF488" s="1359"/>
      <c r="AG488" s="1359"/>
      <c r="AH488" s="1359"/>
      <c r="AI488" s="1359"/>
      <c r="AJ488" s="1359"/>
      <c r="AK488" s="1359"/>
      <c r="AL488" s="1359"/>
      <c r="AM488" s="1359"/>
      <c r="AN488" s="1359"/>
      <c r="AO488" s="1359"/>
      <c r="AP488" s="1359"/>
      <c r="AQ488" s="1359"/>
      <c r="AR488" s="1359"/>
      <c r="AS488" s="1359"/>
      <c r="AT488" s="1359"/>
      <c r="AU488" s="95"/>
      <c r="AV488" s="95"/>
      <c r="AW488" s="95"/>
      <c r="AX488" s="95"/>
      <c r="AY488" s="95"/>
      <c r="AZ488" s="3"/>
      <c r="BB488" s="3"/>
      <c r="BC488" s="3"/>
    </row>
    <row r="489" spans="1:55" ht="12.9" customHeight="1">
      <c r="A489" s="1359"/>
      <c r="B489" s="1359"/>
      <c r="C489" s="1359"/>
      <c r="D489" s="1359"/>
      <c r="E489" s="1359"/>
      <c r="F489" s="1359"/>
      <c r="G489" s="1359"/>
      <c r="H489" s="1359"/>
      <c r="I489" s="1359"/>
      <c r="J489" s="1359"/>
      <c r="K489" s="1359"/>
      <c r="L489" s="1359"/>
      <c r="M489" s="1359"/>
      <c r="N489" s="1359"/>
      <c r="O489" s="1359"/>
      <c r="P489" s="1359"/>
      <c r="Q489" s="1359"/>
      <c r="R489" s="1359"/>
      <c r="S489" s="1359"/>
      <c r="T489" s="1359"/>
      <c r="U489" s="1359"/>
      <c r="V489" s="1359"/>
      <c r="W489" s="1359"/>
      <c r="X489" s="1359"/>
      <c r="Y489" s="1359"/>
      <c r="Z489" s="1359"/>
      <c r="AA489" s="1359"/>
      <c r="AB489" s="1359"/>
      <c r="AC489" s="1359"/>
      <c r="AD489" s="1359"/>
      <c r="AE489" s="1359"/>
      <c r="AF489" s="1359"/>
      <c r="AG489" s="1359"/>
      <c r="AH489" s="1359"/>
      <c r="AI489" s="1359"/>
      <c r="AJ489" s="1359"/>
      <c r="AK489" s="1359"/>
      <c r="AL489" s="1359"/>
      <c r="AM489" s="1359"/>
      <c r="AN489" s="1359"/>
      <c r="AO489" s="1359"/>
      <c r="AP489" s="1359"/>
      <c r="AQ489" s="1359"/>
      <c r="AR489" s="1359"/>
      <c r="AS489" s="1359"/>
      <c r="AT489" s="1359"/>
      <c r="AZ489" s="3"/>
      <c r="BB489" s="3"/>
      <c r="BC489" s="3"/>
    </row>
    <row r="490" spans="1:55" ht="12.9" customHeight="1">
      <c r="AZ490" s="3"/>
      <c r="BB490" s="3"/>
      <c r="BC490" s="3"/>
    </row>
    <row r="491" spans="1:55" ht="12.9" customHeight="1">
      <c r="A491" s="2" t="s">
        <v>319</v>
      </c>
      <c r="C491" s="2" t="s">
        <v>808</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695" t="s">
        <v>393</v>
      </c>
      <c r="R493" s="1688"/>
      <c r="S493" s="1688"/>
      <c r="T493" s="1688"/>
      <c r="U493" s="1688"/>
      <c r="V493" s="1688"/>
      <c r="W493" s="1688"/>
      <c r="X493" s="1688"/>
      <c r="Y493" s="1688"/>
      <c r="Z493" s="1688"/>
      <c r="AA493" s="1688"/>
      <c r="AB493" s="1688"/>
      <c r="AC493" s="1688"/>
      <c r="AD493" s="1688"/>
      <c r="AE493" s="1688"/>
      <c r="AF493" s="1688"/>
      <c r="AG493" s="1688"/>
      <c r="AH493" s="1688"/>
      <c r="AI493" s="1688"/>
      <c r="AJ493" s="1688"/>
      <c r="AK493" s="1689"/>
      <c r="AZ493" s="3"/>
      <c r="BB493" s="3"/>
      <c r="BC493" s="3"/>
    </row>
    <row r="494" spans="1:55" ht="12.9" customHeight="1">
      <c r="B494" s="45" t="s">
        <v>394</v>
      </c>
      <c r="C494" s="5"/>
      <c r="D494" s="5"/>
      <c r="E494" s="5"/>
      <c r="F494" s="5"/>
      <c r="G494" s="5"/>
      <c r="H494" s="5"/>
      <c r="I494" s="5"/>
      <c r="J494" s="5"/>
      <c r="K494" s="5"/>
      <c r="L494" s="5"/>
      <c r="M494" s="5"/>
      <c r="N494" s="5"/>
      <c r="O494" s="5"/>
      <c r="P494" s="5"/>
      <c r="Q494" s="250" t="s">
        <v>2799</v>
      </c>
      <c r="R494" s="251"/>
      <c r="S494" s="251"/>
      <c r="T494" s="251"/>
      <c r="U494" s="251"/>
      <c r="V494" s="251"/>
      <c r="W494" s="251"/>
      <c r="X494" s="251"/>
      <c r="Y494" s="251"/>
      <c r="Z494" s="251"/>
      <c r="AA494" s="251"/>
      <c r="AB494" s="251"/>
      <c r="AC494" s="251"/>
      <c r="AD494" s="251"/>
      <c r="AE494" s="251"/>
      <c r="AF494" s="251"/>
      <c r="AG494" s="251"/>
      <c r="AH494" s="251"/>
      <c r="AI494" s="251"/>
      <c r="AJ494" s="251"/>
      <c r="AK494" s="1287"/>
      <c r="AZ494" s="3"/>
      <c r="BB494" s="3"/>
      <c r="BC494" s="3"/>
    </row>
    <row r="495" spans="1:55" ht="12.9" customHeight="1">
      <c r="B495" s="45" t="s">
        <v>395</v>
      </c>
      <c r="C495" s="5"/>
      <c r="D495" s="5"/>
      <c r="E495" s="5"/>
      <c r="F495" s="5"/>
      <c r="G495" s="5"/>
      <c r="H495" s="5"/>
      <c r="I495" s="5"/>
      <c r="J495" s="5"/>
      <c r="K495" s="5"/>
      <c r="L495" s="5"/>
      <c r="M495" s="5"/>
      <c r="N495" s="5"/>
      <c r="O495" s="5"/>
      <c r="P495" s="5"/>
      <c r="Q495" s="250" t="s">
        <v>2800</v>
      </c>
      <c r="R495" s="251"/>
      <c r="S495" s="251"/>
      <c r="T495" s="251"/>
      <c r="U495" s="251"/>
      <c r="V495" s="251"/>
      <c r="W495" s="251"/>
      <c r="X495" s="251"/>
      <c r="Y495" s="251"/>
      <c r="Z495" s="251"/>
      <c r="AA495" s="251"/>
      <c r="AB495" s="251"/>
      <c r="AC495" s="251"/>
      <c r="AD495" s="251"/>
      <c r="AE495" s="251"/>
      <c r="AF495" s="251"/>
      <c r="AG495" s="251"/>
      <c r="AH495" s="251"/>
      <c r="AI495" s="251"/>
      <c r="AJ495" s="251"/>
      <c r="AK495" s="1287"/>
      <c r="AZ495" s="3"/>
      <c r="BB495" s="3"/>
      <c r="BC495" s="3"/>
    </row>
    <row r="496" spans="1:55" ht="12.9" customHeight="1">
      <c r="B496" s="45" t="s">
        <v>396</v>
      </c>
      <c r="C496" s="5"/>
      <c r="D496" s="5"/>
      <c r="E496" s="5"/>
      <c r="F496" s="5"/>
      <c r="G496" s="5"/>
      <c r="H496" s="5"/>
      <c r="I496" s="5"/>
      <c r="J496" s="5"/>
      <c r="K496" s="5"/>
      <c r="L496" s="5"/>
      <c r="M496" s="5"/>
      <c r="N496" s="5"/>
      <c r="O496" s="5"/>
      <c r="P496" s="5"/>
      <c r="Q496" s="250" t="s">
        <v>2800</v>
      </c>
      <c r="R496" s="251"/>
      <c r="S496" s="251"/>
      <c r="T496" s="251"/>
      <c r="U496" s="251"/>
      <c r="V496" s="251"/>
      <c r="W496" s="251"/>
      <c r="X496" s="251"/>
      <c r="Y496" s="251"/>
      <c r="Z496" s="251"/>
      <c r="AA496" s="251"/>
      <c r="AB496" s="251"/>
      <c r="AC496" s="251"/>
      <c r="AD496" s="251"/>
      <c r="AE496" s="251"/>
      <c r="AF496" s="251"/>
      <c r="AG496" s="251"/>
      <c r="AH496" s="251"/>
      <c r="AI496" s="251"/>
      <c r="AJ496" s="251"/>
      <c r="AK496" s="1287"/>
      <c r="AZ496" s="3"/>
      <c r="BA496" s="3"/>
      <c r="BB496" s="3"/>
      <c r="BC496" s="3"/>
    </row>
    <row r="497" spans="1:66" ht="12.9" customHeight="1">
      <c r="B497" s="1801" t="s">
        <v>397</v>
      </c>
      <c r="C497" s="1802"/>
      <c r="D497" s="1802"/>
      <c r="E497" s="1802"/>
      <c r="F497" s="1802"/>
      <c r="G497" s="1802"/>
      <c r="H497" s="1802"/>
      <c r="I497" s="1802"/>
      <c r="J497" s="1802"/>
      <c r="K497" s="1802"/>
      <c r="L497" s="1802"/>
      <c r="M497" s="1802"/>
      <c r="N497" s="1802"/>
      <c r="O497" s="1802"/>
      <c r="P497" s="1803"/>
      <c r="Q497" s="1807" t="s">
        <v>669</v>
      </c>
      <c r="R497" s="1808"/>
      <c r="S497" s="1781" t="s">
        <v>166</v>
      </c>
      <c r="T497" s="1782"/>
      <c r="U497" s="1782"/>
      <c r="V497" s="1782"/>
      <c r="W497" s="1782"/>
      <c r="X497" s="1782"/>
      <c r="Y497" s="1782"/>
      <c r="Z497" s="1782"/>
      <c r="AA497" s="1782"/>
      <c r="AB497" s="1782"/>
      <c r="AC497" s="1782"/>
      <c r="AD497" s="1782"/>
      <c r="AE497" s="1782"/>
      <c r="AF497" s="1782"/>
      <c r="AG497" s="1782"/>
      <c r="AH497" s="1782"/>
      <c r="AI497" s="1782"/>
      <c r="AJ497" s="1782"/>
      <c r="AK497" s="1783"/>
      <c r="AZ497" s="3"/>
      <c r="BA497" s="3"/>
      <c r="BB497" s="3"/>
      <c r="BC497" s="3"/>
    </row>
    <row r="498" spans="1:66" ht="12.9" customHeight="1">
      <c r="B498" s="1804"/>
      <c r="C498" s="1805"/>
      <c r="D498" s="1805"/>
      <c r="E498" s="1805"/>
      <c r="F498" s="1805"/>
      <c r="G498" s="1805"/>
      <c r="H498" s="1805"/>
      <c r="I498" s="1805"/>
      <c r="J498" s="1805"/>
      <c r="K498" s="1805"/>
      <c r="L498" s="1805"/>
      <c r="M498" s="1805"/>
      <c r="N498" s="1805"/>
      <c r="O498" s="1805"/>
      <c r="P498" s="1806"/>
      <c r="Q498" s="1809"/>
      <c r="R498" s="1810"/>
      <c r="S498" s="1784"/>
      <c r="T498" s="1768"/>
      <c r="U498" s="1768"/>
      <c r="V498" s="1768"/>
      <c r="W498" s="1768"/>
      <c r="X498" s="1768"/>
      <c r="Y498" s="1768"/>
      <c r="Z498" s="1768"/>
      <c r="AA498" s="1768"/>
      <c r="AB498" s="1768"/>
      <c r="AC498" s="1768"/>
      <c r="AD498" s="1768"/>
      <c r="AE498" s="1768"/>
      <c r="AF498" s="1768"/>
      <c r="AG498" s="1768"/>
      <c r="AH498" s="1768"/>
      <c r="AI498" s="1768"/>
      <c r="AJ498" s="1768"/>
      <c r="AK498" s="1785"/>
      <c r="AZ498" s="3"/>
      <c r="BA498" s="3"/>
      <c r="BB498" s="3"/>
      <c r="BC498" s="3"/>
    </row>
    <row r="499" spans="1:66" ht="12.9" customHeight="1">
      <c r="B499" s="886" t="s">
        <v>1659</v>
      </c>
      <c r="C499" s="864"/>
      <c r="D499" s="864"/>
      <c r="E499" s="864"/>
      <c r="F499" s="864"/>
      <c r="G499" s="864"/>
      <c r="H499" s="864"/>
      <c r="I499" s="864"/>
      <c r="J499" s="864"/>
      <c r="K499" s="864"/>
      <c r="L499" s="864"/>
      <c r="M499" s="864"/>
      <c r="N499" s="864"/>
      <c r="O499" s="864"/>
      <c r="P499" s="864"/>
      <c r="Q499" s="1791" t="s">
        <v>669</v>
      </c>
      <c r="R499" s="1792"/>
      <c r="S499" s="1792"/>
      <c r="T499" s="1792"/>
      <c r="U499" s="1792"/>
      <c r="V499" s="1792"/>
      <c r="W499" s="1792"/>
      <c r="X499" s="1792"/>
      <c r="Y499" s="1792"/>
      <c r="Z499" s="1792"/>
      <c r="AA499" s="1792"/>
      <c r="AB499" s="1792"/>
      <c r="AC499" s="1792"/>
      <c r="AD499" s="1792"/>
      <c r="AE499" s="1792"/>
      <c r="AF499" s="1792"/>
      <c r="AG499" s="1792"/>
      <c r="AH499" s="1792"/>
      <c r="AI499" s="1792"/>
      <c r="AJ499" s="1792"/>
      <c r="AK499" s="1793"/>
      <c r="AZ499" s="3"/>
      <c r="BA499" s="3"/>
      <c r="BB499" s="3"/>
      <c r="BC499" s="3"/>
    </row>
    <row r="500" spans="1:66" ht="12.9" customHeight="1">
      <c r="B500" s="45" t="s">
        <v>398</v>
      </c>
      <c r="C500" s="5"/>
      <c r="D500" s="5"/>
      <c r="E500" s="5"/>
      <c r="F500" s="5"/>
      <c r="G500" s="5"/>
      <c r="H500" s="5"/>
      <c r="I500" s="5"/>
      <c r="J500" s="5"/>
      <c r="K500" s="5"/>
      <c r="L500" s="5"/>
      <c r="M500" s="5"/>
      <c r="N500" s="5"/>
      <c r="O500" s="5"/>
      <c r="P500" s="5"/>
      <c r="Q500" s="1536" t="s">
        <v>2833</v>
      </c>
      <c r="R500" s="1424"/>
      <c r="S500" s="1424"/>
      <c r="T500" s="1424"/>
      <c r="U500" s="1424"/>
      <c r="V500" s="1424"/>
      <c r="W500" s="1424"/>
      <c r="X500" s="1424"/>
      <c r="Y500" s="1424"/>
      <c r="Z500" s="1424"/>
      <c r="AA500" s="1424"/>
      <c r="AB500" s="1424"/>
      <c r="AC500" s="1424"/>
      <c r="AD500" s="1424"/>
      <c r="AE500" s="1424"/>
      <c r="AF500" s="1424"/>
      <c r="AG500" s="1424"/>
      <c r="AH500" s="1424"/>
      <c r="AI500" s="1424"/>
      <c r="AJ500" s="1424"/>
      <c r="AK500" s="1537"/>
      <c r="AZ500" s="3"/>
      <c r="BA500" s="3"/>
      <c r="BB500" s="3"/>
      <c r="BC500" s="3"/>
    </row>
    <row r="501" spans="1:66" ht="12.9" customHeight="1">
      <c r="B501" s="45" t="s">
        <v>399</v>
      </c>
      <c r="C501" s="5"/>
      <c r="D501" s="5"/>
      <c r="E501" s="5"/>
      <c r="F501" s="5"/>
      <c r="G501" s="5"/>
      <c r="H501" s="5"/>
      <c r="I501" s="5"/>
      <c r="J501" s="5"/>
      <c r="K501" s="5"/>
      <c r="L501" s="5"/>
      <c r="M501" s="5"/>
      <c r="N501" s="5"/>
      <c r="O501" s="5"/>
      <c r="P501" s="5"/>
      <c r="Q501" s="1536" t="s">
        <v>2834</v>
      </c>
      <c r="R501" s="1424"/>
      <c r="S501" s="1424"/>
      <c r="T501" s="1424"/>
      <c r="U501" s="1424"/>
      <c r="V501" s="1424"/>
      <c r="W501" s="1424"/>
      <c r="X501" s="1424"/>
      <c r="Y501" s="1424"/>
      <c r="Z501" s="1424"/>
      <c r="AA501" s="1424"/>
      <c r="AB501" s="1424"/>
      <c r="AC501" s="1424"/>
      <c r="AD501" s="1424"/>
      <c r="AE501" s="1424"/>
      <c r="AF501" s="1424"/>
      <c r="AG501" s="1424"/>
      <c r="AH501" s="1424"/>
      <c r="AI501" s="1424"/>
      <c r="AJ501" s="1424"/>
      <c r="AK501" s="1537"/>
      <c r="AZ501" s="3"/>
      <c r="BA501" s="3"/>
      <c r="BB501" s="3"/>
      <c r="BC501" s="3"/>
    </row>
    <row r="502" spans="1:66" ht="12.9" customHeight="1">
      <c r="B502" s="121" t="s">
        <v>1656</v>
      </c>
      <c r="C502" s="5"/>
      <c r="D502" s="5"/>
      <c r="E502" s="5"/>
      <c r="F502" s="5"/>
      <c r="G502" s="5"/>
      <c r="H502" s="5"/>
      <c r="I502" s="5"/>
      <c r="J502" s="5"/>
      <c r="K502" s="5"/>
      <c r="L502" s="5"/>
      <c r="M502" s="5"/>
      <c r="N502" s="5"/>
      <c r="O502" s="5"/>
      <c r="P502" s="5"/>
      <c r="Q502" s="1536">
        <v>385</v>
      </c>
      <c r="R502" s="1424"/>
      <c r="S502" s="1424"/>
      <c r="T502" s="1424"/>
      <c r="U502" s="1424"/>
      <c r="V502" s="1424"/>
      <c r="W502" s="1424"/>
      <c r="X502" s="1424"/>
      <c r="Y502" s="1424"/>
      <c r="Z502" s="1424"/>
      <c r="AA502" s="1424"/>
      <c r="AB502" s="1424"/>
      <c r="AC502" s="1424"/>
      <c r="AD502" s="1424"/>
      <c r="AE502" s="1424"/>
      <c r="AF502" s="1424"/>
      <c r="AG502" s="1424"/>
      <c r="AH502" s="1424"/>
      <c r="AI502" s="1424"/>
      <c r="AJ502" s="1424"/>
      <c r="AK502" s="1537"/>
      <c r="AZ502" s="3"/>
      <c r="BA502" s="3"/>
      <c r="BB502" s="3"/>
      <c r="BC502" s="3"/>
    </row>
    <row r="503" spans="1:66" ht="12.9" customHeight="1">
      <c r="B503" s="121" t="s">
        <v>1657</v>
      </c>
      <c r="C503" s="5"/>
      <c r="D503" s="5"/>
      <c r="E503" s="5"/>
      <c r="F503" s="5"/>
      <c r="G503" s="5"/>
      <c r="H503" s="5"/>
      <c r="I503" s="5"/>
      <c r="J503" s="5"/>
      <c r="K503" s="5"/>
      <c r="L503" s="5"/>
      <c r="M503" s="1507">
        <v>385</v>
      </c>
      <c r="N503" s="1508"/>
      <c r="O503" s="1508"/>
      <c r="P503" s="1509"/>
      <c r="Q503" s="121" t="s">
        <v>1658</v>
      </c>
      <c r="R503" s="5"/>
      <c r="S503" s="5"/>
      <c r="T503" s="5"/>
      <c r="U503" s="5"/>
      <c r="V503" s="5"/>
      <c r="W503" s="5"/>
      <c r="X503" s="5"/>
      <c r="Y503" s="5"/>
      <c r="Z503" s="5"/>
      <c r="AA503" s="5"/>
      <c r="AB503" s="5"/>
      <c r="AC503" s="5"/>
      <c r="AD503" s="5"/>
      <c r="AE503" s="5"/>
      <c r="AF503" s="5"/>
      <c r="AG503" s="5"/>
      <c r="AH503" s="1507"/>
      <c r="AI503" s="1508"/>
      <c r="AJ503" s="1508"/>
      <c r="AK503" s="1509"/>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695" t="s">
        <v>401</v>
      </c>
      <c r="AD507" s="1688"/>
      <c r="AE507" s="1688"/>
      <c r="AF507" s="1688"/>
      <c r="AG507" s="1688"/>
      <c r="AH507" s="1688"/>
      <c r="AI507" s="1688"/>
      <c r="AJ507" s="1688"/>
      <c r="AK507" s="1689"/>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695" t="s">
        <v>402</v>
      </c>
      <c r="AD508" s="1688"/>
      <c r="AE508" s="1688"/>
      <c r="AF508" s="1688"/>
      <c r="AG508" s="50" t="s">
        <v>403</v>
      </c>
      <c r="AH508" s="1688" t="s">
        <v>404</v>
      </c>
      <c r="AI508" s="1688"/>
      <c r="AJ508" s="1688"/>
      <c r="AK508" s="1689"/>
      <c r="AZ508" s="3"/>
      <c r="BA508" s="3"/>
      <c r="BB508" s="3"/>
      <c r="BC508" s="3"/>
      <c r="BD508" s="3"/>
      <c r="BE508" s="3"/>
      <c r="BF508" s="3"/>
      <c r="BG508" s="3"/>
      <c r="BH508" s="3"/>
      <c r="BI508" s="3"/>
      <c r="BJ508" s="3"/>
      <c r="BK508" s="3"/>
      <c r="BL508" s="3"/>
      <c r="BM508" s="3"/>
      <c r="BN508" s="3"/>
    </row>
    <row r="509" spans="1:66" ht="12.9" customHeight="1">
      <c r="B509" s="1657" t="s">
        <v>405</v>
      </c>
      <c r="C509" s="1477"/>
      <c r="D509" s="1477"/>
      <c r="E509" s="1477"/>
      <c r="F509" s="1477"/>
      <c r="G509" s="1477"/>
      <c r="H509" s="1478"/>
      <c r="I509" s="42" t="s">
        <v>406</v>
      </c>
      <c r="J509" s="42"/>
      <c r="K509" s="42"/>
      <c r="L509" s="42"/>
      <c r="M509" s="42"/>
      <c r="N509" s="42"/>
      <c r="O509" s="42"/>
      <c r="P509" s="42"/>
      <c r="Q509" s="42"/>
      <c r="R509" s="42"/>
      <c r="S509" s="42"/>
      <c r="T509" s="42"/>
      <c r="U509" s="42"/>
      <c r="V509" s="42"/>
      <c r="W509" s="42"/>
      <c r="AC509" s="1425" t="s">
        <v>591</v>
      </c>
      <c r="AD509" s="1426"/>
      <c r="AE509" s="1426"/>
      <c r="AF509" s="1426"/>
      <c r="AG509" s="13" t="s">
        <v>403</v>
      </c>
      <c r="AH509" s="1384">
        <v>0</v>
      </c>
      <c r="AI509" s="1384"/>
      <c r="AJ509" s="1384"/>
      <c r="AK509" s="1385"/>
      <c r="AZ509" s="3"/>
      <c r="BA509" s="3"/>
      <c r="BB509" s="3"/>
      <c r="BC509" s="3"/>
      <c r="BD509" s="3"/>
      <c r="BE509" s="3"/>
      <c r="BF509" s="3"/>
      <c r="BG509" s="3"/>
      <c r="BH509" s="3"/>
      <c r="BI509" s="3"/>
      <c r="BJ509" s="3"/>
      <c r="BK509" s="3"/>
      <c r="BL509" s="3"/>
      <c r="BM509" s="3"/>
      <c r="BN509" s="3"/>
    </row>
    <row r="510" spans="1:66" ht="12.9" customHeight="1">
      <c r="B510" s="1658"/>
      <c r="C510" s="1479"/>
      <c r="D510" s="1479"/>
      <c r="E510" s="1479"/>
      <c r="F510" s="1479"/>
      <c r="G510" s="1479"/>
      <c r="H510" s="1480"/>
      <c r="I510" s="48" t="s">
        <v>407</v>
      </c>
      <c r="J510" s="48"/>
      <c r="K510" s="48"/>
      <c r="L510" s="48"/>
      <c r="M510" s="48"/>
      <c r="N510" s="48"/>
      <c r="O510" s="48"/>
      <c r="P510" s="48"/>
      <c r="Q510" s="48"/>
      <c r="R510" s="48"/>
      <c r="S510" s="48"/>
      <c r="T510" s="48"/>
      <c r="U510" s="48"/>
      <c r="V510" s="48"/>
      <c r="W510" s="48"/>
      <c r="X510" s="48"/>
      <c r="Y510" s="48"/>
      <c r="Z510" s="48"/>
      <c r="AA510" s="48"/>
      <c r="AB510" s="48"/>
      <c r="AC510" s="1425">
        <v>9</v>
      </c>
      <c r="AD510" s="1426"/>
      <c r="AE510" s="1426"/>
      <c r="AF510" s="1426"/>
      <c r="AG510" s="38" t="s">
        <v>403</v>
      </c>
      <c r="AH510" s="1384">
        <v>2026</v>
      </c>
      <c r="AI510" s="1384"/>
      <c r="AJ510" s="1384"/>
      <c r="AK510" s="1385"/>
      <c r="AZ510" s="3"/>
      <c r="BA510" s="3"/>
      <c r="BB510" s="3"/>
      <c r="BC510" s="3"/>
      <c r="BD510" s="3"/>
      <c r="BE510" s="3"/>
      <c r="BF510" s="3"/>
      <c r="BG510" s="3"/>
      <c r="BH510" s="3"/>
      <c r="BI510" s="3"/>
      <c r="BJ510" s="3"/>
      <c r="BK510" s="3"/>
      <c r="BL510" s="3"/>
      <c r="BM510" s="3"/>
      <c r="BN510" s="3"/>
    </row>
    <row r="511" spans="1:66" ht="12.9" customHeight="1">
      <c r="B511" s="1657" t="s">
        <v>408</v>
      </c>
      <c r="C511" s="1477"/>
      <c r="D511" s="1477"/>
      <c r="E511" s="1477"/>
      <c r="F511" s="1477"/>
      <c r="G511" s="1477"/>
      <c r="H511" s="1478"/>
      <c r="I511" s="42" t="s">
        <v>409</v>
      </c>
      <c r="J511" s="42"/>
      <c r="K511" s="42"/>
      <c r="L511" s="42"/>
      <c r="M511" s="42"/>
      <c r="N511" s="42"/>
      <c r="O511" s="42"/>
      <c r="P511" s="42"/>
      <c r="Q511" s="42"/>
      <c r="R511" s="42"/>
      <c r="S511" s="42"/>
      <c r="T511" s="42"/>
      <c r="U511" s="42"/>
      <c r="V511" s="42"/>
      <c r="W511" s="42"/>
      <c r="AC511" s="1425" t="s">
        <v>591</v>
      </c>
      <c r="AD511" s="1426"/>
      <c r="AE511" s="1426"/>
      <c r="AF511" s="1426"/>
      <c r="AG511" s="13" t="s">
        <v>403</v>
      </c>
      <c r="AH511" s="1384"/>
      <c r="AI511" s="1384"/>
      <c r="AJ511" s="1384"/>
      <c r="AK511" s="1385"/>
      <c r="AZ511" s="3"/>
      <c r="BA511" s="3"/>
      <c r="BB511" s="3"/>
      <c r="BC511" s="3"/>
      <c r="BD511" s="3"/>
      <c r="BE511" s="3"/>
      <c r="BF511" s="3"/>
      <c r="BG511" s="3"/>
      <c r="BH511" s="3"/>
      <c r="BI511" s="3"/>
      <c r="BJ511" s="3"/>
      <c r="BK511" s="3"/>
      <c r="BL511" s="3"/>
      <c r="BM511" s="3"/>
      <c r="BN511" s="3"/>
    </row>
    <row r="512" spans="1:66" ht="12.9" customHeight="1">
      <c r="B512" s="1658"/>
      <c r="C512" s="1479"/>
      <c r="D512" s="1479"/>
      <c r="E512" s="1479"/>
      <c r="F512" s="1479"/>
      <c r="G512" s="1479"/>
      <c r="H512" s="1480"/>
      <c r="I512" t="s">
        <v>410</v>
      </c>
      <c r="AC512" s="1425" t="s">
        <v>591</v>
      </c>
      <c r="AD512" s="1426"/>
      <c r="AE512" s="1426"/>
      <c r="AF512" s="1426"/>
      <c r="AG512" s="13" t="s">
        <v>403</v>
      </c>
      <c r="AH512" s="1384"/>
      <c r="AI512" s="1384"/>
      <c r="AJ512" s="1384"/>
      <c r="AK512" s="1385"/>
      <c r="AZ512" s="3"/>
      <c r="BA512" s="3"/>
      <c r="BB512" s="3"/>
      <c r="BC512" s="3"/>
      <c r="BD512" s="3"/>
      <c r="BE512" s="3"/>
      <c r="BF512" s="3"/>
      <c r="BG512" s="3"/>
      <c r="BH512" s="3"/>
      <c r="BI512" s="3"/>
      <c r="BJ512" s="3"/>
      <c r="BK512" s="3"/>
      <c r="BL512" s="3"/>
      <c r="BM512" s="3"/>
      <c r="BN512" s="3"/>
    </row>
    <row r="513" spans="2:66" ht="12.9" customHeight="1">
      <c r="B513" s="1658"/>
      <c r="C513" s="1479"/>
      <c r="D513" s="1479"/>
      <c r="E513" s="1479"/>
      <c r="F513" s="1479"/>
      <c r="G513" s="1479"/>
      <c r="H513" s="1480"/>
      <c r="I513" t="s">
        <v>411</v>
      </c>
      <c r="AC513" s="1425" t="s">
        <v>591</v>
      </c>
      <c r="AD513" s="1426"/>
      <c r="AE513" s="1426"/>
      <c r="AF513" s="1426"/>
      <c r="AG513" s="13" t="s">
        <v>403</v>
      </c>
      <c r="AH513" s="1384"/>
      <c r="AI513" s="1384"/>
      <c r="AJ513" s="1384"/>
      <c r="AK513" s="1385"/>
      <c r="AZ513" s="3"/>
      <c r="BA513" s="3"/>
      <c r="BB513" s="3"/>
      <c r="BC513" s="3"/>
      <c r="BD513" s="3"/>
      <c r="BE513" s="3"/>
      <c r="BF513" s="3"/>
      <c r="BG513" s="3"/>
      <c r="BH513" s="3"/>
      <c r="BI513" s="3"/>
      <c r="BJ513" s="3"/>
      <c r="BK513" s="3"/>
      <c r="BL513" s="3"/>
      <c r="BM513" s="3"/>
      <c r="BN513" s="3"/>
    </row>
    <row r="514" spans="2:66" ht="12.9" customHeight="1">
      <c r="B514" s="1658"/>
      <c r="C514" s="1479"/>
      <c r="D514" s="1479"/>
      <c r="E514" s="1479"/>
      <c r="F514" s="1479"/>
      <c r="G514" s="1479"/>
      <c r="H514" s="1480"/>
      <c r="I514" t="s">
        <v>412</v>
      </c>
      <c r="AC514" s="1425" t="s">
        <v>591</v>
      </c>
      <c r="AD514" s="1426"/>
      <c r="AE514" s="1426"/>
      <c r="AF514" s="1426"/>
      <c r="AG514" s="13" t="s">
        <v>403</v>
      </c>
      <c r="AH514" s="1384"/>
      <c r="AI514" s="1384"/>
      <c r="AJ514" s="1384"/>
      <c r="AK514" s="1385"/>
      <c r="AZ514" s="3"/>
      <c r="BA514" s="3"/>
      <c r="BB514" s="3"/>
      <c r="BC514" s="3"/>
      <c r="BD514" s="3"/>
      <c r="BE514" s="3"/>
      <c r="BF514" s="3"/>
      <c r="BG514" s="3"/>
      <c r="BH514" s="3"/>
      <c r="BI514" s="3"/>
      <c r="BJ514" s="3"/>
      <c r="BK514" s="3"/>
      <c r="BL514" s="3"/>
      <c r="BM514" s="3"/>
      <c r="BN514" s="3"/>
    </row>
    <row r="515" spans="2:66" ht="12.9" customHeight="1">
      <c r="B515" s="1658"/>
      <c r="C515" s="1479"/>
      <c r="D515" s="1479"/>
      <c r="E515" s="1479"/>
      <c r="F515" s="1479"/>
      <c r="G515" s="1479"/>
      <c r="H515" s="1480"/>
      <c r="I515" s="3" t="s">
        <v>413</v>
      </c>
      <c r="AC515" s="1360">
        <v>6</v>
      </c>
      <c r="AD515" s="1361"/>
      <c r="AE515" s="1361"/>
      <c r="AF515" s="1361"/>
      <c r="AG515" s="13" t="s">
        <v>403</v>
      </c>
      <c r="AH515" s="1384">
        <v>2027</v>
      </c>
      <c r="AI515" s="1384"/>
      <c r="AJ515" s="1384"/>
      <c r="AK515" s="1385"/>
      <c r="AZ515" s="3"/>
      <c r="BA515" s="3"/>
      <c r="BB515" s="3"/>
      <c r="BC515" s="3"/>
      <c r="BD515" s="3"/>
      <c r="BE515" s="3"/>
      <c r="BF515" s="3"/>
      <c r="BG515" s="3"/>
      <c r="BH515" s="3"/>
      <c r="BI515" s="3"/>
      <c r="BJ515" s="3"/>
      <c r="BK515" s="3"/>
      <c r="BL515" s="3"/>
      <c r="BM515" s="3"/>
      <c r="BN515" s="3"/>
    </row>
    <row r="516" spans="2:66" ht="12.9" customHeight="1">
      <c r="B516" s="1658"/>
      <c r="C516" s="1479"/>
      <c r="D516" s="1479"/>
      <c r="E516" s="1479"/>
      <c r="F516" s="1479"/>
      <c r="G516" s="1479"/>
      <c r="H516" s="1480"/>
      <c r="I516" s="887" t="s">
        <v>170</v>
      </c>
      <c r="J516" s="48"/>
      <c r="K516" s="48"/>
      <c r="L516" s="1699" t="s">
        <v>334</v>
      </c>
      <c r="M516" s="1700"/>
      <c r="N516" s="1700"/>
      <c r="O516" s="1700"/>
      <c r="P516" s="1700"/>
      <c r="Q516" s="1700"/>
      <c r="R516" s="1700"/>
      <c r="S516" s="1700"/>
      <c r="T516" s="1700"/>
      <c r="U516" s="1700"/>
      <c r="V516" s="1700"/>
      <c r="W516" s="1700"/>
      <c r="X516" s="1700"/>
      <c r="Y516" s="1700"/>
      <c r="Z516" s="1700"/>
      <c r="AA516" s="1700"/>
      <c r="AB516" s="1811"/>
      <c r="AC516" s="1425" t="s">
        <v>591</v>
      </c>
      <c r="AD516" s="1426"/>
      <c r="AE516" s="1426"/>
      <c r="AF516" s="1426"/>
      <c r="AG516" s="38" t="s">
        <v>403</v>
      </c>
      <c r="AH516" s="1384"/>
      <c r="AI516" s="1384"/>
      <c r="AJ516" s="1384"/>
      <c r="AK516" s="1385"/>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1663</v>
      </c>
      <c r="AC517" s="1698" t="s">
        <v>1183</v>
      </c>
      <c r="AD517" s="1698"/>
      <c r="AE517" s="1698"/>
      <c r="AF517" s="1698"/>
      <c r="AG517" s="13"/>
      <c r="AH517" s="1288"/>
      <c r="AI517" s="1288"/>
      <c r="AJ517" s="1288"/>
      <c r="AK517" s="1790"/>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1660</v>
      </c>
      <c r="AC518" s="1360"/>
      <c r="AD518" s="1361"/>
      <c r="AE518" s="1361"/>
      <c r="AF518" s="1362"/>
      <c r="AG518" s="13"/>
      <c r="AH518" s="1288"/>
      <c r="AI518" s="1288"/>
      <c r="AJ518" s="1288"/>
      <c r="AK518" s="1790"/>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776"/>
      <c r="AD520" s="1777"/>
      <c r="AE520" s="1777"/>
      <c r="AF520" s="1778"/>
      <c r="AG520" s="38"/>
      <c r="AH520" s="1786"/>
      <c r="AI520" s="1786"/>
      <c r="AJ520" s="1786"/>
      <c r="AK520" s="1787"/>
      <c r="AZ520" s="3"/>
      <c r="BA520" s="3"/>
      <c r="BB520" s="3"/>
      <c r="BC520" s="3"/>
      <c r="BD520" s="3"/>
      <c r="BE520" s="3"/>
      <c r="BF520" s="3"/>
      <c r="BG520" s="3"/>
      <c r="BH520" s="3"/>
      <c r="BI520" s="3"/>
      <c r="BJ520" s="3"/>
      <c r="BK520" s="3"/>
      <c r="BL520" s="3"/>
      <c r="BM520" s="3"/>
      <c r="BN520" s="3" t="s">
        <v>1183</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97" t="s">
        <v>402</v>
      </c>
      <c r="AD521" s="1728"/>
      <c r="AE521" s="1728"/>
      <c r="AF521" s="1728"/>
      <c r="AG521" s="38" t="s">
        <v>403</v>
      </c>
      <c r="AH521" s="1728" t="s">
        <v>404</v>
      </c>
      <c r="AI521" s="1728"/>
      <c r="AJ521" s="1728"/>
      <c r="AK521" s="1800"/>
      <c r="AZ521" s="3"/>
      <c r="BA521" s="3"/>
      <c r="BB521" s="3"/>
      <c r="BC521" s="3"/>
      <c r="BD521" s="3"/>
      <c r="BE521" s="3"/>
      <c r="BF521" s="3"/>
      <c r="BG521" s="3"/>
      <c r="BH521" s="3"/>
      <c r="BI521" s="3"/>
      <c r="BJ521" s="3"/>
      <c r="BK521" s="3"/>
      <c r="BL521" s="3"/>
      <c r="BM521" s="3"/>
      <c r="BN521" s="3" t="s">
        <v>2054</v>
      </c>
    </row>
    <row r="522" spans="2:66" ht="12.9" customHeight="1">
      <c r="B522" s="1657" t="s">
        <v>414</v>
      </c>
      <c r="C522" s="1477"/>
      <c r="D522" s="1477"/>
      <c r="E522" s="1477"/>
      <c r="F522" s="1477"/>
      <c r="G522" s="1477"/>
      <c r="H522" s="1478"/>
      <c r="I522" s="42" t="s">
        <v>415</v>
      </c>
      <c r="J522" s="42"/>
      <c r="K522" s="42"/>
      <c r="L522" s="42"/>
      <c r="M522" s="42"/>
      <c r="N522" s="42"/>
      <c r="O522" s="42"/>
      <c r="P522" s="42"/>
      <c r="Q522" s="42"/>
      <c r="R522" s="42"/>
      <c r="S522" s="42"/>
      <c r="T522" s="42"/>
      <c r="U522" s="42"/>
      <c r="V522" s="42"/>
      <c r="W522" s="42"/>
      <c r="AC522" s="1425">
        <v>8</v>
      </c>
      <c r="AD522" s="1426"/>
      <c r="AE522" s="1426"/>
      <c r="AF522" s="1426"/>
      <c r="AG522" s="13" t="s">
        <v>403</v>
      </c>
      <c r="AH522" s="1384">
        <v>2026</v>
      </c>
      <c r="AI522" s="1384"/>
      <c r="AJ522" s="1384"/>
      <c r="AK522" s="1385"/>
      <c r="AZ522" s="3"/>
      <c r="BA522" s="3"/>
      <c r="BB522" s="3"/>
      <c r="BC522" s="3"/>
      <c r="BD522" s="3"/>
      <c r="BE522" s="3"/>
      <c r="BF522" s="3"/>
      <c r="BG522" s="3"/>
      <c r="BH522" s="3"/>
      <c r="BI522" s="3"/>
      <c r="BJ522" s="3"/>
      <c r="BK522" s="3"/>
      <c r="BL522" s="3"/>
      <c r="BM522" s="3"/>
      <c r="BN522" s="3" t="s">
        <v>2055</v>
      </c>
    </row>
    <row r="523" spans="2:66" ht="12.9" customHeight="1">
      <c r="B523" s="1658"/>
      <c r="C523" s="1479"/>
      <c r="D523" s="1479"/>
      <c r="E523" s="1479"/>
      <c r="F523" s="1479"/>
      <c r="G523" s="1479"/>
      <c r="H523" s="1480"/>
      <c r="I523" t="s">
        <v>416</v>
      </c>
      <c r="AC523" s="1425">
        <v>9</v>
      </c>
      <c r="AD523" s="1426"/>
      <c r="AE523" s="1426"/>
      <c r="AF523" s="1426"/>
      <c r="AG523" s="13" t="s">
        <v>403</v>
      </c>
      <c r="AH523" s="1384">
        <v>2026</v>
      </c>
      <c r="AI523" s="1384"/>
      <c r="AJ523" s="1384"/>
      <c r="AK523" s="1385"/>
      <c r="AZ523" s="3"/>
      <c r="BA523" s="3"/>
      <c r="BB523" s="3"/>
      <c r="BC523" s="3"/>
      <c r="BD523" s="3"/>
      <c r="BE523" s="3"/>
      <c r="BF523" s="3"/>
      <c r="BG523" s="3"/>
      <c r="BH523" s="3"/>
      <c r="BI523" s="3"/>
      <c r="BJ523" s="3"/>
      <c r="BK523" s="3"/>
      <c r="BL523" s="3"/>
      <c r="BM523" s="3"/>
      <c r="BN523" s="3" t="s">
        <v>2056</v>
      </c>
    </row>
    <row r="524" spans="2:66" ht="12.9" customHeight="1">
      <c r="B524" s="1658"/>
      <c r="C524" s="1479"/>
      <c r="D524" s="1479"/>
      <c r="E524" s="1479"/>
      <c r="F524" s="1479"/>
      <c r="G524" s="1479"/>
      <c r="H524" s="1480"/>
      <c r="I524" s="48" t="s">
        <v>417</v>
      </c>
      <c r="J524" s="48"/>
      <c r="K524" s="48"/>
      <c r="L524" s="48"/>
      <c r="M524" s="48"/>
      <c r="N524" s="48"/>
      <c r="O524" s="48"/>
      <c r="P524" s="48"/>
      <c r="Q524" s="48"/>
      <c r="R524" s="48"/>
      <c r="S524" s="48"/>
      <c r="T524" s="48"/>
      <c r="U524" s="48"/>
      <c r="V524" s="48"/>
      <c r="W524" s="48"/>
      <c r="X524" s="48"/>
      <c r="Y524" s="48"/>
      <c r="Z524" s="48"/>
      <c r="AA524" s="48"/>
      <c r="AB524" s="48"/>
      <c r="AC524" s="1425">
        <v>6</v>
      </c>
      <c r="AD524" s="1426"/>
      <c r="AE524" s="1426"/>
      <c r="AF524" s="1426"/>
      <c r="AG524" s="38" t="s">
        <v>403</v>
      </c>
      <c r="AH524" s="1384">
        <v>2027</v>
      </c>
      <c r="AI524" s="1384"/>
      <c r="AJ524" s="1384"/>
      <c r="AK524" s="1385"/>
      <c r="AZ524" s="3"/>
      <c r="BA524" s="3"/>
      <c r="BB524" s="3"/>
      <c r="BC524" s="3"/>
      <c r="BD524" s="3"/>
      <c r="BE524" s="3"/>
      <c r="BF524" s="3"/>
      <c r="BG524" s="3"/>
      <c r="BH524" s="3"/>
      <c r="BI524" s="3"/>
      <c r="BJ524" s="3"/>
      <c r="BK524" s="3"/>
      <c r="BL524" s="3"/>
      <c r="BM524" s="3"/>
      <c r="BN524" s="3" t="s">
        <v>2057</v>
      </c>
    </row>
    <row r="525" spans="2:66" ht="12.9" customHeight="1">
      <c r="B525" s="1657" t="s">
        <v>418</v>
      </c>
      <c r="C525" s="1477"/>
      <c r="D525" s="1477"/>
      <c r="E525" s="1477"/>
      <c r="F525" s="1477"/>
      <c r="G525" s="1477"/>
      <c r="H525" s="1478"/>
      <c r="I525" s="42" t="s">
        <v>415</v>
      </c>
      <c r="J525" s="42"/>
      <c r="K525" s="42"/>
      <c r="L525" s="42"/>
      <c r="M525" s="42"/>
      <c r="N525" s="42"/>
      <c r="O525" s="42"/>
      <c r="P525" s="42"/>
      <c r="Q525" s="42"/>
      <c r="R525" s="42"/>
      <c r="S525" s="42"/>
      <c r="T525" s="42"/>
      <c r="U525" s="42"/>
      <c r="V525" s="42"/>
      <c r="W525" s="42"/>
      <c r="X525" s="42"/>
      <c r="Y525" s="42"/>
      <c r="Z525" s="42"/>
      <c r="AA525" s="42"/>
      <c r="AB525" s="42"/>
      <c r="AC525" s="1360">
        <v>8</v>
      </c>
      <c r="AD525" s="1361"/>
      <c r="AE525" s="1361"/>
      <c r="AF525" s="1361"/>
      <c r="AG525" s="129" t="s">
        <v>403</v>
      </c>
      <c r="AH525" s="1384">
        <v>2026</v>
      </c>
      <c r="AI525" s="1384"/>
      <c r="AJ525" s="1384"/>
      <c r="AK525" s="1385"/>
      <c r="AZ525" s="3"/>
      <c r="BB525" s="3"/>
      <c r="BC525" s="3"/>
      <c r="BD525" s="3"/>
      <c r="BE525" s="3"/>
      <c r="BF525" s="3"/>
      <c r="BG525" s="3"/>
      <c r="BH525" s="3"/>
      <c r="BI525" s="3"/>
      <c r="BJ525" s="3"/>
      <c r="BK525" s="3"/>
      <c r="BL525" s="3"/>
      <c r="BM525" s="3"/>
      <c r="BN525" s="3" t="s">
        <v>2058</v>
      </c>
    </row>
    <row r="526" spans="2:66" ht="12.9" customHeight="1">
      <c r="B526" s="1658"/>
      <c r="C526" s="1479"/>
      <c r="D526" s="1479"/>
      <c r="E526" s="1479"/>
      <c r="F526" s="1479"/>
      <c r="G526" s="1479"/>
      <c r="H526" s="1480"/>
      <c r="I526" t="s">
        <v>416</v>
      </c>
      <c r="AC526" s="1425">
        <v>9</v>
      </c>
      <c r="AD526" s="1426"/>
      <c r="AE526" s="1426"/>
      <c r="AF526" s="1426"/>
      <c r="AG526" s="13" t="s">
        <v>403</v>
      </c>
      <c r="AH526" s="1384">
        <v>2026</v>
      </c>
      <c r="AI526" s="1384"/>
      <c r="AJ526" s="1384"/>
      <c r="AK526" s="1385"/>
      <c r="BB526" s="3"/>
      <c r="BC526" s="3"/>
      <c r="BD526" s="3"/>
      <c r="BE526" s="3"/>
      <c r="BF526" s="3"/>
      <c r="BG526" s="3"/>
      <c r="BH526" s="3"/>
      <c r="BI526" s="3"/>
      <c r="BJ526" s="3"/>
      <c r="BK526" s="3"/>
      <c r="BL526" s="3"/>
      <c r="BM526" s="3"/>
      <c r="BN526" s="3" t="s">
        <v>2059</v>
      </c>
    </row>
    <row r="527" spans="2:66" ht="12.9" customHeight="1">
      <c r="B527" s="1659"/>
      <c r="C527" s="1481"/>
      <c r="D527" s="1481"/>
      <c r="E527" s="1481"/>
      <c r="F527" s="1481"/>
      <c r="G527" s="1481"/>
      <c r="H527" s="1482"/>
      <c r="I527" s="48" t="s">
        <v>417</v>
      </c>
      <c r="J527" s="48"/>
      <c r="K527" s="48"/>
      <c r="L527" s="48"/>
      <c r="M527" s="48"/>
      <c r="N527" s="48"/>
      <c r="O527" s="48"/>
      <c r="P527" s="48"/>
      <c r="Q527" s="48"/>
      <c r="R527" s="48"/>
      <c r="S527" s="48"/>
      <c r="T527" s="48"/>
      <c r="U527" s="48"/>
      <c r="V527" s="48"/>
      <c r="W527" s="48"/>
      <c r="X527" s="48"/>
      <c r="Y527" s="48"/>
      <c r="Z527" s="48"/>
      <c r="AA527" s="48"/>
      <c r="AB527" s="48"/>
      <c r="AC527" s="1425">
        <v>8</v>
      </c>
      <c r="AD527" s="1426"/>
      <c r="AE527" s="1426"/>
      <c r="AF527" s="1426"/>
      <c r="AG527" s="38" t="s">
        <v>403</v>
      </c>
      <c r="AH527" s="1384">
        <v>2029</v>
      </c>
      <c r="AI527" s="1384"/>
      <c r="AJ527" s="1384"/>
      <c r="AK527" s="1385"/>
      <c r="BB527" s="3"/>
      <c r="BC527" s="3"/>
      <c r="BD527" s="3"/>
      <c r="BE527" s="3"/>
      <c r="BF527" s="3"/>
      <c r="BG527" s="3"/>
      <c r="BH527" s="3"/>
      <c r="BI527" s="3"/>
      <c r="BJ527" s="3"/>
      <c r="BK527" s="3"/>
      <c r="BL527" s="3"/>
      <c r="BM527" s="3"/>
      <c r="BN527" s="3" t="s">
        <v>2060</v>
      </c>
    </row>
    <row r="528" spans="2:66" ht="12.9" customHeight="1">
      <c r="B528" s="1657" t="s">
        <v>419</v>
      </c>
      <c r="C528" s="1477"/>
      <c r="D528" s="1477"/>
      <c r="E528" s="1477"/>
      <c r="F528" s="1477"/>
      <c r="G528" s="1477"/>
      <c r="H528" s="1478"/>
      <c r="I528" s="41" t="s">
        <v>420</v>
      </c>
      <c r="J528" s="42"/>
      <c r="K528" s="42"/>
      <c r="L528" s="42"/>
      <c r="M528" s="42"/>
      <c r="N528" s="42"/>
      <c r="O528" s="1699" t="s">
        <v>334</v>
      </c>
      <c r="P528" s="1700"/>
      <c r="Q528" s="1700"/>
      <c r="R528" s="1700"/>
      <c r="S528" s="1700"/>
      <c r="T528" s="1700"/>
      <c r="U528" s="1700"/>
      <c r="V528" s="1700"/>
      <c r="W528" s="1700"/>
      <c r="X528" s="1700"/>
      <c r="Y528" s="1700"/>
      <c r="Z528" s="1700"/>
      <c r="AA528" s="1700"/>
      <c r="AB528" s="58"/>
      <c r="AC528" s="1360" t="s">
        <v>591</v>
      </c>
      <c r="AD528" s="1361"/>
      <c r="AE528" s="1361"/>
      <c r="AF528" s="1361"/>
      <c r="AG528" s="129" t="s">
        <v>403</v>
      </c>
      <c r="AH528" s="1384"/>
      <c r="AI528" s="1384"/>
      <c r="AJ528" s="1384"/>
      <c r="AK528" s="1385"/>
      <c r="AZ528" s="3"/>
      <c r="BB528" s="3"/>
      <c r="BC528" s="3"/>
      <c r="BD528" s="3"/>
      <c r="BE528" s="3"/>
      <c r="BF528" s="3"/>
      <c r="BG528" s="3"/>
      <c r="BH528" s="3"/>
      <c r="BI528" s="3"/>
      <c r="BJ528" s="3"/>
      <c r="BK528" s="3"/>
      <c r="BL528" s="3"/>
      <c r="BM528" s="3"/>
      <c r="BN528" s="3" t="s">
        <v>2061</v>
      </c>
    </row>
    <row r="529" spans="2:66" ht="12.9" customHeight="1">
      <c r="B529" s="1658"/>
      <c r="C529" s="1479"/>
      <c r="D529" s="1479"/>
      <c r="E529" s="1479"/>
      <c r="F529" s="1479"/>
      <c r="G529" s="1479"/>
      <c r="H529" s="1480"/>
      <c r="I529" s="114" t="s">
        <v>421</v>
      </c>
      <c r="AB529" s="65"/>
      <c r="AC529" s="1425" t="s">
        <v>591</v>
      </c>
      <c r="AD529" s="1426"/>
      <c r="AE529" s="1426"/>
      <c r="AF529" s="1426"/>
      <c r="AG529" s="13" t="s">
        <v>403</v>
      </c>
      <c r="AH529" s="1384"/>
      <c r="AI529" s="1384"/>
      <c r="AJ529" s="1384"/>
      <c r="AK529" s="1385"/>
      <c r="AZ529" s="3"/>
      <c r="BB529" s="3"/>
      <c r="BC529" s="3"/>
      <c r="BD529" s="3"/>
      <c r="BE529" s="3"/>
      <c r="BF529" s="3"/>
      <c r="BG529" s="3"/>
      <c r="BH529" s="3"/>
      <c r="BI529" s="3"/>
      <c r="BJ529" s="3"/>
      <c r="BK529" s="3"/>
      <c r="BL529" s="3"/>
      <c r="BM529" s="3"/>
      <c r="BN529" s="3" t="s">
        <v>2062</v>
      </c>
    </row>
    <row r="530" spans="2:66" ht="12.9" customHeight="1">
      <c r="B530" s="1658"/>
      <c r="C530" s="1479"/>
      <c r="D530" s="1479"/>
      <c r="E530" s="1479"/>
      <c r="F530" s="1479"/>
      <c r="G530" s="1479"/>
      <c r="H530" s="1480"/>
      <c r="I530" s="47" t="s">
        <v>422</v>
      </c>
      <c r="J530" s="48"/>
      <c r="K530" s="48"/>
      <c r="L530" s="48"/>
      <c r="M530" s="48"/>
      <c r="N530" s="48"/>
      <c r="O530" s="48"/>
      <c r="P530" s="48"/>
      <c r="Q530" s="48"/>
      <c r="R530" s="48"/>
      <c r="S530" s="48"/>
      <c r="T530" s="48"/>
      <c r="U530" s="48"/>
      <c r="V530" s="48"/>
      <c r="W530" s="48"/>
      <c r="X530" s="48"/>
      <c r="Y530" s="48"/>
      <c r="Z530" s="48"/>
      <c r="AA530" s="48"/>
      <c r="AB530" s="49"/>
      <c r="AC530" s="1425" t="s">
        <v>591</v>
      </c>
      <c r="AD530" s="1426"/>
      <c r="AE530" s="1426"/>
      <c r="AF530" s="1426"/>
      <c r="AG530" s="38" t="s">
        <v>403</v>
      </c>
      <c r="AH530" s="1384"/>
      <c r="AI530" s="1384"/>
      <c r="AJ530" s="1384"/>
      <c r="AK530" s="1385"/>
      <c r="AZ530" s="3"/>
      <c r="BA530" s="3"/>
      <c r="BB530" s="3"/>
      <c r="BC530" s="3"/>
      <c r="BD530" s="3"/>
      <c r="BE530" s="3"/>
      <c r="BF530" s="3"/>
      <c r="BG530" s="3"/>
      <c r="BH530" s="3"/>
      <c r="BI530" s="3"/>
      <c r="BJ530" s="3"/>
      <c r="BK530" s="3"/>
      <c r="BL530" s="3"/>
      <c r="BM530" s="3"/>
      <c r="BN530" s="3" t="s">
        <v>2063</v>
      </c>
    </row>
    <row r="531" spans="2:66" ht="12.9" customHeight="1">
      <c r="B531" s="1658"/>
      <c r="C531" s="1479"/>
      <c r="D531" s="1479"/>
      <c r="E531" s="1479"/>
      <c r="F531" s="1479"/>
      <c r="G531" s="1479"/>
      <c r="H531" s="1480"/>
      <c r="I531" s="42" t="s">
        <v>423</v>
      </c>
      <c r="J531" s="42"/>
      <c r="K531" s="42"/>
      <c r="L531" s="42"/>
      <c r="M531" s="42"/>
      <c r="N531" s="42"/>
      <c r="O531" s="1699" t="s">
        <v>334</v>
      </c>
      <c r="P531" s="1700"/>
      <c r="Q531" s="1700"/>
      <c r="R531" s="1700"/>
      <c r="S531" s="1700"/>
      <c r="T531" s="1700"/>
      <c r="U531" s="1700"/>
      <c r="V531" s="1700"/>
      <c r="W531" s="1700"/>
      <c r="X531" s="1700"/>
      <c r="Y531" s="1700"/>
      <c r="Z531" s="1700"/>
      <c r="AA531" s="1700"/>
      <c r="AC531" s="1425" t="s">
        <v>591</v>
      </c>
      <c r="AD531" s="1426"/>
      <c r="AE531" s="1426"/>
      <c r="AF531" s="1426"/>
      <c r="AG531" s="13" t="s">
        <v>403</v>
      </c>
      <c r="AH531" s="1384"/>
      <c r="AI531" s="1384"/>
      <c r="AJ531" s="1384"/>
      <c r="AK531" s="1385"/>
      <c r="AZ531" s="3"/>
      <c r="BA531" s="3"/>
      <c r="BB531" s="3"/>
      <c r="BC531" s="3"/>
      <c r="BD531" s="3"/>
      <c r="BE531" s="3"/>
      <c r="BF531" s="3"/>
      <c r="BG531" s="3"/>
      <c r="BH531" s="3"/>
      <c r="BI531" s="3"/>
      <c r="BJ531" s="3"/>
      <c r="BK531" s="3"/>
      <c r="BL531" s="3"/>
      <c r="BM531" s="3"/>
      <c r="BN531" s="3" t="s">
        <v>2064</v>
      </c>
    </row>
    <row r="532" spans="2:66" ht="12.9" customHeight="1">
      <c r="B532" s="1658"/>
      <c r="C532" s="1479"/>
      <c r="D532" s="1479"/>
      <c r="E532" s="1479"/>
      <c r="F532" s="1479"/>
      <c r="G532" s="1479"/>
      <c r="H532" s="1480"/>
      <c r="I532" t="s">
        <v>421</v>
      </c>
      <c r="AC532" s="1425" t="s">
        <v>591</v>
      </c>
      <c r="AD532" s="1426"/>
      <c r="AE532" s="1426"/>
      <c r="AF532" s="1426"/>
      <c r="AG532" s="13" t="s">
        <v>403</v>
      </c>
      <c r="AH532" s="1384"/>
      <c r="AI532" s="1384"/>
      <c r="AJ532" s="1384"/>
      <c r="AK532" s="1385"/>
      <c r="AZ532" s="3"/>
      <c r="BA532" s="3"/>
      <c r="BB532" s="3"/>
      <c r="BC532" s="3"/>
      <c r="BD532" s="3"/>
      <c r="BE532" s="3"/>
      <c r="BF532" s="3"/>
      <c r="BG532" s="3"/>
      <c r="BH532" s="3"/>
      <c r="BI532" s="3"/>
      <c r="BJ532" s="3"/>
      <c r="BK532" s="3"/>
      <c r="BL532" s="3"/>
      <c r="BM532" s="3"/>
      <c r="BN532" s="3" t="s">
        <v>2065</v>
      </c>
    </row>
    <row r="533" spans="2:66" ht="12.9" customHeight="1">
      <c r="B533" s="1658"/>
      <c r="C533" s="1479"/>
      <c r="D533" s="1479"/>
      <c r="E533" s="1479"/>
      <c r="F533" s="1479"/>
      <c r="G533" s="1479"/>
      <c r="H533" s="1480"/>
      <c r="I533" s="48" t="s">
        <v>422</v>
      </c>
      <c r="J533" s="48"/>
      <c r="K533" s="48"/>
      <c r="L533" s="48"/>
      <c r="M533" s="48"/>
      <c r="N533" s="48"/>
      <c r="O533" s="48"/>
      <c r="P533" s="48"/>
      <c r="Q533" s="48"/>
      <c r="R533" s="48"/>
      <c r="S533" s="48"/>
      <c r="T533" s="48"/>
      <c r="U533" s="48"/>
      <c r="V533" s="48"/>
      <c r="W533" s="48"/>
      <c r="X533" s="48"/>
      <c r="Y533" s="48"/>
      <c r="Z533" s="48"/>
      <c r="AA533" s="48"/>
      <c r="AB533" s="48"/>
      <c r="AC533" s="1425" t="s">
        <v>591</v>
      </c>
      <c r="AD533" s="1426"/>
      <c r="AE533" s="1426"/>
      <c r="AF533" s="1426"/>
      <c r="AG533" s="38" t="s">
        <v>403</v>
      </c>
      <c r="AH533" s="1384"/>
      <c r="AI533" s="1384"/>
      <c r="AJ533" s="1384"/>
      <c r="AK533" s="1385"/>
      <c r="AZ533" s="3"/>
      <c r="BA533" s="3"/>
      <c r="BB533" s="3"/>
      <c r="BC533" s="3"/>
      <c r="BD533" s="3"/>
      <c r="BE533" s="3"/>
      <c r="BF533" s="3"/>
      <c r="BG533" s="3"/>
      <c r="BH533" s="3"/>
      <c r="BI533" s="3"/>
      <c r="BJ533" s="3"/>
      <c r="BK533" s="3"/>
      <c r="BL533" s="3"/>
      <c r="BM533" s="3"/>
      <c r="BN533" s="3" t="s">
        <v>2066</v>
      </c>
    </row>
    <row r="534" spans="2:66" ht="12.9" customHeight="1">
      <c r="B534" s="1658"/>
      <c r="C534" s="1479"/>
      <c r="D534" s="1479"/>
      <c r="E534" s="1479"/>
      <c r="F534" s="1479"/>
      <c r="G534" s="1479"/>
      <c r="H534" s="1480"/>
      <c r="I534" s="42" t="s">
        <v>423</v>
      </c>
      <c r="J534" s="42"/>
      <c r="K534" s="42"/>
      <c r="L534" s="42"/>
      <c r="M534" s="42"/>
      <c r="N534" s="42"/>
      <c r="O534" s="1699" t="s">
        <v>334</v>
      </c>
      <c r="P534" s="1700"/>
      <c r="Q534" s="1700"/>
      <c r="R534" s="1700"/>
      <c r="S534" s="1700"/>
      <c r="T534" s="1700"/>
      <c r="U534" s="1700"/>
      <c r="V534" s="1700"/>
      <c r="W534" s="1700"/>
      <c r="X534" s="1700"/>
      <c r="Y534" s="1700"/>
      <c r="Z534" s="1700"/>
      <c r="AA534" s="1700"/>
      <c r="AC534" s="1425" t="s">
        <v>591</v>
      </c>
      <c r="AD534" s="1426"/>
      <c r="AE534" s="1426"/>
      <c r="AF534" s="1426"/>
      <c r="AG534" s="13" t="s">
        <v>403</v>
      </c>
      <c r="AH534" s="1384"/>
      <c r="AI534" s="1384"/>
      <c r="AJ534" s="1384"/>
      <c r="AK534" s="1385"/>
      <c r="AZ534" s="3"/>
      <c r="BA534" s="3"/>
      <c r="BB534" s="3"/>
      <c r="BC534" s="3"/>
      <c r="BD534" s="3"/>
      <c r="BE534" s="3"/>
      <c r="BF534" s="3"/>
      <c r="BG534" s="3"/>
      <c r="BH534" s="3"/>
      <c r="BI534" s="3"/>
      <c r="BJ534" s="3"/>
      <c r="BK534" s="3"/>
      <c r="BL534" s="3"/>
      <c r="BM534" s="3"/>
      <c r="BN534" s="3" t="s">
        <v>2067</v>
      </c>
    </row>
    <row r="535" spans="2:66" ht="12.9" customHeight="1">
      <c r="B535" s="1658"/>
      <c r="C535" s="1479"/>
      <c r="D535" s="1479"/>
      <c r="E535" s="1479"/>
      <c r="F535" s="1479"/>
      <c r="G535" s="1479"/>
      <c r="H535" s="1480"/>
      <c r="I535" t="s">
        <v>421</v>
      </c>
      <c r="AC535" s="1425" t="s">
        <v>591</v>
      </c>
      <c r="AD535" s="1426"/>
      <c r="AE535" s="1426"/>
      <c r="AF535" s="1426"/>
      <c r="AG535" s="13" t="s">
        <v>403</v>
      </c>
      <c r="AH535" s="1384"/>
      <c r="AI535" s="1384"/>
      <c r="AJ535" s="1384"/>
      <c r="AK535" s="1385"/>
      <c r="AZ535" s="3"/>
      <c r="BA535" s="3"/>
      <c r="BB535" s="3"/>
      <c r="BC535" s="3"/>
      <c r="BD535" s="3"/>
      <c r="BE535" s="3"/>
      <c r="BF535" s="3"/>
      <c r="BG535" s="3"/>
      <c r="BH535" s="3"/>
      <c r="BI535" s="3"/>
      <c r="BJ535" s="3"/>
      <c r="BK535" s="3"/>
      <c r="BL535" s="3"/>
      <c r="BM535" s="3"/>
      <c r="BN535" s="3" t="s">
        <v>2068</v>
      </c>
    </row>
    <row r="536" spans="2:66" ht="12.9" customHeight="1">
      <c r="B536" s="1658"/>
      <c r="C536" s="1479"/>
      <c r="D536" s="1479"/>
      <c r="E536" s="1479"/>
      <c r="F536" s="1479"/>
      <c r="G536" s="1479"/>
      <c r="H536" s="1480"/>
      <c r="I536" s="48" t="s">
        <v>422</v>
      </c>
      <c r="J536" s="48"/>
      <c r="K536" s="48"/>
      <c r="L536" s="48"/>
      <c r="M536" s="48"/>
      <c r="N536" s="48"/>
      <c r="O536" s="48"/>
      <c r="P536" s="48"/>
      <c r="Q536" s="48"/>
      <c r="R536" s="48"/>
      <c r="S536" s="48"/>
      <c r="T536" s="48"/>
      <c r="U536" s="48"/>
      <c r="V536" s="48"/>
      <c r="W536" s="48"/>
      <c r="X536" s="48"/>
      <c r="Y536" s="48"/>
      <c r="Z536" s="48"/>
      <c r="AA536" s="48"/>
      <c r="AB536" s="48"/>
      <c r="AC536" s="1425" t="s">
        <v>591</v>
      </c>
      <c r="AD536" s="1426"/>
      <c r="AE536" s="1426"/>
      <c r="AF536" s="1426"/>
      <c r="AG536" s="38" t="s">
        <v>403</v>
      </c>
      <c r="AH536" s="1384"/>
      <c r="AI536" s="1384"/>
      <c r="AJ536" s="1384"/>
      <c r="AK536" s="1385"/>
      <c r="AZ536" s="3"/>
      <c r="BA536" s="3"/>
      <c r="BB536" s="3"/>
      <c r="BC536" s="3"/>
      <c r="BD536" s="3"/>
      <c r="BE536" s="3"/>
      <c r="BF536" s="3"/>
      <c r="BG536" s="3"/>
      <c r="BH536" s="3"/>
      <c r="BI536" s="3"/>
      <c r="BJ536" s="3"/>
      <c r="BK536" s="3"/>
      <c r="BL536" s="3"/>
      <c r="BM536" s="3"/>
      <c r="BN536" s="3" t="s">
        <v>2069</v>
      </c>
    </row>
    <row r="537" spans="2:66" ht="12.9" customHeight="1">
      <c r="B537" s="1658"/>
      <c r="C537" s="1479"/>
      <c r="D537" s="1479"/>
      <c r="E537" s="1479"/>
      <c r="F537" s="1479"/>
      <c r="G537" s="1479"/>
      <c r="H537" s="1480"/>
      <c r="I537" s="42" t="s">
        <v>423</v>
      </c>
      <c r="J537" s="42"/>
      <c r="K537" s="42"/>
      <c r="L537" s="42"/>
      <c r="M537" s="42"/>
      <c r="N537" s="42"/>
      <c r="O537" s="1699" t="s">
        <v>334</v>
      </c>
      <c r="P537" s="1700"/>
      <c r="Q537" s="1700"/>
      <c r="R537" s="1700"/>
      <c r="S537" s="1700"/>
      <c r="T537" s="1700"/>
      <c r="U537" s="1700"/>
      <c r="V537" s="1700"/>
      <c r="W537" s="1700"/>
      <c r="X537" s="1700"/>
      <c r="Y537" s="1700"/>
      <c r="Z537" s="1700"/>
      <c r="AA537" s="1700"/>
      <c r="AC537" s="1425" t="s">
        <v>591</v>
      </c>
      <c r="AD537" s="1426"/>
      <c r="AE537" s="1426"/>
      <c r="AF537" s="1426"/>
      <c r="AG537" s="13" t="s">
        <v>403</v>
      </c>
      <c r="AH537" s="1384"/>
      <c r="AI537" s="1384"/>
      <c r="AJ537" s="1384"/>
      <c r="AK537" s="1385"/>
      <c r="AZ537" s="3"/>
      <c r="BA537" s="3"/>
      <c r="BB537" s="3"/>
      <c r="BC537" s="3"/>
      <c r="BD537" s="3"/>
      <c r="BE537" s="3"/>
      <c r="BF537" s="3"/>
      <c r="BG537" s="3"/>
      <c r="BH537" s="3"/>
      <c r="BI537" s="3"/>
      <c r="BJ537" s="3"/>
      <c r="BK537" s="3"/>
      <c r="BL537" s="3"/>
      <c r="BM537" s="3"/>
      <c r="BN537" s="3" t="s">
        <v>2070</v>
      </c>
    </row>
    <row r="538" spans="2:66" ht="12.9" customHeight="1">
      <c r="B538" s="1658"/>
      <c r="C538" s="1479"/>
      <c r="D538" s="1479"/>
      <c r="E538" s="1479"/>
      <c r="F538" s="1479"/>
      <c r="G538" s="1479"/>
      <c r="H538" s="1480"/>
      <c r="I538" t="s">
        <v>421</v>
      </c>
      <c r="AC538" s="1425" t="s">
        <v>591</v>
      </c>
      <c r="AD538" s="1426"/>
      <c r="AE538" s="1426"/>
      <c r="AF538" s="1426"/>
      <c r="AG538" s="13" t="s">
        <v>403</v>
      </c>
      <c r="AH538" s="1384"/>
      <c r="AI538" s="1384"/>
      <c r="AJ538" s="1384"/>
      <c r="AK538" s="1385"/>
      <c r="AZ538" s="3"/>
      <c r="BA538" s="3"/>
      <c r="BB538" s="3"/>
      <c r="BC538" s="3"/>
      <c r="BD538" s="3"/>
      <c r="BE538" s="3"/>
      <c r="BF538" s="3"/>
      <c r="BG538" s="3"/>
      <c r="BH538" s="3"/>
      <c r="BI538" s="3"/>
      <c r="BJ538" s="3"/>
      <c r="BK538" s="3"/>
      <c r="BL538" s="3"/>
      <c r="BM538" s="3"/>
      <c r="BN538" s="3" t="s">
        <v>2071</v>
      </c>
    </row>
    <row r="539" spans="2:66" ht="12.9" customHeight="1">
      <c r="B539" s="1658"/>
      <c r="C539" s="1479"/>
      <c r="D539" s="1479"/>
      <c r="E539" s="1479"/>
      <c r="F539" s="1479"/>
      <c r="G539" s="1479"/>
      <c r="H539" s="1480"/>
      <c r="I539" s="48" t="s">
        <v>422</v>
      </c>
      <c r="J539" s="48"/>
      <c r="K539" s="48"/>
      <c r="L539" s="48"/>
      <c r="M539" s="48"/>
      <c r="N539" s="48"/>
      <c r="O539" s="48"/>
      <c r="P539" s="48"/>
      <c r="Q539" s="48"/>
      <c r="R539" s="48"/>
      <c r="S539" s="48"/>
      <c r="T539" s="48"/>
      <c r="U539" s="48"/>
      <c r="V539" s="48"/>
      <c r="W539" s="48"/>
      <c r="X539" s="48"/>
      <c r="Y539" s="48"/>
      <c r="Z539" s="48"/>
      <c r="AA539" s="48"/>
      <c r="AB539" s="48"/>
      <c r="AC539" s="1425" t="s">
        <v>591</v>
      </c>
      <c r="AD539" s="1426"/>
      <c r="AE539" s="1426"/>
      <c r="AF539" s="1426"/>
      <c r="AG539" s="38" t="s">
        <v>403</v>
      </c>
      <c r="AH539" s="1384"/>
      <c r="AI539" s="1384"/>
      <c r="AJ539" s="1384"/>
      <c r="AK539" s="1385"/>
      <c r="AZ539" s="3"/>
      <c r="BA539" s="3"/>
      <c r="BB539" s="3"/>
      <c r="BC539" s="3"/>
      <c r="BD539" s="3"/>
      <c r="BE539" s="3"/>
      <c r="BF539" s="3"/>
      <c r="BG539" s="3"/>
      <c r="BH539" s="3"/>
      <c r="BI539" s="3"/>
      <c r="BJ539" s="3"/>
      <c r="BK539" s="3"/>
      <c r="BL539" s="3"/>
      <c r="BM539" s="3"/>
      <c r="BN539" s="3" t="s">
        <v>2072</v>
      </c>
    </row>
    <row r="540" spans="2:66" ht="12.9" customHeight="1">
      <c r="B540" s="1658"/>
      <c r="C540" s="1479"/>
      <c r="D540" s="1479"/>
      <c r="E540" s="1479"/>
      <c r="F540" s="1479"/>
      <c r="G540" s="1479"/>
      <c r="H540" s="1480"/>
      <c r="I540" s="42" t="s">
        <v>423</v>
      </c>
      <c r="J540" s="42"/>
      <c r="K540" s="42"/>
      <c r="L540" s="42"/>
      <c r="M540" s="42"/>
      <c r="N540" s="42"/>
      <c r="O540" s="1699" t="s">
        <v>334</v>
      </c>
      <c r="P540" s="1700"/>
      <c r="Q540" s="1700"/>
      <c r="R540" s="1700"/>
      <c r="S540" s="1700"/>
      <c r="T540" s="1700"/>
      <c r="U540" s="1700"/>
      <c r="V540" s="1700"/>
      <c r="W540" s="1700"/>
      <c r="X540" s="1700"/>
      <c r="Y540" s="1700"/>
      <c r="Z540" s="1700"/>
      <c r="AA540" s="1700"/>
      <c r="AC540" s="1425" t="s">
        <v>591</v>
      </c>
      <c r="AD540" s="1426"/>
      <c r="AE540" s="1426"/>
      <c r="AF540" s="1426"/>
      <c r="AG540" s="13" t="s">
        <v>403</v>
      </c>
      <c r="AH540" s="1384"/>
      <c r="AI540" s="1384"/>
      <c r="AJ540" s="1384"/>
      <c r="AK540" s="1385"/>
      <c r="AZ540" s="3"/>
      <c r="BA540" s="3"/>
      <c r="BB540" s="3"/>
      <c r="BC540" s="3"/>
      <c r="BD540" s="3"/>
      <c r="BE540" s="3"/>
      <c r="BF540" s="3"/>
      <c r="BG540" s="3"/>
      <c r="BH540" s="3"/>
      <c r="BI540" s="3"/>
      <c r="BJ540" s="3"/>
      <c r="BK540" s="3"/>
      <c r="BL540" s="3"/>
      <c r="BM540" s="3"/>
      <c r="BN540" s="3" t="s">
        <v>2073</v>
      </c>
    </row>
    <row r="541" spans="2:66" ht="12.9" customHeight="1">
      <c r="B541" s="1658"/>
      <c r="C541" s="1479"/>
      <c r="D541" s="1479"/>
      <c r="E541" s="1479"/>
      <c r="F541" s="1479"/>
      <c r="G541" s="1479"/>
      <c r="H541" s="1480"/>
      <c r="I541" t="s">
        <v>421</v>
      </c>
      <c r="AC541" s="1425" t="s">
        <v>591</v>
      </c>
      <c r="AD541" s="1426"/>
      <c r="AE541" s="1426"/>
      <c r="AF541" s="1426"/>
      <c r="AG541" s="38" t="s">
        <v>403</v>
      </c>
      <c r="AH541" s="1384"/>
      <c r="AI541" s="1384"/>
      <c r="AJ541" s="1384"/>
      <c r="AK541" s="1385"/>
      <c r="AZ541" s="3"/>
      <c r="BA541" s="3"/>
      <c r="BB541" s="3"/>
      <c r="BC541" s="3"/>
      <c r="BD541" s="3"/>
      <c r="BE541" s="3"/>
      <c r="BF541" s="3"/>
      <c r="BG541" s="3"/>
      <c r="BH541" s="3"/>
      <c r="BI541" s="3"/>
      <c r="BJ541" s="3"/>
      <c r="BK541" s="3"/>
      <c r="BL541" s="3"/>
      <c r="BM541" s="3"/>
      <c r="BN541" s="3" t="s">
        <v>2074</v>
      </c>
    </row>
    <row r="542" spans="2:66" ht="12.9" customHeight="1">
      <c r="B542" s="1658"/>
      <c r="C542" s="1479"/>
      <c r="D542" s="1479"/>
      <c r="E542" s="1479"/>
      <c r="F542" s="1479"/>
      <c r="G542" s="1479"/>
      <c r="H542" s="1480"/>
      <c r="I542" s="48" t="s">
        <v>422</v>
      </c>
      <c r="J542" s="48"/>
      <c r="K542" s="48"/>
      <c r="L542" s="48"/>
      <c r="M542" s="48"/>
      <c r="N542" s="48"/>
      <c r="O542" s="48"/>
      <c r="P542" s="48"/>
      <c r="Q542" s="48"/>
      <c r="R542" s="48"/>
      <c r="S542" s="48"/>
      <c r="T542" s="48"/>
      <c r="U542" s="48"/>
      <c r="V542" s="48"/>
      <c r="W542" s="48"/>
      <c r="X542" s="48"/>
      <c r="Y542" s="48"/>
      <c r="Z542" s="48"/>
      <c r="AA542" s="48"/>
      <c r="AB542" s="48"/>
      <c r="AC542" s="1425" t="s">
        <v>591</v>
      </c>
      <c r="AD542" s="1426"/>
      <c r="AE542" s="1426"/>
      <c r="AF542" s="1426"/>
      <c r="AG542" s="13" t="s">
        <v>403</v>
      </c>
      <c r="AH542" s="1384"/>
      <c r="AI542" s="1384"/>
      <c r="AJ542" s="1384"/>
      <c r="AK542" s="1385"/>
      <c r="AZ542" s="3"/>
      <c r="BA542" s="3"/>
      <c r="BB542" s="3"/>
      <c r="BC542" s="3"/>
      <c r="BD542" s="3"/>
      <c r="BE542" s="3"/>
      <c r="BF542" s="3"/>
      <c r="BG542" s="3"/>
      <c r="BH542" s="3"/>
      <c r="BI542" s="3"/>
      <c r="BJ542" s="3"/>
      <c r="BK542" s="3"/>
      <c r="BL542" s="3"/>
      <c r="BM542" s="3"/>
      <c r="BN542" s="3" t="s">
        <v>2075</v>
      </c>
    </row>
    <row r="543" spans="2:66" ht="12.9" customHeight="1">
      <c r="B543" s="1658"/>
      <c r="C543" s="1479"/>
      <c r="D543" s="1479"/>
      <c r="E543" s="1479"/>
      <c r="F543" s="1479"/>
      <c r="G543" s="1479"/>
      <c r="H543" s="1480"/>
      <c r="I543" s="42" t="s">
        <v>423</v>
      </c>
      <c r="J543" s="42"/>
      <c r="K543" s="42"/>
      <c r="L543" s="42"/>
      <c r="M543" s="42"/>
      <c r="N543" s="42"/>
      <c r="O543" s="1699" t="s">
        <v>334</v>
      </c>
      <c r="P543" s="1700"/>
      <c r="Q543" s="1700"/>
      <c r="R543" s="1700"/>
      <c r="S543" s="1700"/>
      <c r="T543" s="1700"/>
      <c r="U543" s="1700"/>
      <c r="V543" s="1700"/>
      <c r="W543" s="1700"/>
      <c r="X543" s="1700"/>
      <c r="Y543" s="1700"/>
      <c r="Z543" s="1700"/>
      <c r="AA543" s="1700"/>
      <c r="AC543" s="1425" t="s">
        <v>591</v>
      </c>
      <c r="AD543" s="1426"/>
      <c r="AE543" s="1426"/>
      <c r="AF543" s="1426"/>
      <c r="AG543" s="38" t="s">
        <v>403</v>
      </c>
      <c r="AH543" s="1384"/>
      <c r="AI543" s="1384"/>
      <c r="AJ543" s="1384"/>
      <c r="AK543" s="1385"/>
      <c r="AZ543" s="3"/>
      <c r="BA543" s="3"/>
      <c r="BB543" s="3"/>
      <c r="BC543" s="3"/>
      <c r="BD543" s="3"/>
      <c r="BE543" s="3"/>
      <c r="BF543" s="3"/>
      <c r="BG543" s="3"/>
      <c r="BH543" s="3"/>
      <c r="BI543" s="3"/>
      <c r="BJ543" s="3"/>
      <c r="BK543" s="3"/>
      <c r="BL543" s="3"/>
      <c r="BM543" s="3"/>
      <c r="BN543" s="3" t="s">
        <v>2076</v>
      </c>
    </row>
    <row r="544" spans="2:66" ht="12.9" customHeight="1">
      <c r="B544" s="1658"/>
      <c r="C544" s="1479"/>
      <c r="D544" s="1479"/>
      <c r="E544" s="1479"/>
      <c r="F544" s="1479"/>
      <c r="G544" s="1479"/>
      <c r="H544" s="1480"/>
      <c r="I544" t="s">
        <v>421</v>
      </c>
      <c r="AC544" s="1425" t="s">
        <v>591</v>
      </c>
      <c r="AD544" s="1426"/>
      <c r="AE544" s="1426"/>
      <c r="AF544" s="1426"/>
      <c r="AG544" s="13" t="s">
        <v>403</v>
      </c>
      <c r="AH544" s="1384"/>
      <c r="AI544" s="1384"/>
      <c r="AJ544" s="1384"/>
      <c r="AK544" s="1385"/>
      <c r="AZ544" s="3"/>
      <c r="BA544" s="3"/>
      <c r="BB544" s="3"/>
      <c r="BC544" s="3"/>
      <c r="BD544" s="3"/>
      <c r="BE544" s="3"/>
      <c r="BF544" s="3"/>
      <c r="BG544" s="3"/>
      <c r="BH544" s="3"/>
      <c r="BI544" s="3"/>
      <c r="BJ544" s="3"/>
      <c r="BK544" s="3"/>
      <c r="BL544" s="3"/>
      <c r="BM544" s="3"/>
      <c r="BN544" s="3" t="s">
        <v>2077</v>
      </c>
    </row>
    <row r="545" spans="1:66" ht="12.9" customHeight="1">
      <c r="B545" s="1658"/>
      <c r="C545" s="1479"/>
      <c r="D545" s="1479"/>
      <c r="E545" s="1479"/>
      <c r="F545" s="1479"/>
      <c r="G545" s="1479"/>
      <c r="H545" s="1480"/>
      <c r="I545" s="48" t="s">
        <v>422</v>
      </c>
      <c r="J545" s="48"/>
      <c r="K545" s="48"/>
      <c r="L545" s="48"/>
      <c r="M545" s="48"/>
      <c r="N545" s="48"/>
      <c r="O545" s="48"/>
      <c r="P545" s="48"/>
      <c r="Q545" s="48"/>
      <c r="R545" s="48"/>
      <c r="S545" s="48"/>
      <c r="T545" s="48"/>
      <c r="U545" s="48"/>
      <c r="V545" s="48"/>
      <c r="W545" s="48"/>
      <c r="X545" s="48"/>
      <c r="Y545" s="48"/>
      <c r="Z545" s="48"/>
      <c r="AA545" s="48"/>
      <c r="AB545" s="48"/>
      <c r="AC545" s="1425" t="s">
        <v>591</v>
      </c>
      <c r="AD545" s="1426"/>
      <c r="AE545" s="1426"/>
      <c r="AF545" s="1426"/>
      <c r="AG545" s="38" t="s">
        <v>403</v>
      </c>
      <c r="AH545" s="1384"/>
      <c r="AI545" s="1384"/>
      <c r="AJ545" s="1384"/>
      <c r="AK545" s="1385"/>
      <c r="AZ545" s="3"/>
      <c r="BA545" s="3"/>
      <c r="BB545" s="3"/>
      <c r="BC545" s="3"/>
      <c r="BD545" s="3"/>
      <c r="BE545" s="3"/>
      <c r="BF545" s="3"/>
      <c r="BG545" s="3"/>
      <c r="BH545" s="3"/>
      <c r="BI545" s="3"/>
      <c r="BJ545" s="3"/>
      <c r="BK545" s="3"/>
      <c r="BL545" s="3"/>
      <c r="BM545" s="3"/>
      <c r="BN545" s="3" t="s">
        <v>2078</v>
      </c>
    </row>
    <row r="546" spans="1:66" ht="12.9" customHeight="1">
      <c r="B546" s="1658"/>
      <c r="C546" s="1479"/>
      <c r="D546" s="1479"/>
      <c r="E546" s="1479"/>
      <c r="F546" s="1479"/>
      <c r="G546" s="1479"/>
      <c r="H546" s="1480"/>
      <c r="I546" s="42" t="s">
        <v>562</v>
      </c>
      <c r="J546" s="42"/>
      <c r="K546" s="42"/>
      <c r="L546" s="42"/>
      <c r="M546" s="42"/>
      <c r="N546" s="42"/>
      <c r="O546" s="42"/>
      <c r="P546" s="42"/>
      <c r="Q546" s="42"/>
      <c r="R546" s="42"/>
      <c r="S546" s="42"/>
      <c r="T546" s="42"/>
      <c r="U546" s="42"/>
      <c r="V546" s="42"/>
      <c r="W546" s="42"/>
      <c r="AC546" s="1425">
        <v>7</v>
      </c>
      <c r="AD546" s="1426"/>
      <c r="AE546" s="1426"/>
      <c r="AF546" s="1426"/>
      <c r="AG546" s="38" t="s">
        <v>403</v>
      </c>
      <c r="AH546" s="1384">
        <v>2027</v>
      </c>
      <c r="AI546" s="1384"/>
      <c r="AJ546" s="1384"/>
      <c r="AK546" s="1385"/>
      <c r="AZ546" s="3"/>
      <c r="BA546" s="3"/>
      <c r="BB546" s="3"/>
      <c r="BC546" s="3"/>
      <c r="BD546" s="3"/>
      <c r="BE546" s="3"/>
      <c r="BF546" s="3"/>
      <c r="BG546" s="3"/>
      <c r="BH546" s="3"/>
      <c r="BI546" s="3"/>
      <c r="BJ546" s="3"/>
      <c r="BK546" s="3"/>
      <c r="BL546" s="3"/>
      <c r="BM546" s="3"/>
      <c r="BN546" s="3"/>
    </row>
    <row r="547" spans="1:66" ht="12.9" customHeight="1">
      <c r="B547" s="1658"/>
      <c r="C547" s="1479"/>
      <c r="D547" s="1479"/>
      <c r="E547" s="1479"/>
      <c r="F547" s="1479"/>
      <c r="G547" s="1479"/>
      <c r="H547" s="1480"/>
      <c r="I547" t="s">
        <v>563</v>
      </c>
      <c r="AC547" s="1425">
        <v>6</v>
      </c>
      <c r="AD547" s="1426"/>
      <c r="AE547" s="1426"/>
      <c r="AF547" s="1426"/>
      <c r="AG547" s="13" t="s">
        <v>403</v>
      </c>
      <c r="AH547" s="1384">
        <v>2027</v>
      </c>
      <c r="AI547" s="1384"/>
      <c r="AJ547" s="1384"/>
      <c r="AK547" s="1385"/>
      <c r="AZ547" s="3"/>
      <c r="BA547" s="3"/>
      <c r="BB547" s="3"/>
      <c r="BC547" s="3"/>
      <c r="BD547" s="3"/>
      <c r="BE547" s="3"/>
      <c r="BF547" s="3"/>
      <c r="BG547" s="3"/>
      <c r="BH547" s="3"/>
      <c r="BI547" s="3"/>
      <c r="BJ547" s="3"/>
      <c r="BK547" s="3"/>
      <c r="BL547" s="3"/>
      <c r="BM547" s="3"/>
      <c r="BN547" s="3"/>
    </row>
    <row r="548" spans="1:66" ht="12.9" customHeight="1">
      <c r="B548" s="1658"/>
      <c r="C548" s="1479"/>
      <c r="D548" s="1479"/>
      <c r="E548" s="1479"/>
      <c r="F548" s="1479"/>
      <c r="G548" s="1479"/>
      <c r="H548" s="1480"/>
      <c r="I548" t="s">
        <v>564</v>
      </c>
      <c r="AC548" s="1425">
        <v>2</v>
      </c>
      <c r="AD548" s="1426"/>
      <c r="AE548" s="1426"/>
      <c r="AF548" s="1426"/>
      <c r="AG548" s="38" t="s">
        <v>403</v>
      </c>
      <c r="AH548" s="1384">
        <v>2029</v>
      </c>
      <c r="AI548" s="1384"/>
      <c r="AJ548" s="1384"/>
      <c r="AK548" s="1385"/>
      <c r="AZ548" s="3"/>
      <c r="BA548" s="3"/>
      <c r="BB548" s="3"/>
      <c r="BC548" s="3"/>
      <c r="BD548" s="3"/>
      <c r="BE548" s="3"/>
      <c r="BF548" s="3"/>
      <c r="BG548" s="3"/>
      <c r="BH548" s="3"/>
      <c r="BI548" s="3"/>
      <c r="BJ548" s="3"/>
      <c r="BK548" s="3"/>
      <c r="BL548" s="3"/>
      <c r="BM548" s="3"/>
      <c r="BN548" s="3"/>
    </row>
    <row r="549" spans="1:66" ht="12.9" customHeight="1">
      <c r="B549" s="1658"/>
      <c r="C549" s="1479"/>
      <c r="D549" s="1479"/>
      <c r="E549" s="1479"/>
      <c r="F549" s="1479"/>
      <c r="G549" s="1479"/>
      <c r="H549" s="1480"/>
      <c r="I549" t="s">
        <v>565</v>
      </c>
      <c r="AC549" s="1425">
        <v>2</v>
      </c>
      <c r="AD549" s="1426"/>
      <c r="AE549" s="1426"/>
      <c r="AF549" s="1426"/>
      <c r="AG549" s="38" t="s">
        <v>403</v>
      </c>
      <c r="AH549" s="1384">
        <v>2029</v>
      </c>
      <c r="AI549" s="1384"/>
      <c r="AJ549" s="1384"/>
      <c r="AK549" s="1385"/>
      <c r="AZ549" s="3"/>
      <c r="BA549" s="3"/>
      <c r="BB549" s="3"/>
      <c r="BC549" s="3"/>
      <c r="BD549" s="3"/>
      <c r="BE549" s="3"/>
      <c r="BF549" s="3"/>
      <c r="BG549" s="3"/>
      <c r="BH549" s="3"/>
      <c r="BI549" s="3"/>
      <c r="BJ549" s="3"/>
      <c r="BK549" s="3"/>
      <c r="BL549" s="3"/>
      <c r="BM549" s="3"/>
      <c r="BN549" s="3"/>
    </row>
    <row r="550" spans="1:66" ht="12.9" customHeight="1">
      <c r="B550" s="1659"/>
      <c r="C550" s="1481"/>
      <c r="D550" s="1481"/>
      <c r="E550" s="1481"/>
      <c r="F550" s="1481"/>
      <c r="G550" s="1481"/>
      <c r="H550" s="1482"/>
      <c r="I550" s="48" t="s">
        <v>451</v>
      </c>
      <c r="J550" s="48"/>
      <c r="K550" s="48"/>
      <c r="L550" s="48"/>
      <c r="M550" s="48"/>
      <c r="N550" s="48"/>
      <c r="O550" s="48"/>
      <c r="P550" s="48"/>
      <c r="Q550" s="48"/>
      <c r="R550" s="48"/>
      <c r="S550" s="48"/>
      <c r="T550" s="48"/>
      <c r="U550" s="48"/>
      <c r="V550" s="48"/>
      <c r="W550" s="48"/>
      <c r="X550" s="48"/>
      <c r="Y550" s="48"/>
      <c r="Z550" s="48"/>
      <c r="AA550" s="48"/>
      <c r="AB550" s="48"/>
      <c r="AC550" s="1425">
        <v>5</v>
      </c>
      <c r="AD550" s="1426"/>
      <c r="AE550" s="1426"/>
      <c r="AF550" s="1426"/>
      <c r="AG550" s="38" t="s">
        <v>403</v>
      </c>
      <c r="AH550" s="1384">
        <v>2029</v>
      </c>
      <c r="AI550" s="1384"/>
      <c r="AJ550" s="1384"/>
      <c r="AK550" s="1385"/>
      <c r="BB550" s="3"/>
      <c r="BC550" s="3"/>
      <c r="BD550" s="3"/>
      <c r="BE550" s="3"/>
      <c r="BF550" s="3"/>
      <c r="BG550" s="3"/>
      <c r="BH550" s="3" t="s">
        <v>112</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 customHeight="1">
      <c r="A552" s="1468" t="s">
        <v>543</v>
      </c>
      <c r="B552" s="1468"/>
      <c r="C552" s="1468"/>
      <c r="D552" s="1468"/>
      <c r="E552" s="1468"/>
      <c r="F552" s="1468"/>
      <c r="G552" s="1468"/>
      <c r="H552" s="1468"/>
      <c r="I552" s="1468"/>
      <c r="J552" s="1468"/>
      <c r="K552" s="1468"/>
      <c r="L552" s="1468"/>
      <c r="M552" s="1468"/>
      <c r="N552" s="1468"/>
      <c r="O552" s="1468"/>
      <c r="P552" s="1468"/>
      <c r="Q552" s="1468"/>
      <c r="R552" s="1468"/>
      <c r="S552" s="1468"/>
      <c r="T552" s="1468"/>
      <c r="U552" s="1468"/>
      <c r="V552" s="1468"/>
      <c r="W552" s="1468"/>
      <c r="X552" s="1468"/>
      <c r="Y552" s="1468"/>
      <c r="Z552" s="1468"/>
      <c r="AA552" s="1468"/>
      <c r="AB552" s="1468"/>
      <c r="AC552" s="1468"/>
      <c r="AD552" s="1468"/>
      <c r="AE552" s="1468"/>
      <c r="AF552" s="1468"/>
      <c r="AG552" s="1468"/>
      <c r="AH552" s="1468"/>
      <c r="AI552" s="1468"/>
      <c r="AJ552" s="1468"/>
      <c r="AK552" s="1468"/>
      <c r="AL552" s="1468"/>
      <c r="AM552" s="1468"/>
      <c r="AN552" s="1468"/>
      <c r="AO552" s="1468"/>
      <c r="AP552" s="1468"/>
      <c r="AQ552" s="1468"/>
      <c r="AR552" s="1468"/>
      <c r="AS552" s="1468"/>
      <c r="AT552" s="1468"/>
      <c r="AU552" s="890"/>
      <c r="AV552" s="890"/>
      <c r="AW552" s="890"/>
      <c r="AX552" s="890"/>
      <c r="AY552" s="890"/>
      <c r="BB552" s="3"/>
      <c r="BC552" s="3"/>
      <c r="BD552" s="3"/>
      <c r="BE552" s="3"/>
      <c r="BF552" s="3"/>
      <c r="BG552" s="3"/>
      <c r="BH552" s="3"/>
      <c r="BI552" s="3"/>
      <c r="BJ552" s="3"/>
      <c r="BK552" s="3"/>
      <c r="BL552" s="3"/>
      <c r="BM552" s="3"/>
      <c r="BN552" s="3"/>
    </row>
    <row r="553" spans="1:66" ht="12.9" customHeight="1">
      <c r="A553" s="1468"/>
      <c r="B553" s="1468"/>
      <c r="C553" s="1468"/>
      <c r="D553" s="1468"/>
      <c r="E553" s="1468"/>
      <c r="F553" s="1468"/>
      <c r="G553" s="1468"/>
      <c r="H553" s="1468"/>
      <c r="I553" s="1468"/>
      <c r="J553" s="1468"/>
      <c r="K553" s="1468"/>
      <c r="L553" s="1468"/>
      <c r="M553" s="1468"/>
      <c r="N553" s="1468"/>
      <c r="O553" s="1468"/>
      <c r="P553" s="1468"/>
      <c r="Q553" s="1468"/>
      <c r="R553" s="1468"/>
      <c r="S553" s="1468"/>
      <c r="T553" s="1468"/>
      <c r="U553" s="1468"/>
      <c r="V553" s="1468"/>
      <c r="W553" s="1468"/>
      <c r="X553" s="1468"/>
      <c r="Y553" s="1468"/>
      <c r="Z553" s="1468"/>
      <c r="AA553" s="1468"/>
      <c r="AB553" s="1468"/>
      <c r="AC553" s="1468"/>
      <c r="AD553" s="1468"/>
      <c r="AE553" s="1468"/>
      <c r="AF553" s="1468"/>
      <c r="AG553" s="1468"/>
      <c r="AH553" s="1468"/>
      <c r="AI553" s="1468"/>
      <c r="AJ553" s="1468"/>
      <c r="AK553" s="1468"/>
      <c r="AL553" s="1468"/>
      <c r="AM553" s="1468"/>
      <c r="AN553" s="1468"/>
      <c r="AO553" s="1468"/>
      <c r="AP553" s="1468"/>
      <c r="AQ553" s="1468"/>
      <c r="AR553" s="1468"/>
      <c r="AS553" s="1468"/>
      <c r="AT553" s="1468"/>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319</v>
      </c>
      <c r="B555" s="2"/>
      <c r="C555" s="2" t="s">
        <v>452</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2050</v>
      </c>
      <c r="AC557" s="98"/>
      <c r="BB557" s="3"/>
      <c r="BC557" s="3"/>
      <c r="BD557" s="3"/>
      <c r="BE557" s="3"/>
      <c r="BF557" s="3"/>
      <c r="BG557" s="3"/>
      <c r="BH557" s="3"/>
      <c r="BI557" s="3"/>
    </row>
    <row r="558" spans="1:66" ht="12.9" customHeight="1">
      <c r="B558" s="508"/>
      <c r="BB558" s="3"/>
      <c r="BC558" s="3"/>
      <c r="BD558" s="3"/>
      <c r="BE558" s="3"/>
      <c r="BF558" s="3"/>
      <c r="BG558" s="3"/>
      <c r="BH558" s="3" t="s">
        <v>119</v>
      </c>
      <c r="BI558" s="3" t="str">
        <f>N665</f>
        <v>Yes</v>
      </c>
    </row>
    <row r="559" spans="1:66" ht="12.9" customHeight="1">
      <c r="B559" s="1657" t="s">
        <v>2052</v>
      </c>
      <c r="C559" s="1477"/>
      <c r="D559" s="1477"/>
      <c r="E559" s="1477"/>
      <c r="F559" s="1477"/>
      <c r="G559" s="1477"/>
      <c r="H559" s="1477"/>
      <c r="I559" s="1477"/>
      <c r="J559" s="1477"/>
      <c r="K559" s="1477"/>
      <c r="L559" s="1478"/>
      <c r="M559" s="1657" t="s">
        <v>2053</v>
      </c>
      <c r="N559" s="1477"/>
      <c r="O559" s="1477"/>
      <c r="P559" s="1478"/>
      <c r="Q559" s="1657" t="s">
        <v>2079</v>
      </c>
      <c r="R559" s="1477"/>
      <c r="S559" s="1478"/>
      <c r="T559" s="1657" t="s">
        <v>2080</v>
      </c>
      <c r="U559" s="1477"/>
      <c r="V559" s="1478"/>
      <c r="W559" s="1657" t="s">
        <v>453</v>
      </c>
      <c r="X559" s="1477"/>
      <c r="Y559" s="1478"/>
      <c r="Z559" s="1657" t="s">
        <v>1822</v>
      </c>
      <c r="AA559" s="1477"/>
      <c r="AB559" s="1477"/>
      <c r="AC559" s="1477"/>
      <c r="AD559" s="1478"/>
      <c r="AE559" s="1657" t="s">
        <v>1664</v>
      </c>
      <c r="AF559" s="1477"/>
      <c r="AG559" s="1477"/>
      <c r="AH559" s="1478"/>
      <c r="AI559" s="1657" t="s">
        <v>1665</v>
      </c>
      <c r="AJ559" s="1477"/>
      <c r="AK559" s="1477"/>
      <c r="AL559" s="1478"/>
      <c r="AM559" s="1657" t="s">
        <v>454</v>
      </c>
      <c r="AN559" s="1477"/>
      <c r="AO559" s="1477"/>
      <c r="AP559" s="1477"/>
      <c r="AQ559" s="1477"/>
      <c r="AR559" s="1477"/>
      <c r="AS559" s="1478"/>
      <c r="BB559" s="3"/>
      <c r="BC559" s="3"/>
      <c r="BD559" s="3"/>
      <c r="BE559" s="3"/>
      <c r="BF559" s="3"/>
      <c r="BG559" s="3"/>
      <c r="BH559" s="3" t="s">
        <v>581</v>
      </c>
      <c r="BI559" s="3" t="str">
        <f>AG665</f>
        <v>No</v>
      </c>
    </row>
    <row r="560" spans="1:66" ht="12.9" customHeight="1">
      <c r="B560" s="1658"/>
      <c r="C560" s="1479"/>
      <c r="D560" s="1479"/>
      <c r="E560" s="1479"/>
      <c r="F560" s="1479"/>
      <c r="G560" s="1479"/>
      <c r="H560" s="1479"/>
      <c r="I560" s="1479"/>
      <c r="J560" s="1479"/>
      <c r="K560" s="1479"/>
      <c r="L560" s="1480"/>
      <c r="M560" s="1658"/>
      <c r="N560" s="1479"/>
      <c r="O560" s="1479"/>
      <c r="P560" s="1480"/>
      <c r="Q560" s="1658"/>
      <c r="R560" s="1479"/>
      <c r="S560" s="1480"/>
      <c r="T560" s="1658"/>
      <c r="U560" s="1479"/>
      <c r="V560" s="1480"/>
      <c r="W560" s="1658"/>
      <c r="X560" s="1479"/>
      <c r="Y560" s="1480"/>
      <c r="Z560" s="1658"/>
      <c r="AA560" s="1479"/>
      <c r="AB560" s="1479"/>
      <c r="AC560" s="1479"/>
      <c r="AD560" s="1480"/>
      <c r="AE560" s="1658"/>
      <c r="AF560" s="1479"/>
      <c r="AG560" s="1479"/>
      <c r="AH560" s="1480"/>
      <c r="AI560" s="1658"/>
      <c r="AJ560" s="1479"/>
      <c r="AK560" s="1479"/>
      <c r="AL560" s="1480"/>
      <c r="AM560" s="1658"/>
      <c r="AN560" s="1479"/>
      <c r="AO560" s="1479"/>
      <c r="AP560" s="1479"/>
      <c r="AQ560" s="1479"/>
      <c r="AR560" s="1479"/>
      <c r="AS560" s="1480"/>
      <c r="AU560" s="1136"/>
      <c r="BB560" s="3"/>
      <c r="BC560" s="3"/>
      <c r="BD560" s="3"/>
      <c r="BE560" s="3"/>
      <c r="BF560" s="3"/>
      <c r="BG560" s="3"/>
      <c r="BH560" s="3"/>
      <c r="BI560" s="3"/>
    </row>
    <row r="561" spans="1:61" ht="12.9" customHeight="1">
      <c r="B561" s="1659"/>
      <c r="C561" s="1481"/>
      <c r="D561" s="1481"/>
      <c r="E561" s="1481"/>
      <c r="F561" s="1481"/>
      <c r="G561" s="1481"/>
      <c r="H561" s="1481"/>
      <c r="I561" s="1481"/>
      <c r="J561" s="1481"/>
      <c r="K561" s="1481"/>
      <c r="L561" s="1482"/>
      <c r="M561" s="1659"/>
      <c r="N561" s="1481"/>
      <c r="O561" s="1481"/>
      <c r="P561" s="1482"/>
      <c r="Q561" s="1659"/>
      <c r="R561" s="1481"/>
      <c r="S561" s="1482"/>
      <c r="T561" s="1659"/>
      <c r="U561" s="1481"/>
      <c r="V561" s="1482"/>
      <c r="W561" s="1659"/>
      <c r="X561" s="1481"/>
      <c r="Y561" s="1482"/>
      <c r="Z561" s="1659"/>
      <c r="AA561" s="1481"/>
      <c r="AB561" s="1481"/>
      <c r="AC561" s="1481"/>
      <c r="AD561" s="1482"/>
      <c r="AE561" s="1659"/>
      <c r="AF561" s="1481"/>
      <c r="AG561" s="1481"/>
      <c r="AH561" s="1482"/>
      <c r="AI561" s="1659"/>
      <c r="AJ561" s="1481"/>
      <c r="AK561" s="1481"/>
      <c r="AL561" s="1482"/>
      <c r="AM561" s="1659"/>
      <c r="AN561" s="1481"/>
      <c r="AO561" s="1481"/>
      <c r="AP561" s="1481"/>
      <c r="AQ561" s="1481"/>
      <c r="AR561" s="1481"/>
      <c r="AS561" s="1482"/>
      <c r="AU561" s="1136"/>
      <c r="BB561" s="3"/>
      <c r="BC561" s="3"/>
      <c r="BD561" s="3"/>
      <c r="BE561" s="3"/>
      <c r="BF561" s="3"/>
      <c r="BG561" s="3"/>
      <c r="BH561" s="3"/>
      <c r="BI561" s="3"/>
    </row>
    <row r="562" spans="1:61" ht="12.9" customHeight="1">
      <c r="B562" s="51" t="s">
        <v>112</v>
      </c>
      <c r="C562" s="1427" t="s">
        <v>2804</v>
      </c>
      <c r="D562" s="1427"/>
      <c r="E562" s="1427"/>
      <c r="F562" s="1427"/>
      <c r="G562" s="1427"/>
      <c r="H562" s="1427"/>
      <c r="I562" s="1427"/>
      <c r="J562" s="1427"/>
      <c r="K562" s="1427"/>
      <c r="L562" s="1427"/>
      <c r="M562" s="1427" t="s">
        <v>2069</v>
      </c>
      <c r="N562" s="1427"/>
      <c r="O562" s="1427"/>
      <c r="P562" s="1427"/>
      <c r="Q562" s="1493">
        <v>36</v>
      </c>
      <c r="R562" s="1493"/>
      <c r="S562" s="1494"/>
      <c r="T562" s="1492"/>
      <c r="U562" s="1493"/>
      <c r="V562" s="1494"/>
      <c r="W562" s="1495">
        <v>5.6500000000000002E-2</v>
      </c>
      <c r="X562" s="1496"/>
      <c r="Y562" s="1497"/>
      <c r="Z562" s="1661" t="s">
        <v>2756</v>
      </c>
      <c r="AA562" s="1661"/>
      <c r="AB562" s="1661"/>
      <c r="AC562" s="1661"/>
      <c r="AD562" s="1661"/>
      <c r="AE562" s="1436">
        <v>1</v>
      </c>
      <c r="AF562" s="1437"/>
      <c r="AG562" s="1437"/>
      <c r="AH562" s="1438"/>
      <c r="AI562" s="1429"/>
      <c r="AJ562" s="1430"/>
      <c r="AK562" s="1430"/>
      <c r="AL562" s="1431"/>
      <c r="AM562" s="1432">
        <v>26883715</v>
      </c>
      <c r="AN562" s="1433"/>
      <c r="AO562" s="1433"/>
      <c r="AP562" s="1433"/>
      <c r="AQ562" s="1433"/>
      <c r="AR562" s="1433"/>
      <c r="AS562" s="1434"/>
      <c r="AT562" s="1137"/>
      <c r="AU562" s="1136"/>
      <c r="BB562" s="3"/>
      <c r="BC562" s="3"/>
      <c r="BD562" s="3"/>
      <c r="BE562" s="3"/>
      <c r="BF562" s="3"/>
      <c r="BG562" s="3"/>
      <c r="BH562" s="3"/>
      <c r="BI562" s="3"/>
    </row>
    <row r="563" spans="1:61" ht="12.9" customHeight="1">
      <c r="B563" s="52" t="s">
        <v>113</v>
      </c>
      <c r="C563" s="1502" t="s">
        <v>2804</v>
      </c>
      <c r="D563" s="1502"/>
      <c r="E563" s="1502"/>
      <c r="F563" s="1502"/>
      <c r="G563" s="1502"/>
      <c r="H563" s="1502"/>
      <c r="I563" s="1502"/>
      <c r="J563" s="1502"/>
      <c r="K563" s="1502"/>
      <c r="L563" s="1502"/>
      <c r="M563" s="1427" t="s">
        <v>2070</v>
      </c>
      <c r="N563" s="1427"/>
      <c r="O563" s="1427"/>
      <c r="P563" s="1427"/>
      <c r="Q563" s="1492">
        <v>36</v>
      </c>
      <c r="R563" s="1493"/>
      <c r="S563" s="1494"/>
      <c r="T563" s="1492"/>
      <c r="U563" s="1493"/>
      <c r="V563" s="1494"/>
      <c r="W563" s="1495">
        <v>5.6500000000000002E-2</v>
      </c>
      <c r="X563" s="1496"/>
      <c r="Y563" s="1497"/>
      <c r="Z563" s="1661" t="s">
        <v>2756</v>
      </c>
      <c r="AA563" s="1661"/>
      <c r="AB563" s="1661"/>
      <c r="AC563" s="1661"/>
      <c r="AD563" s="1661"/>
      <c r="AE563" s="1436">
        <v>1</v>
      </c>
      <c r="AF563" s="1437"/>
      <c r="AG563" s="1437"/>
      <c r="AH563" s="1438"/>
      <c r="AI563" s="1429"/>
      <c r="AJ563" s="1430"/>
      <c r="AK563" s="1430"/>
      <c r="AL563" s="1431"/>
      <c r="AM563" s="1432">
        <v>25000000</v>
      </c>
      <c r="AN563" s="1433"/>
      <c r="AO563" s="1433"/>
      <c r="AP563" s="1433"/>
      <c r="AQ563" s="1433"/>
      <c r="AR563" s="1433"/>
      <c r="AS563" s="1434"/>
      <c r="AT563" s="1137" t="str">
        <f>IF(AND(NOT(C562=""),C563="",NOT(C564="")),"!","")</f>
        <v/>
      </c>
      <c r="AU563" s="1136"/>
      <c r="BB563" s="3"/>
      <c r="BC563" s="3"/>
      <c r="BD563" s="3"/>
      <c r="BE563" s="3"/>
      <c r="BF563" s="3"/>
      <c r="BG563" s="3"/>
      <c r="BH563" s="3"/>
      <c r="BI563" s="3"/>
    </row>
    <row r="564" spans="1:61" ht="12.9" customHeight="1">
      <c r="B564" s="52" t="s">
        <v>119</v>
      </c>
      <c r="C564" s="1502" t="s">
        <v>2804</v>
      </c>
      <c r="D564" s="1502"/>
      <c r="E564" s="1502"/>
      <c r="F564" s="1502"/>
      <c r="G564" s="1502"/>
      <c r="H564" s="1502"/>
      <c r="I564" s="1502"/>
      <c r="J564" s="1502"/>
      <c r="K564" s="1502"/>
      <c r="L564" s="1502"/>
      <c r="M564" s="1427" t="s">
        <v>2068</v>
      </c>
      <c r="N564" s="1427"/>
      <c r="O564" s="1427"/>
      <c r="P564" s="1427"/>
      <c r="Q564" s="1492">
        <v>36</v>
      </c>
      <c r="R564" s="1493"/>
      <c r="S564" s="1494"/>
      <c r="T564" s="1492"/>
      <c r="U564" s="1493"/>
      <c r="V564" s="1494"/>
      <c r="W564" s="1495">
        <v>6.3500000000000001E-2</v>
      </c>
      <c r="X564" s="1496"/>
      <c r="Y564" s="1497"/>
      <c r="Z564" s="1661" t="s">
        <v>2756</v>
      </c>
      <c r="AA564" s="1661"/>
      <c r="AB564" s="1661"/>
      <c r="AC564" s="1661"/>
      <c r="AD564" s="1661"/>
      <c r="AE564" s="1436">
        <v>1</v>
      </c>
      <c r="AF564" s="1437"/>
      <c r="AG564" s="1437"/>
      <c r="AH564" s="1438"/>
      <c r="AI564" s="1429"/>
      <c r="AJ564" s="1430"/>
      <c r="AK564" s="1430"/>
      <c r="AL564" s="1431"/>
      <c r="AM564" s="1432">
        <v>20856948</v>
      </c>
      <c r="AN564" s="1433"/>
      <c r="AO564" s="1433"/>
      <c r="AP564" s="1433"/>
      <c r="AQ564" s="1433"/>
      <c r="AR564" s="1433"/>
      <c r="AS564" s="1434"/>
      <c r="AT564" s="1137" t="str">
        <f>IF(AND(NOT(C563=""),C564="",NOT(C565="")),"!","")</f>
        <v/>
      </c>
      <c r="AU564" s="1136"/>
      <c r="BB564" s="3"/>
      <c r="BC564" s="3"/>
      <c r="BD564" s="3"/>
      <c r="BE564" s="3"/>
      <c r="BF564" s="3"/>
      <c r="BG564" s="3"/>
      <c r="BH564" s="3"/>
      <c r="BI564" s="3"/>
    </row>
    <row r="565" spans="1:61" ht="12.9" customHeight="1">
      <c r="B565" s="52" t="s">
        <v>581</v>
      </c>
      <c r="C565" s="1502" t="s">
        <v>2693</v>
      </c>
      <c r="D565" s="1502"/>
      <c r="E565" s="1502"/>
      <c r="F565" s="1502"/>
      <c r="G565" s="1502"/>
      <c r="H565" s="1502"/>
      <c r="I565" s="1502"/>
      <c r="J565" s="1502"/>
      <c r="K565" s="1502"/>
      <c r="L565" s="1502"/>
      <c r="M565" s="1427" t="s">
        <v>2071</v>
      </c>
      <c r="N565" s="1427"/>
      <c r="O565" s="1427"/>
      <c r="P565" s="1427"/>
      <c r="Q565" s="1492"/>
      <c r="R565" s="1493"/>
      <c r="S565" s="1494"/>
      <c r="T565" s="1492"/>
      <c r="U565" s="1493"/>
      <c r="V565" s="1494"/>
      <c r="W565" s="1495"/>
      <c r="X565" s="1496"/>
      <c r="Y565" s="1497"/>
      <c r="Z565" s="1661" t="s">
        <v>1183</v>
      </c>
      <c r="AA565" s="1661"/>
      <c r="AB565" s="1661"/>
      <c r="AC565" s="1661"/>
      <c r="AD565" s="1661"/>
      <c r="AE565" s="1436"/>
      <c r="AF565" s="1437"/>
      <c r="AG565" s="1437"/>
      <c r="AH565" s="1438"/>
      <c r="AI565" s="1429"/>
      <c r="AJ565" s="1430"/>
      <c r="AK565" s="1430"/>
      <c r="AL565" s="1431"/>
      <c r="AM565" s="1432">
        <v>4093118</v>
      </c>
      <c r="AN565" s="1433"/>
      <c r="AO565" s="1433"/>
      <c r="AP565" s="1433"/>
      <c r="AQ565" s="1433"/>
      <c r="AR565" s="1433"/>
      <c r="AS565" s="1434"/>
      <c r="AT565" s="1137" t="str">
        <f>IF(AND(NOT(C564=""),C565="",NOT(C566="")),"!","")</f>
        <v/>
      </c>
      <c r="AU565" s="1136"/>
      <c r="BB565" s="3"/>
      <c r="BC565" s="3"/>
      <c r="BD565" s="3"/>
      <c r="BE565" s="3"/>
      <c r="BF565" s="3"/>
      <c r="BG565" s="3"/>
      <c r="BH565" s="3"/>
      <c r="BI565" s="3"/>
    </row>
    <row r="566" spans="1:61" ht="12.9" customHeight="1">
      <c r="B566" s="52" t="s">
        <v>763</v>
      </c>
      <c r="C566" s="1502" t="s">
        <v>2805</v>
      </c>
      <c r="D566" s="1502"/>
      <c r="E566" s="1502"/>
      <c r="F566" s="1502"/>
      <c r="G566" s="1502"/>
      <c r="H566" s="1502"/>
      <c r="I566" s="1502"/>
      <c r="J566" s="1502"/>
      <c r="K566" s="1502"/>
      <c r="L566" s="1502"/>
      <c r="M566" s="1427" t="s">
        <v>2056</v>
      </c>
      <c r="N566" s="1427"/>
      <c r="O566" s="1427"/>
      <c r="P566" s="1427"/>
      <c r="Q566" s="1492"/>
      <c r="R566" s="1493"/>
      <c r="S566" s="1494"/>
      <c r="T566" s="1492"/>
      <c r="U566" s="1493"/>
      <c r="V566" s="1494"/>
      <c r="W566" s="1495"/>
      <c r="X566" s="1496"/>
      <c r="Y566" s="1497"/>
      <c r="Z566" s="1661" t="s">
        <v>1183</v>
      </c>
      <c r="AA566" s="1661"/>
      <c r="AB566" s="1661"/>
      <c r="AC566" s="1661"/>
      <c r="AD566" s="1661"/>
      <c r="AE566" s="1436"/>
      <c r="AF566" s="1437"/>
      <c r="AG566" s="1437"/>
      <c r="AH566" s="1438"/>
      <c r="AI566" s="1429"/>
      <c r="AJ566" s="1430"/>
      <c r="AK566" s="1430"/>
      <c r="AL566" s="1431"/>
      <c r="AM566" s="1432">
        <v>12490300</v>
      </c>
      <c r="AN566" s="1433"/>
      <c r="AO566" s="1433"/>
      <c r="AP566" s="1433"/>
      <c r="AQ566" s="1433"/>
      <c r="AR566" s="1433"/>
      <c r="AS566" s="1434"/>
      <c r="AT566" s="1137" t="str">
        <f t="shared" ref="AT566:AT573" si="2">IF(AND(NOT(C565=""),C566="",NOT(C567="")),"!","")</f>
        <v/>
      </c>
      <c r="AU566" s="1136"/>
      <c r="BB566" s="3"/>
      <c r="BC566" s="3"/>
      <c r="BD566" s="3"/>
      <c r="BE566" s="3"/>
      <c r="BF566" s="3"/>
      <c r="BG566" s="3"/>
      <c r="BH566" s="3" t="s">
        <v>763</v>
      </c>
      <c r="BI566" s="3" t="str">
        <f>N673</f>
        <v>No</v>
      </c>
    </row>
    <row r="567" spans="1:61" ht="12.9" customHeight="1">
      <c r="B567" s="52" t="s">
        <v>584</v>
      </c>
      <c r="C567" s="1502" t="s">
        <v>2806</v>
      </c>
      <c r="D567" s="1502"/>
      <c r="E567" s="1502"/>
      <c r="F567" s="1502"/>
      <c r="G567" s="1502"/>
      <c r="H567" s="1502"/>
      <c r="I567" s="1502"/>
      <c r="J567" s="1502"/>
      <c r="K567" s="1502"/>
      <c r="L567" s="1502"/>
      <c r="M567" s="1427" t="s">
        <v>2060</v>
      </c>
      <c r="N567" s="1427"/>
      <c r="O567" s="1427"/>
      <c r="P567" s="1427"/>
      <c r="Q567" s="1492"/>
      <c r="R567" s="1493"/>
      <c r="S567" s="1494"/>
      <c r="T567" s="1492"/>
      <c r="U567" s="1493"/>
      <c r="V567" s="1494"/>
      <c r="W567" s="1495"/>
      <c r="X567" s="1496"/>
      <c r="Y567" s="1497"/>
      <c r="Z567" s="1661" t="s">
        <v>1183</v>
      </c>
      <c r="AA567" s="1661"/>
      <c r="AB567" s="1661"/>
      <c r="AC567" s="1661"/>
      <c r="AD567" s="1661"/>
      <c r="AE567" s="1436"/>
      <c r="AF567" s="1437"/>
      <c r="AG567" s="1437"/>
      <c r="AH567" s="1438"/>
      <c r="AI567" s="1429"/>
      <c r="AJ567" s="1430"/>
      <c r="AK567" s="1430"/>
      <c r="AL567" s="1431"/>
      <c r="AM567" s="1432">
        <v>14874451</v>
      </c>
      <c r="AN567" s="1433"/>
      <c r="AO567" s="1433"/>
      <c r="AP567" s="1433"/>
      <c r="AQ567" s="1433"/>
      <c r="AR567" s="1433"/>
      <c r="AS567" s="1434"/>
      <c r="AT567" s="1137" t="str">
        <f t="shared" si="2"/>
        <v/>
      </c>
      <c r="AU567" s="1136"/>
      <c r="BB567" s="3"/>
      <c r="BC567" s="3"/>
      <c r="BD567" s="3"/>
      <c r="BE567" s="3"/>
      <c r="BF567" s="3"/>
      <c r="BG567" s="3"/>
      <c r="BH567" s="3" t="s">
        <v>584</v>
      </c>
      <c r="BI567" s="3" t="str">
        <f>AG673</f>
        <v>No</v>
      </c>
    </row>
    <row r="568" spans="1:61" ht="12.9" customHeight="1">
      <c r="B568" s="52" t="s">
        <v>455</v>
      </c>
      <c r="C568" s="1502"/>
      <c r="D568" s="1502"/>
      <c r="E568" s="1502"/>
      <c r="F568" s="1502"/>
      <c r="G568" s="1502"/>
      <c r="H568" s="1502"/>
      <c r="I568" s="1502"/>
      <c r="J568" s="1502"/>
      <c r="K568" s="1502"/>
      <c r="L568" s="1502"/>
      <c r="M568" s="1427" t="s">
        <v>1183</v>
      </c>
      <c r="N568" s="1427"/>
      <c r="O568" s="1427"/>
      <c r="P568" s="1427"/>
      <c r="Q568" s="1492"/>
      <c r="R568" s="1493"/>
      <c r="S568" s="1494"/>
      <c r="T568" s="1492"/>
      <c r="U568" s="1493"/>
      <c r="V568" s="1494"/>
      <c r="W568" s="1495"/>
      <c r="X568" s="1496"/>
      <c r="Y568" s="1497"/>
      <c r="Z568" s="1661"/>
      <c r="AA568" s="1661"/>
      <c r="AB568" s="1661"/>
      <c r="AC568" s="1661"/>
      <c r="AD568" s="1661"/>
      <c r="AE568" s="1436"/>
      <c r="AF568" s="1437"/>
      <c r="AG568" s="1437"/>
      <c r="AH568" s="1438"/>
      <c r="AI568" s="1429"/>
      <c r="AJ568" s="1430"/>
      <c r="AK568" s="1430"/>
      <c r="AL568" s="1431"/>
      <c r="AM568" s="1432"/>
      <c r="AN568" s="1433"/>
      <c r="AO568" s="1433"/>
      <c r="AP568" s="1433"/>
      <c r="AQ568" s="1433"/>
      <c r="AR568" s="1433"/>
      <c r="AS568" s="1434"/>
      <c r="AT568" s="1137" t="str">
        <f t="shared" si="2"/>
        <v/>
      </c>
      <c r="AU568" s="1136"/>
      <c r="BB568" s="3"/>
      <c r="BC568" s="3"/>
      <c r="BD568" s="3"/>
      <c r="BE568" s="3"/>
      <c r="BF568" s="3"/>
      <c r="BG568" s="3"/>
      <c r="BH568" s="3"/>
      <c r="BI568" s="3"/>
    </row>
    <row r="569" spans="1:61" ht="12.9" customHeight="1">
      <c r="B569" s="52" t="s">
        <v>456</v>
      </c>
      <c r="C569" s="1502"/>
      <c r="D569" s="1502"/>
      <c r="E569" s="1502"/>
      <c r="F569" s="1502"/>
      <c r="G569" s="1502"/>
      <c r="H569" s="1502"/>
      <c r="I569" s="1502"/>
      <c r="J569" s="1502"/>
      <c r="K569" s="1502"/>
      <c r="L569" s="1502"/>
      <c r="M569" s="1427" t="s">
        <v>1183</v>
      </c>
      <c r="N569" s="1427"/>
      <c r="O569" s="1427"/>
      <c r="P569" s="1427"/>
      <c r="Q569" s="1492"/>
      <c r="R569" s="1493"/>
      <c r="S569" s="1494"/>
      <c r="T569" s="1492"/>
      <c r="U569" s="1493"/>
      <c r="V569" s="1494"/>
      <c r="W569" s="1495"/>
      <c r="X569" s="1496"/>
      <c r="Y569" s="1497"/>
      <c r="Z569" s="1661" t="s">
        <v>1183</v>
      </c>
      <c r="AA569" s="1661"/>
      <c r="AB569" s="1661"/>
      <c r="AC569" s="1661"/>
      <c r="AD569" s="1661"/>
      <c r="AE569" s="1436"/>
      <c r="AF569" s="1437"/>
      <c r="AG569" s="1437"/>
      <c r="AH569" s="1438"/>
      <c r="AI569" s="1429"/>
      <c r="AJ569" s="1430"/>
      <c r="AK569" s="1430"/>
      <c r="AL569" s="1431"/>
      <c r="AM569" s="1432"/>
      <c r="AN569" s="1433"/>
      <c r="AO569" s="1433"/>
      <c r="AP569" s="1433"/>
      <c r="AQ569" s="1433"/>
      <c r="AR569" s="1433"/>
      <c r="AS569" s="1434"/>
      <c r="AT569" s="1137" t="str">
        <f t="shared" si="2"/>
        <v/>
      </c>
      <c r="AU569" s="1136"/>
      <c r="BB569" s="3"/>
      <c r="BC569" s="3"/>
      <c r="BD569" s="3"/>
      <c r="BE569" s="3"/>
      <c r="BF569" s="3"/>
      <c r="BG569" s="3"/>
      <c r="BH569" s="3"/>
      <c r="BI569" s="3"/>
    </row>
    <row r="570" spans="1:61" ht="12.9" customHeight="1">
      <c r="B570" s="52" t="s">
        <v>461</v>
      </c>
      <c r="C570" s="1502"/>
      <c r="D570" s="1502"/>
      <c r="E570" s="1502"/>
      <c r="F570" s="1502"/>
      <c r="G570" s="1502"/>
      <c r="H570" s="1502"/>
      <c r="I570" s="1502"/>
      <c r="J570" s="1502"/>
      <c r="K570" s="1502"/>
      <c r="L570" s="1502"/>
      <c r="M570" s="1427" t="s">
        <v>1183</v>
      </c>
      <c r="N570" s="1427"/>
      <c r="O570" s="1427"/>
      <c r="P570" s="1427"/>
      <c r="Q570" s="1492"/>
      <c r="R570" s="1493"/>
      <c r="S570" s="1494"/>
      <c r="T570" s="1492"/>
      <c r="U570" s="1493"/>
      <c r="V570" s="1494"/>
      <c r="W570" s="1495"/>
      <c r="X570" s="1496"/>
      <c r="Y570" s="1497"/>
      <c r="Z570" s="1661" t="s">
        <v>1183</v>
      </c>
      <c r="AA570" s="1661"/>
      <c r="AB570" s="1661"/>
      <c r="AC570" s="1661"/>
      <c r="AD570" s="1661"/>
      <c r="AE570" s="1436"/>
      <c r="AF570" s="1437"/>
      <c r="AG570" s="1437"/>
      <c r="AH570" s="1438"/>
      <c r="AI570" s="1429"/>
      <c r="AJ570" s="1430"/>
      <c r="AK570" s="1430"/>
      <c r="AL570" s="1431"/>
      <c r="AM570" s="1432"/>
      <c r="AN570" s="1433"/>
      <c r="AO570" s="1433"/>
      <c r="AP570" s="1433"/>
      <c r="AQ570" s="1433"/>
      <c r="AR570" s="1433"/>
      <c r="AS570" s="1434"/>
      <c r="AT570" s="1137" t="str">
        <f t="shared" si="2"/>
        <v/>
      </c>
      <c r="AU570" s="1136"/>
      <c r="BB570" s="3"/>
      <c r="BC570" s="3"/>
      <c r="BD570" s="3"/>
      <c r="BE570" s="3"/>
      <c r="BF570" s="3"/>
      <c r="BG570" s="3"/>
      <c r="BH570" s="3"/>
      <c r="BI570" s="3"/>
    </row>
    <row r="571" spans="1:61" ht="12.9" customHeight="1">
      <c r="B571" s="52" t="s">
        <v>646</v>
      </c>
      <c r="C571" s="1502"/>
      <c r="D571" s="1502"/>
      <c r="E571" s="1502"/>
      <c r="F571" s="1502"/>
      <c r="G571" s="1502"/>
      <c r="H571" s="1502"/>
      <c r="I571" s="1502"/>
      <c r="J571" s="1502"/>
      <c r="K571" s="1502"/>
      <c r="L571" s="1502"/>
      <c r="M571" s="1427" t="s">
        <v>1183</v>
      </c>
      <c r="N571" s="1427"/>
      <c r="O571" s="1427"/>
      <c r="P571" s="1427"/>
      <c r="Q571" s="1492"/>
      <c r="R571" s="1493"/>
      <c r="S571" s="1494"/>
      <c r="T571" s="1492"/>
      <c r="U571" s="1493"/>
      <c r="V571" s="1494"/>
      <c r="W571" s="1495"/>
      <c r="X571" s="1496"/>
      <c r="Y571" s="1497"/>
      <c r="Z571" s="1661" t="s">
        <v>1183</v>
      </c>
      <c r="AA571" s="1661"/>
      <c r="AB571" s="1661"/>
      <c r="AC571" s="1661"/>
      <c r="AD571" s="1661"/>
      <c r="AE571" s="1436"/>
      <c r="AF571" s="1437"/>
      <c r="AG571" s="1437"/>
      <c r="AH571" s="1438"/>
      <c r="AI571" s="1429"/>
      <c r="AJ571" s="1430"/>
      <c r="AK571" s="1430"/>
      <c r="AL571" s="1431"/>
      <c r="AM571" s="1432"/>
      <c r="AN571" s="1433"/>
      <c r="AO571" s="1433"/>
      <c r="AP571" s="1433"/>
      <c r="AQ571" s="1433"/>
      <c r="AR571" s="1433"/>
      <c r="AS571" s="1434"/>
      <c r="AT571" s="1137" t="str">
        <f t="shared" si="2"/>
        <v/>
      </c>
      <c r="BB571" s="3"/>
      <c r="BC571" s="3"/>
      <c r="BD571" s="3"/>
      <c r="BE571" s="3"/>
      <c r="BF571" s="3"/>
      <c r="BG571" s="3"/>
      <c r="BH571" s="3"/>
      <c r="BI571" s="3"/>
    </row>
    <row r="572" spans="1:61" ht="12.9" customHeight="1">
      <c r="B572" s="52" t="s">
        <v>362</v>
      </c>
      <c r="C572" s="1502"/>
      <c r="D572" s="1502"/>
      <c r="E572" s="1502"/>
      <c r="F572" s="1502"/>
      <c r="G572" s="1502"/>
      <c r="H572" s="1502"/>
      <c r="I572" s="1502"/>
      <c r="J572" s="1502"/>
      <c r="K572" s="1502"/>
      <c r="L572" s="1502"/>
      <c r="M572" s="1427" t="s">
        <v>1183</v>
      </c>
      <c r="N572" s="1427"/>
      <c r="O572" s="1427"/>
      <c r="P572" s="1427"/>
      <c r="Q572" s="1492"/>
      <c r="R572" s="1493"/>
      <c r="S572" s="1494"/>
      <c r="T572" s="1492"/>
      <c r="U572" s="1493"/>
      <c r="V572" s="1494"/>
      <c r="W572" s="1495"/>
      <c r="X572" s="1496"/>
      <c r="Y572" s="1497"/>
      <c r="Z572" s="1661" t="s">
        <v>1183</v>
      </c>
      <c r="AA572" s="1661"/>
      <c r="AB572" s="1661"/>
      <c r="AC572" s="1661"/>
      <c r="AD572" s="1661"/>
      <c r="AE572" s="1436"/>
      <c r="AF572" s="1437"/>
      <c r="AG572" s="1437"/>
      <c r="AH572" s="1438"/>
      <c r="AI572" s="1429"/>
      <c r="AJ572" s="1430"/>
      <c r="AK572" s="1430"/>
      <c r="AL572" s="1431"/>
      <c r="AM572" s="1432"/>
      <c r="AN572" s="1433"/>
      <c r="AO572" s="1433"/>
      <c r="AP572" s="1433"/>
      <c r="AQ572" s="1433"/>
      <c r="AR572" s="1433"/>
      <c r="AS572" s="1434"/>
      <c r="AT572" s="1137" t="str">
        <f t="shared" si="2"/>
        <v/>
      </c>
      <c r="BB572" s="3"/>
      <c r="BC572" s="3"/>
      <c r="BD572" s="3"/>
      <c r="BE572" s="3"/>
      <c r="BF572" s="3"/>
      <c r="BG572" s="3"/>
      <c r="BH572" s="3"/>
      <c r="BI572" s="3"/>
    </row>
    <row r="573" spans="1:61" ht="12.9" customHeight="1">
      <c r="B573" s="52" t="s">
        <v>363</v>
      </c>
      <c r="C573" s="1502"/>
      <c r="D573" s="1502"/>
      <c r="E573" s="1502"/>
      <c r="F573" s="1502"/>
      <c r="G573" s="1502"/>
      <c r="H573" s="1502"/>
      <c r="I573" s="1502"/>
      <c r="J573" s="1502"/>
      <c r="K573" s="1502"/>
      <c r="L573" s="1502"/>
      <c r="M573" s="1427" t="s">
        <v>1183</v>
      </c>
      <c r="N573" s="1427"/>
      <c r="O573" s="1427"/>
      <c r="P573" s="1427"/>
      <c r="Q573" s="1492"/>
      <c r="R573" s="1493"/>
      <c r="S573" s="1494"/>
      <c r="T573" s="1492"/>
      <c r="U573" s="1493"/>
      <c r="V573" s="1494"/>
      <c r="W573" s="1495"/>
      <c r="X573" s="1496"/>
      <c r="Y573" s="1497"/>
      <c r="Z573" s="1661" t="s">
        <v>1183</v>
      </c>
      <c r="AA573" s="1661"/>
      <c r="AB573" s="1661"/>
      <c r="AC573" s="1661"/>
      <c r="AD573" s="1661"/>
      <c r="AE573" s="1436"/>
      <c r="AF573" s="1437"/>
      <c r="AG573" s="1437"/>
      <c r="AH573" s="1438"/>
      <c r="AI573" s="1429"/>
      <c r="AJ573" s="1430"/>
      <c r="AK573" s="1430"/>
      <c r="AL573" s="1431"/>
      <c r="AM573" s="1432"/>
      <c r="AN573" s="1433"/>
      <c r="AO573" s="1433"/>
      <c r="AP573" s="1433"/>
      <c r="AQ573" s="1433"/>
      <c r="AR573" s="1433"/>
      <c r="AS573" s="1434"/>
      <c r="AT573" s="1137" t="str">
        <f t="shared" si="2"/>
        <v/>
      </c>
      <c r="BB573" s="3"/>
      <c r="BC573" s="3"/>
      <c r="BD573" s="3"/>
      <c r="BE573" s="3"/>
      <c r="BF573" s="3"/>
      <c r="BG573" s="3"/>
      <c r="BH573" s="3"/>
      <c r="BI573" s="3"/>
    </row>
    <row r="574" spans="1:61" ht="12.9" customHeight="1">
      <c r="B574" s="1512" t="s">
        <v>127</v>
      </c>
      <c r="C574" s="1513"/>
      <c r="D574" s="1513"/>
      <c r="E574" s="1513"/>
      <c r="F574" s="1513"/>
      <c r="G574" s="1513"/>
      <c r="H574" s="1513"/>
      <c r="I574" s="1513"/>
      <c r="J574" s="1513"/>
      <c r="K574" s="1513"/>
      <c r="L574" s="1513"/>
      <c r="M574" s="1513"/>
      <c r="N574" s="1513"/>
      <c r="O574" s="1513"/>
      <c r="P574" s="1513"/>
      <c r="Q574" s="1513"/>
      <c r="R574" s="1513"/>
      <c r="S574" s="1513"/>
      <c r="T574" s="1513"/>
      <c r="U574" s="1707"/>
      <c r="V574" s="1513"/>
      <c r="W574" s="1513"/>
      <c r="X574" s="1513"/>
      <c r="Y574" s="1513"/>
      <c r="Z574" s="1513"/>
      <c r="AA574" s="1513"/>
      <c r="AB574" s="1513"/>
      <c r="AC574" s="1513"/>
      <c r="AD574" s="1513"/>
      <c r="AE574" s="1513"/>
      <c r="AF574" s="1513"/>
      <c r="AG574" s="1513"/>
      <c r="AH574" s="1513"/>
      <c r="AI574" s="1513"/>
      <c r="AJ574" s="1513"/>
      <c r="AK574" s="1513"/>
      <c r="AL574" s="1514"/>
      <c r="AM574" s="1450">
        <f>SUM(AM562:AS573)</f>
        <v>104198532</v>
      </c>
      <c r="AN574" s="1451"/>
      <c r="AO574" s="1451"/>
      <c r="AP574" s="1451"/>
      <c r="AQ574" s="1451"/>
      <c r="AR574" s="1451"/>
      <c r="AS574" s="1452"/>
      <c r="BB574" s="3"/>
      <c r="BC574" s="3"/>
      <c r="BD574" s="3"/>
      <c r="BE574" s="3"/>
      <c r="BF574" s="3"/>
      <c r="BG574" s="3"/>
      <c r="BH574" s="3" t="s">
        <v>455</v>
      </c>
      <c r="BI574" s="3" t="str">
        <f>N681</f>
        <v>No</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 customHeight="1">
      <c r="A576" s="55" t="s">
        <v>112</v>
      </c>
      <c r="B576" t="s">
        <v>463</v>
      </c>
      <c r="G576" s="1428" t="str">
        <f>C562</f>
        <v>Citibank, N.A.</v>
      </c>
      <c r="H576" s="1428"/>
      <c r="I576" s="1428"/>
      <c r="J576" s="1428"/>
      <c r="K576" s="1428"/>
      <c r="L576" s="1428"/>
      <c r="M576" s="1428"/>
      <c r="N576" s="1428"/>
      <c r="O576" s="1428"/>
      <c r="P576" s="1428"/>
      <c r="Q576" s="1428"/>
      <c r="R576" s="1428"/>
      <c r="S576" s="8"/>
      <c r="T576" s="55" t="s">
        <v>113</v>
      </c>
      <c r="U576" t="s">
        <v>463</v>
      </c>
      <c r="Z576" s="1428" t="str">
        <f>C563</f>
        <v>Citibank, N.A.</v>
      </c>
      <c r="AA576" s="1428"/>
      <c r="AB576" s="1428"/>
      <c r="AC576" s="1428"/>
      <c r="AD576" s="1428"/>
      <c r="AE576" s="1428"/>
      <c r="AF576" s="1428"/>
      <c r="AG576" s="1428"/>
      <c r="AH576" s="1428"/>
      <c r="AI576" s="1428"/>
      <c r="AJ576" s="1428"/>
      <c r="AK576" s="1428"/>
      <c r="BB576" s="3"/>
      <c r="BC576" s="3"/>
      <c r="BD576" s="3"/>
      <c r="BE576" s="3"/>
      <c r="BF576" s="3"/>
      <c r="BG576" s="3"/>
      <c r="BH576" s="3"/>
      <c r="BI576" s="3"/>
    </row>
    <row r="577" spans="1:61" ht="12.9" customHeight="1">
      <c r="A577" s="22"/>
      <c r="B577" t="s">
        <v>85</v>
      </c>
      <c r="G577" s="1440" t="s">
        <v>2807</v>
      </c>
      <c r="H577" s="1440"/>
      <c r="I577" s="1440"/>
      <c r="J577" s="1440"/>
      <c r="K577" s="1440"/>
      <c r="L577" s="1440"/>
      <c r="M577" s="1440"/>
      <c r="N577" s="1440"/>
      <c r="O577" s="1440"/>
      <c r="P577" s="1440"/>
      <c r="Q577" s="1440"/>
      <c r="R577" s="1440"/>
      <c r="S577" s="8"/>
      <c r="T577" s="22"/>
      <c r="U577" t="s">
        <v>85</v>
      </c>
      <c r="Z577" s="1440" t="s">
        <v>2807</v>
      </c>
      <c r="AA577" s="1440"/>
      <c r="AB577" s="1440"/>
      <c r="AC577" s="1440"/>
      <c r="AD577" s="1440"/>
      <c r="AE577" s="1440"/>
      <c r="AF577" s="1440"/>
      <c r="AG577" s="1440"/>
      <c r="AH577" s="1440"/>
      <c r="AI577" s="1440"/>
      <c r="AJ577" s="1440"/>
      <c r="AK577" s="1440"/>
      <c r="BB577" s="3"/>
      <c r="BC577" s="3"/>
      <c r="BD577" s="3"/>
      <c r="BE577" s="3"/>
      <c r="BF577" s="3"/>
      <c r="BG577" s="3"/>
      <c r="BH577" s="3"/>
      <c r="BI577" s="3"/>
    </row>
    <row r="578" spans="1:61" ht="12.9" customHeight="1">
      <c r="A578" s="22"/>
      <c r="B578" t="s">
        <v>580</v>
      </c>
      <c r="G578" s="1440" t="s">
        <v>2808</v>
      </c>
      <c r="H578" s="1440"/>
      <c r="I578" s="1440"/>
      <c r="J578" s="1440"/>
      <c r="K578" s="1440"/>
      <c r="L578" s="1440"/>
      <c r="M578" s="1440"/>
      <c r="N578" s="1440"/>
      <c r="O578" s="1440"/>
      <c r="P578" s="1440"/>
      <c r="Q578" s="1440"/>
      <c r="R578" s="1440"/>
      <c r="T578" s="22"/>
      <c r="U578" t="s">
        <v>580</v>
      </c>
      <c r="Z578" s="1424" t="s">
        <v>2808</v>
      </c>
      <c r="AA578" s="1424"/>
      <c r="AB578" s="1424"/>
      <c r="AC578" s="1424"/>
      <c r="AD578" s="1424"/>
      <c r="AE578" s="1424"/>
      <c r="AF578" s="1424"/>
      <c r="AG578" s="1424"/>
      <c r="AH578" s="1424"/>
      <c r="AI578" s="1424"/>
      <c r="AJ578" s="1424"/>
      <c r="AK578" s="1424"/>
      <c r="BB578" s="3"/>
      <c r="BC578" s="3"/>
      <c r="BD578" s="3"/>
      <c r="BE578" s="3"/>
      <c r="BF578" s="3"/>
      <c r="BG578" s="3"/>
      <c r="BH578" s="3"/>
      <c r="BI578" s="3"/>
    </row>
    <row r="579" spans="1:61" ht="12.9" customHeight="1">
      <c r="A579" s="22"/>
      <c r="B579" t="s">
        <v>17</v>
      </c>
      <c r="G579" s="1440" t="s">
        <v>2809</v>
      </c>
      <c r="H579" s="1440"/>
      <c r="I579" s="1440"/>
      <c r="J579" s="1440"/>
      <c r="K579" s="1440"/>
      <c r="L579" s="1440"/>
      <c r="M579" s="1440"/>
      <c r="N579" s="1440"/>
      <c r="O579" s="1440"/>
      <c r="P579" s="1440"/>
      <c r="Q579" s="1440"/>
      <c r="R579" s="1440"/>
      <c r="S579" s="8"/>
      <c r="T579" s="22"/>
      <c r="U579" t="s">
        <v>17</v>
      </c>
      <c r="Z579" s="1424" t="s">
        <v>2809</v>
      </c>
      <c r="AA579" s="1424"/>
      <c r="AB579" s="1424"/>
      <c r="AC579" s="1424"/>
      <c r="AD579" s="1424"/>
      <c r="AE579" s="1424"/>
      <c r="AF579" s="1424"/>
      <c r="AG579" s="1424"/>
      <c r="AH579" s="1424"/>
      <c r="AI579" s="1424"/>
      <c r="AJ579" s="1424"/>
      <c r="AK579" s="1424"/>
      <c r="BB579" s="3"/>
      <c r="BC579" s="3"/>
      <c r="BD579" s="3"/>
      <c r="BE579" s="3"/>
      <c r="BF579" s="3"/>
      <c r="BG579" s="3"/>
      <c r="BH579" s="3"/>
      <c r="BI579" s="3"/>
    </row>
    <row r="580" spans="1:61" ht="12.9" customHeight="1">
      <c r="A580" s="22"/>
      <c r="B580" t="s">
        <v>316</v>
      </c>
      <c r="G580" s="1453" t="s">
        <v>2810</v>
      </c>
      <c r="H580" s="1454"/>
      <c r="I580" s="1454"/>
      <c r="J580" s="1454"/>
      <c r="K580" s="1454"/>
      <c r="L580" s="1454"/>
      <c r="O580" s="33" t="s">
        <v>206</v>
      </c>
      <c r="P580" s="1439"/>
      <c r="Q580" s="1439"/>
      <c r="R580" s="1439"/>
      <c r="S580" s="10"/>
      <c r="T580" s="22"/>
      <c r="U580" t="s">
        <v>316</v>
      </c>
      <c r="Z580" s="1454" t="s">
        <v>2810</v>
      </c>
      <c r="AA580" s="1454"/>
      <c r="AB580" s="1454"/>
      <c r="AC580" s="1454"/>
      <c r="AD580" s="1454"/>
      <c r="AE580" s="1454"/>
      <c r="AH580" s="33" t="s">
        <v>206</v>
      </c>
      <c r="AI580" s="1439"/>
      <c r="AJ580" s="1439"/>
      <c r="AK580" s="1439"/>
      <c r="BB580" s="3"/>
      <c r="BC580" s="3"/>
      <c r="BD580" s="3"/>
      <c r="BE580" s="3"/>
      <c r="BF580" s="3"/>
      <c r="BG580" s="3"/>
      <c r="BH580" s="3"/>
      <c r="BI580" s="3"/>
    </row>
    <row r="581" spans="1:61" ht="12.9" customHeight="1">
      <c r="A581" s="22"/>
      <c r="B581" t="s">
        <v>18</v>
      </c>
      <c r="H581" s="1440" t="s">
        <v>2801</v>
      </c>
      <c r="I581" s="1440"/>
      <c r="J581" s="1440"/>
      <c r="K581" s="1440"/>
      <c r="L581" s="1440"/>
      <c r="M581" s="1440"/>
      <c r="N581" s="1440"/>
      <c r="O581" s="1440"/>
      <c r="P581" s="1440"/>
      <c r="Q581" s="1440"/>
      <c r="R581" s="1440"/>
      <c r="S581" s="8"/>
      <c r="T581" s="22"/>
      <c r="U581" t="s">
        <v>18</v>
      </c>
      <c r="AA581" s="1440" t="s">
        <v>2802</v>
      </c>
      <c r="AB581" s="1440"/>
      <c r="AC581" s="1440"/>
      <c r="AD581" s="1440"/>
      <c r="AE581" s="1440"/>
      <c r="AF581" s="1440"/>
      <c r="AG581" s="1440"/>
      <c r="AH581" s="1440"/>
      <c r="AI581" s="1440"/>
      <c r="AJ581" s="1440"/>
      <c r="AK581" s="1440"/>
      <c r="BB581" s="3"/>
      <c r="BC581" s="3"/>
      <c r="BD581" s="3"/>
      <c r="BE581" s="3"/>
      <c r="BF581" s="3"/>
      <c r="BG581" s="3"/>
      <c r="BH581" s="3"/>
      <c r="BI581" s="3"/>
    </row>
    <row r="582" spans="1:61" ht="12.9" customHeight="1">
      <c r="A582" s="22"/>
      <c r="B582" s="317" t="s">
        <v>1184</v>
      </c>
      <c r="H582" s="8"/>
      <c r="I582" s="8"/>
      <c r="J582" s="8"/>
      <c r="K582" s="8"/>
      <c r="L582" s="8"/>
      <c r="M582" s="1726"/>
      <c r="N582" s="1726"/>
      <c r="O582" s="1726"/>
      <c r="P582" s="1726"/>
      <c r="Q582" s="1726"/>
      <c r="R582" s="1726"/>
      <c r="S582" s="8"/>
      <c r="T582" s="22"/>
      <c r="U582" s="317" t="s">
        <v>1184</v>
      </c>
      <c r="AA582" s="8"/>
      <c r="AB582" s="8"/>
      <c r="AC582" s="8"/>
      <c r="AD582" s="8"/>
      <c r="AE582" s="8"/>
      <c r="AF582" s="1726"/>
      <c r="AG582" s="1726"/>
      <c r="AH582" s="1726"/>
      <c r="AI582" s="1726"/>
      <c r="AJ582" s="1726"/>
      <c r="AK582" s="1726"/>
      <c r="BB582" s="3"/>
      <c r="BC582" s="3"/>
      <c r="BD582" s="3"/>
      <c r="BE582" s="3"/>
      <c r="BF582" s="3"/>
      <c r="BG582" s="3"/>
      <c r="BH582" s="3"/>
      <c r="BI582" s="3"/>
    </row>
    <row r="583" spans="1:61" ht="12.9" customHeight="1">
      <c r="A583" s="22"/>
      <c r="B583" t="s">
        <v>20</v>
      </c>
      <c r="N583" s="1289" t="s">
        <v>545</v>
      </c>
      <c r="O583" s="1289"/>
      <c r="T583" s="22"/>
      <c r="U583" t="s">
        <v>20</v>
      </c>
      <c r="AG583" s="1289" t="s">
        <v>545</v>
      </c>
      <c r="AH583" s="1289"/>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119</v>
      </c>
      <c r="B585" t="s">
        <v>463</v>
      </c>
      <c r="G585" s="1428" t="str">
        <f>C564</f>
        <v>Citibank, N.A.</v>
      </c>
      <c r="H585" s="1428"/>
      <c r="I585" s="1428"/>
      <c r="J585" s="1428"/>
      <c r="K585" s="1428"/>
      <c r="L585" s="1428"/>
      <c r="M585" s="1428"/>
      <c r="N585" s="1428"/>
      <c r="O585" s="1428"/>
      <c r="P585" s="1428"/>
      <c r="Q585" s="1428"/>
      <c r="R585" s="1428"/>
      <c r="T585" s="55" t="s">
        <v>581</v>
      </c>
      <c r="U585" t="s">
        <v>463</v>
      </c>
      <c r="Z585" s="1428" t="str">
        <f>C565</f>
        <v>610 West by Vintage Partners, LLC</v>
      </c>
      <c r="AA585" s="1428"/>
      <c r="AB585" s="1428"/>
      <c r="AC585" s="1428"/>
      <c r="AD585" s="1428"/>
      <c r="AE585" s="1428"/>
      <c r="AF585" s="1428"/>
      <c r="AG585" s="1428"/>
      <c r="AH585" s="1428"/>
      <c r="AI585" s="1428"/>
      <c r="AJ585" s="1428"/>
      <c r="AK585" s="1428"/>
      <c r="BB585" s="3"/>
      <c r="BC585" s="3"/>
    </row>
    <row r="586" spans="1:61" ht="12.9" customHeight="1">
      <c r="A586" s="22"/>
      <c r="B586" t="s">
        <v>85</v>
      </c>
      <c r="G586" s="1440" t="s">
        <v>2807</v>
      </c>
      <c r="H586" s="1440"/>
      <c r="I586" s="1440"/>
      <c r="J586" s="1440"/>
      <c r="K586" s="1440"/>
      <c r="L586" s="1440"/>
      <c r="M586" s="1440"/>
      <c r="N586" s="1440"/>
      <c r="O586" s="1440"/>
      <c r="P586" s="1440"/>
      <c r="Q586" s="1440"/>
      <c r="R586" s="1440"/>
      <c r="T586" s="22"/>
      <c r="U586" t="s">
        <v>85</v>
      </c>
      <c r="Z586" s="1440" t="s">
        <v>2695</v>
      </c>
      <c r="AA586" s="1440"/>
      <c r="AB586" s="1440"/>
      <c r="AC586" s="1440"/>
      <c r="AD586" s="1440"/>
      <c r="AE586" s="1440"/>
      <c r="AF586" s="1440"/>
      <c r="AG586" s="1440"/>
      <c r="AH586" s="1440"/>
      <c r="AI586" s="1440"/>
      <c r="AJ586" s="1440"/>
      <c r="AK586" s="1440"/>
      <c r="BB586" s="3"/>
      <c r="BC586" s="3"/>
    </row>
    <row r="587" spans="1:61" ht="12.9" customHeight="1">
      <c r="A587" s="22"/>
      <c r="B587" t="s">
        <v>580</v>
      </c>
      <c r="G587" s="1424" t="s">
        <v>2808</v>
      </c>
      <c r="H587" s="1424"/>
      <c r="I587" s="1424"/>
      <c r="J587" s="1424"/>
      <c r="K587" s="1424"/>
      <c r="L587" s="1424"/>
      <c r="M587" s="1424"/>
      <c r="N587" s="1424"/>
      <c r="O587" s="1424"/>
      <c r="P587" s="1424"/>
      <c r="Q587" s="1424"/>
      <c r="R587" s="1424"/>
      <c r="T587" s="22"/>
      <c r="U587" t="s">
        <v>580</v>
      </c>
      <c r="Z587" s="1424" t="s">
        <v>2811</v>
      </c>
      <c r="AA587" s="1424"/>
      <c r="AB587" s="1424"/>
      <c r="AC587" s="1424"/>
      <c r="AD587" s="1424"/>
      <c r="AE587" s="1424"/>
      <c r="AF587" s="1424"/>
      <c r="AG587" s="1424"/>
      <c r="AH587" s="1424"/>
      <c r="AI587" s="1424"/>
      <c r="AJ587" s="1424"/>
      <c r="AK587" s="1424"/>
      <c r="BB587" s="3"/>
      <c r="BC587" s="3"/>
    </row>
    <row r="588" spans="1:61" ht="12.9" customHeight="1">
      <c r="A588" s="22"/>
      <c r="B588" t="s">
        <v>17</v>
      </c>
      <c r="G588" s="1424" t="s">
        <v>2809</v>
      </c>
      <c r="H588" s="1424"/>
      <c r="I588" s="1424"/>
      <c r="J588" s="1424"/>
      <c r="K588" s="1424"/>
      <c r="L588" s="1424"/>
      <c r="M588" s="1424"/>
      <c r="N588" s="1424"/>
      <c r="O588" s="1424"/>
      <c r="P588" s="1424"/>
      <c r="Q588" s="1424"/>
      <c r="R588" s="1424"/>
      <c r="T588" s="22"/>
      <c r="U588" t="s">
        <v>17</v>
      </c>
      <c r="Z588" s="1424" t="s">
        <v>2698</v>
      </c>
      <c r="AA588" s="1424"/>
      <c r="AB588" s="1424"/>
      <c r="AC588" s="1424"/>
      <c r="AD588" s="1424"/>
      <c r="AE588" s="1424"/>
      <c r="AF588" s="1424"/>
      <c r="AG588" s="1424"/>
      <c r="AH588" s="1424"/>
      <c r="AI588" s="1424"/>
      <c r="AJ588" s="1424"/>
      <c r="AK588" s="1424"/>
      <c r="BB588" s="3"/>
      <c r="BC588" s="3"/>
    </row>
    <row r="589" spans="1:61" ht="12.9" customHeight="1">
      <c r="A589" s="22"/>
      <c r="B589" t="s">
        <v>316</v>
      </c>
      <c r="G589" s="1454" t="s">
        <v>2810</v>
      </c>
      <c r="H589" s="1454"/>
      <c r="I589" s="1454"/>
      <c r="J589" s="1454"/>
      <c r="K589" s="1454"/>
      <c r="L589" s="1454"/>
      <c r="O589" s="33" t="s">
        <v>206</v>
      </c>
      <c r="P589" s="1439"/>
      <c r="Q589" s="1439"/>
      <c r="R589" s="1439"/>
      <c r="T589" s="22"/>
      <c r="U589" t="s">
        <v>316</v>
      </c>
      <c r="Z589" s="1453" t="s">
        <v>2700</v>
      </c>
      <c r="AA589" s="1454"/>
      <c r="AB589" s="1454"/>
      <c r="AC589" s="1454"/>
      <c r="AD589" s="1454"/>
      <c r="AE589" s="1454"/>
      <c r="AH589" s="33" t="s">
        <v>206</v>
      </c>
      <c r="AI589" s="1439"/>
      <c r="AJ589" s="1439"/>
      <c r="AK589" s="1439"/>
      <c r="BB589" s="3"/>
      <c r="BC589" s="3"/>
    </row>
    <row r="590" spans="1:61" ht="12.9" customHeight="1">
      <c r="A590" s="22"/>
      <c r="B590" t="s">
        <v>18</v>
      </c>
      <c r="H590" s="1440" t="s">
        <v>2754</v>
      </c>
      <c r="I590" s="1440"/>
      <c r="J590" s="1440"/>
      <c r="K590" s="1440"/>
      <c r="L590" s="1440"/>
      <c r="M590" s="1440"/>
      <c r="N590" s="1440"/>
      <c r="O590" s="1440"/>
      <c r="P590" s="1440"/>
      <c r="Q590" s="1440"/>
      <c r="R590" s="1440"/>
      <c r="T590" s="22"/>
      <c r="U590" t="s">
        <v>18</v>
      </c>
      <c r="AA590" s="1440" t="s">
        <v>2071</v>
      </c>
      <c r="AB590" s="1440"/>
      <c r="AC590" s="1440"/>
      <c r="AD590" s="1440"/>
      <c r="AE590" s="1440"/>
      <c r="AF590" s="1440"/>
      <c r="AG590" s="1440"/>
      <c r="AH590" s="1440"/>
      <c r="AI590" s="1440"/>
      <c r="AJ590" s="1440"/>
      <c r="AK590" s="1440"/>
      <c r="BB590" s="3"/>
      <c r="BC590" s="3"/>
    </row>
    <row r="591" spans="1:61" ht="12.9" customHeight="1">
      <c r="A591" s="22"/>
      <c r="B591" t="s">
        <v>20</v>
      </c>
      <c r="N591" s="1289" t="s">
        <v>545</v>
      </c>
      <c r="O591" s="1289"/>
      <c r="T591" s="22"/>
      <c r="U591" t="s">
        <v>20</v>
      </c>
      <c r="AG591" s="1289" t="s">
        <v>545</v>
      </c>
      <c r="AH591" s="1289"/>
      <c r="BB591" s="3"/>
      <c r="BC591" s="3"/>
    </row>
    <row r="592" spans="1:61" ht="12.9" customHeight="1">
      <c r="A592" s="22"/>
      <c r="T592" s="22"/>
      <c r="BB592" s="3"/>
      <c r="BC592" s="3"/>
    </row>
    <row r="593" spans="1:55" ht="12.9" customHeight="1">
      <c r="A593" s="55" t="s">
        <v>763</v>
      </c>
      <c r="B593" t="s">
        <v>463</v>
      </c>
      <c r="G593" s="1428" t="str">
        <f>C566</f>
        <v>Vintage Housing Development, Inc.</v>
      </c>
      <c r="H593" s="1428"/>
      <c r="I593" s="1428"/>
      <c r="J593" s="1428"/>
      <c r="K593" s="1428"/>
      <c r="L593" s="1428"/>
      <c r="M593" s="1428"/>
      <c r="N593" s="1428"/>
      <c r="O593" s="1428"/>
      <c r="P593" s="1428"/>
      <c r="Q593" s="1428"/>
      <c r="R593" s="1428"/>
      <c r="T593" s="55" t="s">
        <v>584</v>
      </c>
      <c r="U593" t="s">
        <v>463</v>
      </c>
      <c r="Z593" s="1428" t="str">
        <f>C567</f>
        <v>R4 Capital, LLC</v>
      </c>
      <c r="AA593" s="1428"/>
      <c r="AB593" s="1428"/>
      <c r="AC593" s="1428"/>
      <c r="AD593" s="1428"/>
      <c r="AE593" s="1428"/>
      <c r="AF593" s="1428"/>
      <c r="AG593" s="1428"/>
      <c r="AH593" s="1428"/>
      <c r="AI593" s="1428"/>
      <c r="AJ593" s="1428"/>
      <c r="AK593" s="1428"/>
      <c r="BB593" s="3"/>
      <c r="BC593" s="3"/>
    </row>
    <row r="594" spans="1:55" ht="12.9" customHeight="1">
      <c r="A594" s="22"/>
      <c r="B594" t="s">
        <v>85</v>
      </c>
      <c r="G594" s="1440" t="s">
        <v>2695</v>
      </c>
      <c r="H594" s="1440"/>
      <c r="I594" s="1440"/>
      <c r="J594" s="1440"/>
      <c r="K594" s="1440"/>
      <c r="L594" s="1440"/>
      <c r="M594" s="1440"/>
      <c r="N594" s="1440"/>
      <c r="O594" s="1440"/>
      <c r="P594" s="1440"/>
      <c r="Q594" s="1440"/>
      <c r="R594" s="1440"/>
      <c r="T594" s="22"/>
      <c r="U594" t="s">
        <v>85</v>
      </c>
      <c r="Z594" s="1440" t="s">
        <v>2813</v>
      </c>
      <c r="AA594" s="1440"/>
      <c r="AB594" s="1440"/>
      <c r="AC594" s="1440"/>
      <c r="AD594" s="1440"/>
      <c r="AE594" s="1440"/>
      <c r="AF594" s="1440"/>
      <c r="AG594" s="1440"/>
      <c r="AH594" s="1440"/>
      <c r="AI594" s="1440"/>
      <c r="AJ594" s="1440"/>
      <c r="AK594" s="1440"/>
      <c r="BB594" s="3"/>
      <c r="BC594" s="3"/>
    </row>
    <row r="595" spans="1:55" ht="12.9" customHeight="1">
      <c r="A595" s="22"/>
      <c r="B595" t="s">
        <v>580</v>
      </c>
      <c r="G595" s="1440" t="s">
        <v>2812</v>
      </c>
      <c r="H595" s="1440"/>
      <c r="I595" s="1440"/>
      <c r="J595" s="1440"/>
      <c r="K595" s="1440"/>
      <c r="L595" s="1440"/>
      <c r="M595" s="1440"/>
      <c r="N595" s="1440"/>
      <c r="O595" s="1440"/>
      <c r="P595" s="1440"/>
      <c r="Q595" s="1440"/>
      <c r="R595" s="1440"/>
      <c r="T595" s="22"/>
      <c r="U595" t="s">
        <v>580</v>
      </c>
      <c r="Z595" s="1424" t="s">
        <v>2811</v>
      </c>
      <c r="AA595" s="1424"/>
      <c r="AB595" s="1424"/>
      <c r="AC595" s="1424"/>
      <c r="AD595" s="1424"/>
      <c r="AE595" s="1424"/>
      <c r="AF595" s="1424"/>
      <c r="AG595" s="1424"/>
      <c r="AH595" s="1424"/>
      <c r="AI595" s="1424"/>
      <c r="AJ595" s="1424"/>
      <c r="AK595" s="1424"/>
      <c r="BB595" s="3"/>
      <c r="BC595" s="3"/>
    </row>
    <row r="596" spans="1:55" ht="12.9" customHeight="1">
      <c r="A596" s="22"/>
      <c r="B596" t="s">
        <v>17</v>
      </c>
      <c r="G596" s="1440" t="s">
        <v>2698</v>
      </c>
      <c r="H596" s="1440"/>
      <c r="I596" s="1440"/>
      <c r="J596" s="1440"/>
      <c r="K596" s="1440"/>
      <c r="L596" s="1440"/>
      <c r="M596" s="1440"/>
      <c r="N596" s="1440"/>
      <c r="O596" s="1440"/>
      <c r="P596" s="1440"/>
      <c r="Q596" s="1440"/>
      <c r="R596" s="1440"/>
      <c r="T596" s="22"/>
      <c r="U596" t="s">
        <v>17</v>
      </c>
      <c r="Z596" s="1424" t="s">
        <v>2793</v>
      </c>
      <c r="AA596" s="1424"/>
      <c r="AB596" s="1424"/>
      <c r="AC596" s="1424"/>
      <c r="AD596" s="1424"/>
      <c r="AE596" s="1424"/>
      <c r="AF596" s="1424"/>
      <c r="AG596" s="1424"/>
      <c r="AH596" s="1424"/>
      <c r="AI596" s="1424"/>
      <c r="AJ596" s="1424"/>
      <c r="AK596" s="1424"/>
    </row>
    <row r="597" spans="1:55" ht="12.9" customHeight="1">
      <c r="A597" s="22"/>
      <c r="B597" t="s">
        <v>316</v>
      </c>
      <c r="G597" s="1453" t="s">
        <v>2700</v>
      </c>
      <c r="H597" s="1454"/>
      <c r="I597" s="1454"/>
      <c r="J597" s="1454"/>
      <c r="K597" s="1454"/>
      <c r="L597" s="1454"/>
      <c r="O597" s="33" t="s">
        <v>206</v>
      </c>
      <c r="P597" s="1439"/>
      <c r="Q597" s="1439"/>
      <c r="R597" s="1439"/>
      <c r="T597" s="22"/>
      <c r="U597" t="s">
        <v>316</v>
      </c>
      <c r="Z597" s="1453" t="s">
        <v>2814</v>
      </c>
      <c r="AA597" s="1454"/>
      <c r="AB597" s="1454"/>
      <c r="AC597" s="1454"/>
      <c r="AD597" s="1454"/>
      <c r="AE597" s="1454"/>
      <c r="AH597" s="33" t="s">
        <v>206</v>
      </c>
      <c r="AI597" s="1439"/>
      <c r="AJ597" s="1439"/>
      <c r="AK597" s="1439"/>
      <c r="AZ597" s="3"/>
      <c r="BA597" s="3"/>
      <c r="BB597" s="3"/>
      <c r="BC597" s="3"/>
    </row>
    <row r="598" spans="1:55" ht="12.9" customHeight="1">
      <c r="A598" s="22"/>
      <c r="B598" t="s">
        <v>18</v>
      </c>
      <c r="H598" s="1440" t="s">
        <v>2256</v>
      </c>
      <c r="I598" s="1440"/>
      <c r="J598" s="1440"/>
      <c r="K598" s="1440"/>
      <c r="L598" s="1440"/>
      <c r="M598" s="1440"/>
      <c r="N598" s="1440"/>
      <c r="O598" s="1440"/>
      <c r="P598" s="1440"/>
      <c r="Q598" s="1440"/>
      <c r="R598" s="1440"/>
      <c r="T598" s="22"/>
      <c r="U598" t="s">
        <v>18</v>
      </c>
      <c r="AA598" s="1440" t="s">
        <v>2803</v>
      </c>
      <c r="AB598" s="1440"/>
      <c r="AC598" s="1440"/>
      <c r="AD598" s="1440"/>
      <c r="AE598" s="1440"/>
      <c r="AF598" s="1440"/>
      <c r="AG598" s="1440"/>
      <c r="AH598" s="1440"/>
      <c r="AI598" s="1440"/>
      <c r="AJ598" s="1440"/>
      <c r="AK598" s="1440"/>
      <c r="AZ598" s="3"/>
      <c r="BA598" s="3"/>
      <c r="BB598" s="3"/>
      <c r="BC598" s="3"/>
    </row>
    <row r="599" spans="1:55" ht="12.9" customHeight="1">
      <c r="A599" s="22"/>
      <c r="B599" t="s">
        <v>20</v>
      </c>
      <c r="N599" s="1289" t="s">
        <v>545</v>
      </c>
      <c r="O599" s="1289"/>
      <c r="T599" s="22"/>
      <c r="U599" t="s">
        <v>20</v>
      </c>
      <c r="AG599" s="1289" t="s">
        <v>545</v>
      </c>
      <c r="AH599" s="1289"/>
      <c r="AZ599" s="3"/>
      <c r="BA599" s="3"/>
      <c r="BB599" s="3"/>
      <c r="BC599" s="3"/>
    </row>
    <row r="600" spans="1:55" ht="12.9" customHeight="1">
      <c r="A600" s="22"/>
      <c r="T600" s="22"/>
      <c r="AZ600" s="3"/>
      <c r="BA600" s="3"/>
      <c r="BB600" s="3"/>
      <c r="BC600" s="3"/>
    </row>
    <row r="601" spans="1:55" ht="12.9" customHeight="1">
      <c r="A601" s="55" t="s">
        <v>455</v>
      </c>
      <c r="B601" t="s">
        <v>463</v>
      </c>
      <c r="G601" s="1428">
        <f>C568</f>
        <v>0</v>
      </c>
      <c r="H601" s="1428"/>
      <c r="I601" s="1428"/>
      <c r="J601" s="1428"/>
      <c r="K601" s="1428"/>
      <c r="L601" s="1428"/>
      <c r="M601" s="1428"/>
      <c r="N601" s="1428"/>
      <c r="O601" s="1428"/>
      <c r="P601" s="1428"/>
      <c r="Q601" s="1428"/>
      <c r="R601" s="1428"/>
      <c r="T601" s="55" t="s">
        <v>456</v>
      </c>
      <c r="U601" t="s">
        <v>463</v>
      </c>
      <c r="Z601" s="1428">
        <f>C569</f>
        <v>0</v>
      </c>
      <c r="AA601" s="1428"/>
      <c r="AB601" s="1428"/>
      <c r="AC601" s="1428"/>
      <c r="AD601" s="1428"/>
      <c r="AE601" s="1428"/>
      <c r="AF601" s="1428"/>
      <c r="AG601" s="1428"/>
      <c r="AH601" s="1428"/>
      <c r="AI601" s="1428"/>
      <c r="AJ601" s="1428"/>
      <c r="AK601" s="1428"/>
      <c r="AZ601" s="3"/>
      <c r="BA601" s="3"/>
      <c r="BB601" s="3"/>
      <c r="BC601" s="3"/>
    </row>
    <row r="602" spans="1:55" s="4" customFormat="1" ht="12.9" customHeight="1">
      <c r="A602" s="22"/>
      <c r="B602" t="s">
        <v>85</v>
      </c>
      <c r="C602"/>
      <c r="D602"/>
      <c r="E602"/>
      <c r="F602"/>
      <c r="G602" s="1440"/>
      <c r="H602" s="1440"/>
      <c r="I602" s="1440"/>
      <c r="J602" s="1440"/>
      <c r="K602" s="1440"/>
      <c r="L602" s="1440"/>
      <c r="M602" s="1440"/>
      <c r="N602" s="1440"/>
      <c r="O602" s="1440"/>
      <c r="P602" s="1440"/>
      <c r="Q602" s="1440"/>
      <c r="R602" s="1440"/>
      <c r="S602"/>
      <c r="T602" s="22"/>
      <c r="U602" t="s">
        <v>85</v>
      </c>
      <c r="V602"/>
      <c r="W602"/>
      <c r="X602"/>
      <c r="Y602"/>
      <c r="Z602" s="1440"/>
      <c r="AA602" s="1440"/>
      <c r="AB602" s="1440"/>
      <c r="AC602" s="1440"/>
      <c r="AD602" s="1440"/>
      <c r="AE602" s="1440"/>
      <c r="AF602" s="1440"/>
      <c r="AG602" s="1440"/>
      <c r="AH602" s="1440"/>
      <c r="AI602" s="1440"/>
      <c r="AJ602" s="1440"/>
      <c r="AK602" s="1440"/>
      <c r="AL602"/>
      <c r="AM602"/>
      <c r="AN602"/>
      <c r="AO602"/>
      <c r="AP602"/>
      <c r="AQ602"/>
      <c r="AR602"/>
      <c r="AS602"/>
      <c r="AT602"/>
      <c r="AU602"/>
      <c r="AV602"/>
      <c r="AW602"/>
      <c r="AX602"/>
      <c r="AY602"/>
      <c r="AZ602" s="3"/>
      <c r="BA602" s="3"/>
      <c r="BB602" s="3"/>
      <c r="BC602" s="3"/>
    </row>
    <row r="603" spans="1:55" s="4" customFormat="1" ht="12.9" customHeight="1">
      <c r="A603" s="22"/>
      <c r="B603" t="s">
        <v>580</v>
      </c>
      <c r="C603"/>
      <c r="D603"/>
      <c r="E603"/>
      <c r="F603"/>
      <c r="G603" s="1440"/>
      <c r="H603" s="1440"/>
      <c r="I603" s="1440"/>
      <c r="J603" s="1440"/>
      <c r="K603" s="1440"/>
      <c r="L603" s="1440"/>
      <c r="M603" s="1440"/>
      <c r="N603" s="1440"/>
      <c r="O603" s="1440"/>
      <c r="P603" s="1440"/>
      <c r="Q603" s="1440"/>
      <c r="R603" s="1440"/>
      <c r="S603"/>
      <c r="T603" s="22"/>
      <c r="U603" t="s">
        <v>580</v>
      </c>
      <c r="V603"/>
      <c r="W603"/>
      <c r="X603"/>
      <c r="Y603"/>
      <c r="Z603" s="1424"/>
      <c r="AA603" s="1424"/>
      <c r="AB603" s="1424"/>
      <c r="AC603" s="1424"/>
      <c r="AD603" s="1424"/>
      <c r="AE603" s="1424"/>
      <c r="AF603" s="1424"/>
      <c r="AG603" s="1424"/>
      <c r="AH603" s="1424"/>
      <c r="AI603" s="1424"/>
      <c r="AJ603" s="1424"/>
      <c r="AK603" s="1424"/>
      <c r="AL603"/>
      <c r="AM603"/>
      <c r="AN603"/>
      <c r="AO603"/>
      <c r="AP603"/>
      <c r="AQ603"/>
      <c r="AR603"/>
      <c r="AS603"/>
      <c r="AT603"/>
      <c r="AU603"/>
      <c r="AV603"/>
      <c r="AW603"/>
      <c r="AX603"/>
      <c r="AY603"/>
      <c r="AZ603" s="3"/>
      <c r="BA603" s="3"/>
      <c r="BB603" s="3"/>
      <c r="BC603" s="3"/>
    </row>
    <row r="604" spans="1:55" s="4" customFormat="1" ht="12.9" customHeight="1">
      <c r="A604" s="22"/>
      <c r="B604" t="s">
        <v>17</v>
      </c>
      <c r="C604"/>
      <c r="D604"/>
      <c r="E604"/>
      <c r="F604"/>
      <c r="G604" s="1440"/>
      <c r="H604" s="1440"/>
      <c r="I604" s="1440"/>
      <c r="J604" s="1440"/>
      <c r="K604" s="1440"/>
      <c r="L604" s="1440"/>
      <c r="M604" s="1440"/>
      <c r="N604" s="1440"/>
      <c r="O604" s="1440"/>
      <c r="P604" s="1440"/>
      <c r="Q604" s="1440"/>
      <c r="R604" s="1440"/>
      <c r="S604"/>
      <c r="T604" s="22"/>
      <c r="U604" t="s">
        <v>17</v>
      </c>
      <c r="V604"/>
      <c r="W604"/>
      <c r="X604"/>
      <c r="Y604"/>
      <c r="Z604" s="1424"/>
      <c r="AA604" s="1424"/>
      <c r="AB604" s="1424"/>
      <c r="AC604" s="1424"/>
      <c r="AD604" s="1424"/>
      <c r="AE604" s="1424"/>
      <c r="AF604" s="1424"/>
      <c r="AG604" s="1424"/>
      <c r="AH604" s="1424"/>
      <c r="AI604" s="1424"/>
      <c r="AJ604" s="1424"/>
      <c r="AK604" s="1424"/>
      <c r="AL604"/>
      <c r="AM604"/>
      <c r="AN604"/>
      <c r="AO604"/>
      <c r="AP604"/>
      <c r="AQ604"/>
      <c r="AR604"/>
      <c r="AS604"/>
      <c r="AT604"/>
      <c r="AU604"/>
      <c r="AV604"/>
      <c r="AW604"/>
      <c r="AX604"/>
      <c r="AY604"/>
      <c r="BB604" s="3"/>
      <c r="BC604" s="3"/>
    </row>
    <row r="605" spans="1:55" s="4" customFormat="1" ht="12.9" customHeight="1">
      <c r="A605" s="22"/>
      <c r="B605" t="s">
        <v>316</v>
      </c>
      <c r="C605"/>
      <c r="D605"/>
      <c r="E605"/>
      <c r="F605"/>
      <c r="G605" s="1454"/>
      <c r="H605" s="1454"/>
      <c r="I605" s="1454"/>
      <c r="J605" s="1454"/>
      <c r="K605" s="1454"/>
      <c r="L605" s="1454"/>
      <c r="M605"/>
      <c r="N605"/>
      <c r="O605" s="33" t="s">
        <v>206</v>
      </c>
      <c r="P605" s="1439"/>
      <c r="Q605" s="1439"/>
      <c r="R605" s="1439"/>
      <c r="S605"/>
      <c r="T605" s="22"/>
      <c r="U605" t="s">
        <v>316</v>
      </c>
      <c r="V605"/>
      <c r="W605"/>
      <c r="X605"/>
      <c r="Y605"/>
      <c r="Z605" s="1454"/>
      <c r="AA605" s="1454"/>
      <c r="AB605" s="1454"/>
      <c r="AC605" s="1454"/>
      <c r="AD605" s="1454"/>
      <c r="AE605" s="1454"/>
      <c r="AF605"/>
      <c r="AG605"/>
      <c r="AH605" s="33" t="s">
        <v>206</v>
      </c>
      <c r="AI605" s="1439"/>
      <c r="AJ605" s="1439"/>
      <c r="AK605" s="1439"/>
      <c r="AL605"/>
      <c r="AM605"/>
      <c r="AN605"/>
      <c r="AO605"/>
      <c r="AP605"/>
      <c r="AQ605"/>
      <c r="AR605"/>
      <c r="AS605"/>
      <c r="AT605"/>
      <c r="AU605"/>
      <c r="AV605"/>
      <c r="AW605"/>
      <c r="AX605"/>
      <c r="AY605"/>
      <c r="BB605" s="3"/>
      <c r="BC605" s="3"/>
    </row>
    <row r="606" spans="1:55" s="4" customFormat="1" ht="12.9" customHeight="1">
      <c r="A606" s="22"/>
      <c r="B606" t="s">
        <v>18</v>
      </c>
      <c r="C606"/>
      <c r="D606"/>
      <c r="E606"/>
      <c r="F606"/>
      <c r="G606"/>
      <c r="H606" s="1440"/>
      <c r="I606" s="1440"/>
      <c r="J606" s="1440"/>
      <c r="K606" s="1440"/>
      <c r="L606" s="1440"/>
      <c r="M606" s="1440"/>
      <c r="N606" s="1440"/>
      <c r="O606" s="1440"/>
      <c r="P606" s="1440"/>
      <c r="Q606" s="1440"/>
      <c r="R606" s="1440"/>
      <c r="S606"/>
      <c r="T606" s="22"/>
      <c r="U606" t="s">
        <v>18</v>
      </c>
      <c r="V606"/>
      <c r="W606"/>
      <c r="X606"/>
      <c r="Y606"/>
      <c r="Z606"/>
      <c r="AA606" s="1440"/>
      <c r="AB606" s="1440"/>
      <c r="AC606" s="1440"/>
      <c r="AD606" s="1440"/>
      <c r="AE606" s="1440"/>
      <c r="AF606" s="1440"/>
      <c r="AG606" s="1440"/>
      <c r="AH606" s="1440"/>
      <c r="AI606" s="1440"/>
      <c r="AJ606" s="1440"/>
      <c r="AK606" s="1440"/>
      <c r="AL606"/>
      <c r="AM606"/>
      <c r="AN606"/>
      <c r="AO606"/>
      <c r="AP606"/>
      <c r="AQ606"/>
      <c r="AR606"/>
      <c r="AS606"/>
      <c r="AT606"/>
      <c r="AU606"/>
      <c r="AV606"/>
      <c r="AW606"/>
      <c r="AX606"/>
      <c r="AY606"/>
      <c r="BB606" s="3"/>
      <c r="BC606" s="3"/>
    </row>
    <row r="607" spans="1:55" ht="12.9" customHeight="1">
      <c r="A607" s="22"/>
      <c r="B607" t="s">
        <v>20</v>
      </c>
      <c r="N607" s="1289" t="s">
        <v>669</v>
      </c>
      <c r="O607" s="1289"/>
      <c r="T607" s="22"/>
      <c r="U607" t="s">
        <v>20</v>
      </c>
      <c r="AG607" s="1289" t="s">
        <v>669</v>
      </c>
      <c r="AH607" s="1289"/>
      <c r="BB607" s="3"/>
      <c r="BC607" s="3"/>
    </row>
    <row r="608" spans="1:55" ht="12.9" customHeight="1">
      <c r="A608" s="22"/>
      <c r="T608" s="22"/>
      <c r="BB608" s="3"/>
      <c r="BC608" s="3"/>
    </row>
    <row r="609" spans="1:55" ht="12.9" customHeight="1">
      <c r="A609" s="55" t="s">
        <v>461</v>
      </c>
      <c r="B609" t="s">
        <v>463</v>
      </c>
      <c r="G609" s="1428">
        <f>C570</f>
        <v>0</v>
      </c>
      <c r="H609" s="1428"/>
      <c r="I609" s="1428"/>
      <c r="J609" s="1428"/>
      <c r="K609" s="1428"/>
      <c r="L609" s="1428"/>
      <c r="M609" s="1428"/>
      <c r="N609" s="1428"/>
      <c r="O609" s="1428"/>
      <c r="P609" s="1428"/>
      <c r="Q609" s="1428"/>
      <c r="R609" s="1428"/>
      <c r="T609" s="55" t="s">
        <v>646</v>
      </c>
      <c r="U609" t="s">
        <v>463</v>
      </c>
      <c r="Z609" s="1428">
        <f>C571</f>
        <v>0</v>
      </c>
      <c r="AA609" s="1428"/>
      <c r="AB609" s="1428"/>
      <c r="AC609" s="1428"/>
      <c r="AD609" s="1428"/>
      <c r="AE609" s="1428"/>
      <c r="AF609" s="1428"/>
      <c r="AG609" s="1428"/>
      <c r="AH609" s="1428"/>
      <c r="AI609" s="1428"/>
      <c r="AJ609" s="1428"/>
      <c r="AK609" s="1428"/>
      <c r="BB609" s="3"/>
      <c r="BC609" s="3"/>
    </row>
    <row r="610" spans="1:55" ht="12.9" customHeight="1">
      <c r="A610" s="22"/>
      <c r="B610" t="s">
        <v>85</v>
      </c>
      <c r="G610" s="1440"/>
      <c r="H610" s="1440"/>
      <c r="I610" s="1440"/>
      <c r="J610" s="1440"/>
      <c r="K610" s="1440"/>
      <c r="L610" s="1440"/>
      <c r="M610" s="1440"/>
      <c r="N610" s="1440"/>
      <c r="O610" s="1440"/>
      <c r="P610" s="1440"/>
      <c r="Q610" s="1440"/>
      <c r="R610" s="1440"/>
      <c r="T610" s="22"/>
      <c r="U610" t="s">
        <v>85</v>
      </c>
      <c r="Z610" s="1440"/>
      <c r="AA610" s="1440"/>
      <c r="AB610" s="1440"/>
      <c r="AC610" s="1440"/>
      <c r="AD610" s="1440"/>
      <c r="AE610" s="1440"/>
      <c r="AF610" s="1440"/>
      <c r="AG610" s="1440"/>
      <c r="AH610" s="1440"/>
      <c r="AI610" s="1440"/>
      <c r="AJ610" s="1440"/>
      <c r="AK610" s="1440"/>
      <c r="AZ610" s="3"/>
      <c r="BA610" s="3"/>
      <c r="BB610" s="3"/>
      <c r="BC610" s="3"/>
    </row>
    <row r="611" spans="1:55" ht="12.9" customHeight="1">
      <c r="A611" s="22"/>
      <c r="B611" t="s">
        <v>580</v>
      </c>
      <c r="G611" s="1440"/>
      <c r="H611" s="1440"/>
      <c r="I611" s="1440"/>
      <c r="J611" s="1440"/>
      <c r="K611" s="1440"/>
      <c r="L611" s="1440"/>
      <c r="M611" s="1440"/>
      <c r="N611" s="1440"/>
      <c r="O611" s="1440"/>
      <c r="P611" s="1440"/>
      <c r="Q611" s="1440"/>
      <c r="R611" s="1440"/>
      <c r="T611" s="22"/>
      <c r="U611" t="s">
        <v>580</v>
      </c>
      <c r="Z611" s="1424"/>
      <c r="AA611" s="1424"/>
      <c r="AB611" s="1424"/>
      <c r="AC611" s="1424"/>
      <c r="AD611" s="1424"/>
      <c r="AE611" s="1424"/>
      <c r="AF611" s="1424"/>
      <c r="AG611" s="1424"/>
      <c r="AH611" s="1424"/>
      <c r="AI611" s="1424"/>
      <c r="AJ611" s="1424"/>
      <c r="AK611" s="1424"/>
      <c r="AZ611" s="3"/>
      <c r="BA611" s="3"/>
      <c r="BB611" s="3"/>
      <c r="BC611" s="3"/>
    </row>
    <row r="612" spans="1:55" ht="12.9" customHeight="1">
      <c r="A612" s="22"/>
      <c r="B612" t="s">
        <v>17</v>
      </c>
      <c r="G612" s="1440"/>
      <c r="H612" s="1440"/>
      <c r="I612" s="1440"/>
      <c r="J612" s="1440"/>
      <c r="K612" s="1440"/>
      <c r="L612" s="1440"/>
      <c r="M612" s="1440"/>
      <c r="N612" s="1440"/>
      <c r="O612" s="1440"/>
      <c r="P612" s="1440"/>
      <c r="Q612" s="1440"/>
      <c r="R612" s="1440"/>
      <c r="T612" s="22"/>
      <c r="U612" t="s">
        <v>17</v>
      </c>
      <c r="Z612" s="1424"/>
      <c r="AA612" s="1424"/>
      <c r="AB612" s="1424"/>
      <c r="AC612" s="1424"/>
      <c r="AD612" s="1424"/>
      <c r="AE612" s="1424"/>
      <c r="AF612" s="1424"/>
      <c r="AG612" s="1424"/>
      <c r="AH612" s="1424"/>
      <c r="AI612" s="1424"/>
      <c r="AJ612" s="1424"/>
      <c r="AK612" s="1424"/>
      <c r="AZ612" s="3"/>
      <c r="BA612" s="3"/>
      <c r="BB612" s="3"/>
      <c r="BC612" s="3"/>
    </row>
    <row r="613" spans="1:55" s="4" customFormat="1" ht="12.9" customHeight="1">
      <c r="A613" s="22"/>
      <c r="B613" t="s">
        <v>316</v>
      </c>
      <c r="C613"/>
      <c r="D613"/>
      <c r="E613"/>
      <c r="F613"/>
      <c r="G613" s="1454"/>
      <c r="H613" s="1454"/>
      <c r="I613" s="1454"/>
      <c r="J613" s="1454"/>
      <c r="K613" s="1454"/>
      <c r="L613" s="1454"/>
      <c r="M613"/>
      <c r="N613"/>
      <c r="O613" s="33" t="s">
        <v>206</v>
      </c>
      <c r="P613" s="1439"/>
      <c r="Q613" s="1439"/>
      <c r="R613" s="1439"/>
      <c r="S613"/>
      <c r="T613" s="22"/>
      <c r="U613" t="s">
        <v>316</v>
      </c>
      <c r="V613"/>
      <c r="W613"/>
      <c r="X613"/>
      <c r="Y613"/>
      <c r="Z613" s="1454"/>
      <c r="AA613" s="1454"/>
      <c r="AB613" s="1454"/>
      <c r="AC613" s="1454"/>
      <c r="AD613" s="1454"/>
      <c r="AE613" s="1454"/>
      <c r="AF613"/>
      <c r="AG613"/>
      <c r="AH613" s="33" t="s">
        <v>206</v>
      </c>
      <c r="AI613" s="1439"/>
      <c r="AJ613" s="1439"/>
      <c r="AK613" s="1439"/>
      <c r="AL613"/>
      <c r="AM613"/>
      <c r="AN613"/>
      <c r="AO613"/>
      <c r="AP613"/>
      <c r="AQ613"/>
      <c r="AR613"/>
      <c r="AS613"/>
      <c r="AT613"/>
      <c r="AU613"/>
      <c r="AV613"/>
      <c r="AW613"/>
      <c r="AX613"/>
      <c r="AY613"/>
      <c r="AZ613" s="3"/>
      <c r="BA613" s="3"/>
      <c r="BB613" s="3"/>
      <c r="BC613" s="3"/>
    </row>
    <row r="614" spans="1:55" s="4" customFormat="1" ht="12.9" customHeight="1">
      <c r="A614" s="22"/>
      <c r="B614" t="s">
        <v>18</v>
      </c>
      <c r="C614"/>
      <c r="D614"/>
      <c r="E614"/>
      <c r="F614"/>
      <c r="G614"/>
      <c r="H614" s="1440"/>
      <c r="I614" s="1440"/>
      <c r="J614" s="1440"/>
      <c r="K614" s="1440"/>
      <c r="L614" s="1440"/>
      <c r="M614" s="1440"/>
      <c r="N614" s="1440"/>
      <c r="O614" s="1440"/>
      <c r="P614" s="1440"/>
      <c r="Q614" s="1440"/>
      <c r="R614" s="1440"/>
      <c r="S614"/>
      <c r="T614" s="22"/>
      <c r="U614" t="s">
        <v>18</v>
      </c>
      <c r="V614"/>
      <c r="W614"/>
      <c r="X614"/>
      <c r="Y614"/>
      <c r="Z614"/>
      <c r="AA614" s="1440"/>
      <c r="AB614" s="1440"/>
      <c r="AC614" s="1440"/>
      <c r="AD614" s="1440"/>
      <c r="AE614" s="1440"/>
      <c r="AF614" s="1440"/>
      <c r="AG614" s="1440"/>
      <c r="AH614" s="1440"/>
      <c r="AI614" s="1440"/>
      <c r="AJ614" s="1440"/>
      <c r="AK614" s="1440"/>
      <c r="AL614"/>
      <c r="AM614"/>
      <c r="AN614"/>
      <c r="AO614"/>
      <c r="AP614"/>
      <c r="AQ614"/>
      <c r="AR614"/>
      <c r="AS614"/>
      <c r="AT614"/>
      <c r="AU614"/>
      <c r="AV614"/>
      <c r="AW614"/>
      <c r="AX614"/>
      <c r="AY614"/>
      <c r="AZ614" s="3"/>
      <c r="BA614" s="3"/>
      <c r="BB614" s="3"/>
      <c r="BC614" s="3"/>
    </row>
    <row r="615" spans="1:55" s="4" customFormat="1" ht="12.9" customHeight="1">
      <c r="A615" s="22"/>
      <c r="B615" t="s">
        <v>20</v>
      </c>
      <c r="C615"/>
      <c r="D615"/>
      <c r="E615"/>
      <c r="F615"/>
      <c r="G615"/>
      <c r="H615"/>
      <c r="I615"/>
      <c r="J615"/>
      <c r="K615"/>
      <c r="L615"/>
      <c r="M615"/>
      <c r="N615" s="1289" t="s">
        <v>669</v>
      </c>
      <c r="O615" s="1289"/>
      <c r="P615"/>
      <c r="Q615"/>
      <c r="R615"/>
      <c r="S615"/>
      <c r="T615" s="22"/>
      <c r="U615" t="s">
        <v>20</v>
      </c>
      <c r="V615"/>
      <c r="W615"/>
      <c r="X615"/>
      <c r="Y615"/>
      <c r="Z615"/>
      <c r="AA615"/>
      <c r="AB615"/>
      <c r="AC615"/>
      <c r="AD615"/>
      <c r="AE615"/>
      <c r="AF615"/>
      <c r="AG615" s="1289" t="s">
        <v>669</v>
      </c>
      <c r="AH615" s="1289"/>
      <c r="AI615"/>
      <c r="AJ615"/>
      <c r="AK615"/>
      <c r="AL615"/>
      <c r="AM615"/>
      <c r="AN615"/>
      <c r="AO615"/>
      <c r="AP615"/>
      <c r="AQ615"/>
      <c r="AR615"/>
      <c r="AS615"/>
      <c r="AT615"/>
      <c r="AU615"/>
      <c r="AV615"/>
      <c r="AW615"/>
      <c r="AX615"/>
      <c r="AY615"/>
      <c r="AZ615" s="3"/>
      <c r="BA615" s="3"/>
      <c r="BB615" s="3"/>
      <c r="BC615" s="3"/>
    </row>
    <row r="616" spans="1:55" ht="12.9" customHeight="1">
      <c r="A616" s="22"/>
      <c r="T616" s="22"/>
      <c r="AZ616" s="3"/>
      <c r="BA616" s="3"/>
      <c r="BB616" s="3"/>
      <c r="BC616" s="3"/>
    </row>
    <row r="617" spans="1:55" ht="12.9" customHeight="1">
      <c r="A617" s="55" t="s">
        <v>362</v>
      </c>
      <c r="B617" t="s">
        <v>463</v>
      </c>
      <c r="G617" s="1428">
        <f>C572</f>
        <v>0</v>
      </c>
      <c r="H617" s="1428"/>
      <c r="I617" s="1428"/>
      <c r="J617" s="1428"/>
      <c r="K617" s="1428"/>
      <c r="L617" s="1428"/>
      <c r="M617" s="1428"/>
      <c r="N617" s="1428"/>
      <c r="O617" s="1428"/>
      <c r="P617" s="1428"/>
      <c r="Q617" s="1428"/>
      <c r="R617" s="1428"/>
      <c r="T617" s="55" t="s">
        <v>363</v>
      </c>
      <c r="U617" t="s">
        <v>463</v>
      </c>
      <c r="Z617" s="1428">
        <f>C573</f>
        <v>0</v>
      </c>
      <c r="AA617" s="1428"/>
      <c r="AB617" s="1428"/>
      <c r="AC617" s="1428"/>
      <c r="AD617" s="1428"/>
      <c r="AE617" s="1428"/>
      <c r="AF617" s="1428"/>
      <c r="AG617" s="1428"/>
      <c r="AH617" s="1428"/>
      <c r="AI617" s="1428"/>
      <c r="AJ617" s="1428"/>
      <c r="AK617" s="1428"/>
      <c r="AZ617" s="3"/>
      <c r="BA617" s="3"/>
      <c r="BB617" s="3"/>
      <c r="BC617" s="3"/>
    </row>
    <row r="618" spans="1:55" ht="12.9" customHeight="1">
      <c r="B618" t="s">
        <v>85</v>
      </c>
      <c r="G618" s="1440"/>
      <c r="H618" s="1440"/>
      <c r="I618" s="1440"/>
      <c r="J618" s="1440"/>
      <c r="K618" s="1440"/>
      <c r="L618" s="1440"/>
      <c r="M618" s="1440"/>
      <c r="N618" s="1440"/>
      <c r="O618" s="1440"/>
      <c r="P618" s="1440"/>
      <c r="Q618" s="1440"/>
      <c r="R618" s="1440"/>
      <c r="U618" t="s">
        <v>85</v>
      </c>
      <c r="Z618" s="1440"/>
      <c r="AA618" s="1440"/>
      <c r="AB618" s="1440"/>
      <c r="AC618" s="1440"/>
      <c r="AD618" s="1440"/>
      <c r="AE618" s="1440"/>
      <c r="AF618" s="1440"/>
      <c r="AG618" s="1440"/>
      <c r="AH618" s="1440"/>
      <c r="AI618" s="1440"/>
      <c r="AJ618" s="1440"/>
      <c r="AK618" s="1440"/>
      <c r="AZ618" s="3"/>
      <c r="BA618" s="3"/>
      <c r="BB618" s="3"/>
      <c r="BC618" s="3"/>
    </row>
    <row r="619" spans="1:55" ht="12.9" customHeight="1">
      <c r="B619" t="s">
        <v>580</v>
      </c>
      <c r="G619" s="1440"/>
      <c r="H619" s="1440"/>
      <c r="I619" s="1440"/>
      <c r="J619" s="1440"/>
      <c r="K619" s="1440"/>
      <c r="L619" s="1440"/>
      <c r="M619" s="1440"/>
      <c r="N619" s="1440"/>
      <c r="O619" s="1440"/>
      <c r="P619" s="1440"/>
      <c r="Q619" s="1440"/>
      <c r="R619" s="1440"/>
      <c r="U619" t="s">
        <v>580</v>
      </c>
      <c r="Z619" s="1424"/>
      <c r="AA619" s="1424"/>
      <c r="AB619" s="1424"/>
      <c r="AC619" s="1424"/>
      <c r="AD619" s="1424"/>
      <c r="AE619" s="1424"/>
      <c r="AF619" s="1424"/>
      <c r="AG619" s="1424"/>
      <c r="AH619" s="1424"/>
      <c r="AI619" s="1424"/>
      <c r="AJ619" s="1424"/>
      <c r="AK619" s="1424"/>
      <c r="AZ619" s="3"/>
      <c r="BA619" s="3"/>
      <c r="BB619" s="3"/>
      <c r="BC619" s="3"/>
    </row>
    <row r="620" spans="1:55" ht="12.9" customHeight="1">
      <c r="B620" t="s">
        <v>17</v>
      </c>
      <c r="G620" s="1440"/>
      <c r="H620" s="1440"/>
      <c r="I620" s="1440"/>
      <c r="J620" s="1440"/>
      <c r="K620" s="1440"/>
      <c r="L620" s="1440"/>
      <c r="M620" s="1440"/>
      <c r="N620" s="1440"/>
      <c r="O620" s="1440"/>
      <c r="P620" s="1440"/>
      <c r="Q620" s="1440"/>
      <c r="R620" s="1440"/>
      <c r="U620" t="s">
        <v>17</v>
      </c>
      <c r="Z620" s="1424"/>
      <c r="AA620" s="1424"/>
      <c r="AB620" s="1424"/>
      <c r="AC620" s="1424"/>
      <c r="AD620" s="1424"/>
      <c r="AE620" s="1424"/>
      <c r="AF620" s="1424"/>
      <c r="AG620" s="1424"/>
      <c r="AH620" s="1424"/>
      <c r="AI620" s="1424"/>
      <c r="AJ620" s="1424"/>
      <c r="AK620" s="1424"/>
      <c r="AZ620" s="3"/>
      <c r="BA620" s="3"/>
      <c r="BB620" s="3"/>
      <c r="BC620" s="3"/>
    </row>
    <row r="621" spans="1:55" ht="12.9" customHeight="1">
      <c r="B621" t="s">
        <v>316</v>
      </c>
      <c r="G621" s="1454"/>
      <c r="H621" s="1454"/>
      <c r="I621" s="1454"/>
      <c r="J621" s="1454"/>
      <c r="K621" s="1454"/>
      <c r="L621" s="1454"/>
      <c r="O621" s="33" t="s">
        <v>206</v>
      </c>
      <c r="P621" s="1439"/>
      <c r="Q621" s="1439"/>
      <c r="R621" s="1439"/>
      <c r="U621" t="s">
        <v>316</v>
      </c>
      <c r="Z621" s="1454"/>
      <c r="AA621" s="1454"/>
      <c r="AB621" s="1454"/>
      <c r="AC621" s="1454"/>
      <c r="AD621" s="1454"/>
      <c r="AE621" s="1454"/>
      <c r="AH621" s="33" t="s">
        <v>206</v>
      </c>
      <c r="AI621" s="1439"/>
      <c r="AJ621" s="1439"/>
      <c r="AK621" s="1439"/>
      <c r="AZ621" s="3"/>
      <c r="BA621" s="3"/>
      <c r="BB621" s="3"/>
      <c r="BC621" s="3"/>
    </row>
    <row r="622" spans="1:55" ht="12.9" customHeight="1">
      <c r="B622" t="s">
        <v>18</v>
      </c>
      <c r="H622" s="1440"/>
      <c r="I622" s="1440"/>
      <c r="J622" s="1440"/>
      <c r="K622" s="1440"/>
      <c r="L622" s="1440"/>
      <c r="M622" s="1440"/>
      <c r="N622" s="1440"/>
      <c r="O622" s="1440"/>
      <c r="P622" s="1440"/>
      <c r="Q622" s="1440"/>
      <c r="R622" s="1440"/>
      <c r="U622" t="s">
        <v>18</v>
      </c>
      <c r="AA622" s="1440"/>
      <c r="AB622" s="1440"/>
      <c r="AC622" s="1440"/>
      <c r="AD622" s="1440"/>
      <c r="AE622" s="1440"/>
      <c r="AF622" s="1440"/>
      <c r="AG622" s="1440"/>
      <c r="AH622" s="1440"/>
      <c r="AI622" s="1440"/>
      <c r="AJ622" s="1440"/>
      <c r="AK622" s="1440"/>
      <c r="AU622" s="890"/>
      <c r="AV622" s="890"/>
      <c r="AW622" s="890"/>
      <c r="AX622" s="890"/>
      <c r="AY622" s="890"/>
      <c r="AZ622" s="3"/>
      <c r="BA622" s="3"/>
      <c r="BB622" s="3"/>
      <c r="BC622" s="3"/>
    </row>
    <row r="623" spans="1:55" ht="12.9" customHeight="1">
      <c r="B623" t="s">
        <v>20</v>
      </c>
      <c r="N623" s="1289" t="s">
        <v>669</v>
      </c>
      <c r="O623" s="1289"/>
      <c r="U623" t="s">
        <v>20</v>
      </c>
      <c r="AG623" s="1289" t="s">
        <v>669</v>
      </c>
      <c r="AH623" s="1289"/>
      <c r="AU623" s="890"/>
      <c r="AV623" s="890"/>
      <c r="AW623" s="890"/>
      <c r="AX623" s="890"/>
      <c r="AY623" s="890"/>
      <c r="AZ623" s="3"/>
      <c r="BA623" s="3"/>
      <c r="BB623" s="3"/>
      <c r="BC623" s="3"/>
    </row>
    <row r="624" spans="1:55" ht="12.9" customHeight="1">
      <c r="AZ624" s="3"/>
      <c r="BA624" s="3"/>
      <c r="BB624" s="3"/>
      <c r="BC624" s="3"/>
    </row>
    <row r="625" spans="1:56" ht="12.9" customHeight="1">
      <c r="A625" s="1468" t="s">
        <v>544</v>
      </c>
      <c r="B625" s="1468"/>
      <c r="C625" s="1468"/>
      <c r="D625" s="1468"/>
      <c r="E625" s="1468"/>
      <c r="F625" s="1468"/>
      <c r="G625" s="1468"/>
      <c r="H625" s="1468"/>
      <c r="I625" s="1468"/>
      <c r="J625" s="1468"/>
      <c r="K625" s="1468"/>
      <c r="L625" s="1468"/>
      <c r="M625" s="1468"/>
      <c r="N625" s="1468"/>
      <c r="O625" s="1468"/>
      <c r="P625" s="1468"/>
      <c r="Q625" s="1468"/>
      <c r="R625" s="1468"/>
      <c r="S625" s="1468"/>
      <c r="T625" s="1468"/>
      <c r="U625" s="1468"/>
      <c r="V625" s="1468"/>
      <c r="W625" s="1468"/>
      <c r="X625" s="1468"/>
      <c r="Y625" s="1468"/>
      <c r="Z625" s="1468"/>
      <c r="AA625" s="1468"/>
      <c r="AB625" s="1468"/>
      <c r="AC625" s="1468"/>
      <c r="AD625" s="1468"/>
      <c r="AE625" s="1468"/>
      <c r="AF625" s="1468"/>
      <c r="AG625" s="1468"/>
      <c r="AH625" s="1468"/>
      <c r="AI625" s="1468"/>
      <c r="AJ625" s="1468"/>
      <c r="AK625" s="1468"/>
      <c r="AL625" s="1468"/>
      <c r="AM625" s="1468"/>
      <c r="AN625" s="1468"/>
      <c r="AO625" s="1468"/>
      <c r="AP625" s="1468"/>
      <c r="AQ625" s="1468"/>
      <c r="AR625" s="1468"/>
      <c r="AS625" s="1468"/>
      <c r="AT625" s="1468"/>
      <c r="AZ625" s="3"/>
      <c r="BA625" s="3"/>
      <c r="BB625" s="3"/>
      <c r="BC625" s="3"/>
    </row>
    <row r="626" spans="1:56" ht="12.9" customHeight="1">
      <c r="A626" s="1468"/>
      <c r="B626" s="1468"/>
      <c r="C626" s="1468"/>
      <c r="D626" s="1468"/>
      <c r="E626" s="1468"/>
      <c r="F626" s="1468"/>
      <c r="G626" s="1468"/>
      <c r="H626" s="1468"/>
      <c r="I626" s="1468"/>
      <c r="J626" s="1468"/>
      <c r="K626" s="1468"/>
      <c r="L626" s="1468"/>
      <c r="M626" s="1468"/>
      <c r="N626" s="1468"/>
      <c r="O626" s="1468"/>
      <c r="P626" s="1468"/>
      <c r="Q626" s="1468"/>
      <c r="R626" s="1468"/>
      <c r="S626" s="1468"/>
      <c r="T626" s="1468"/>
      <c r="U626" s="1468"/>
      <c r="V626" s="1468"/>
      <c r="W626" s="1468"/>
      <c r="X626" s="1468"/>
      <c r="Y626" s="1468"/>
      <c r="Z626" s="1468"/>
      <c r="AA626" s="1468"/>
      <c r="AB626" s="1468"/>
      <c r="AC626" s="1468"/>
      <c r="AD626" s="1468"/>
      <c r="AE626" s="1468"/>
      <c r="AF626" s="1468"/>
      <c r="AG626" s="1468"/>
      <c r="AH626" s="1468"/>
      <c r="AI626" s="1468"/>
      <c r="AJ626" s="1468"/>
      <c r="AK626" s="1468"/>
      <c r="AL626" s="1468"/>
      <c r="AM626" s="1468"/>
      <c r="AN626" s="1468"/>
      <c r="AO626" s="1468"/>
      <c r="AP626" s="1468"/>
      <c r="AQ626" s="1468"/>
      <c r="AR626" s="1468"/>
      <c r="AS626" s="1468"/>
      <c r="AT626" s="1468"/>
      <c r="AZ626" s="3"/>
      <c r="BA626" s="3"/>
      <c r="BB626" s="3"/>
      <c r="BC626" s="3"/>
    </row>
    <row r="627" spans="1:56" ht="12.9" customHeight="1">
      <c r="AZ627" s="3"/>
      <c r="BA627" s="3"/>
      <c r="BB627" s="3"/>
      <c r="BC627" s="3"/>
    </row>
    <row r="628" spans="1:56" ht="12.9" customHeight="1">
      <c r="A628" s="2" t="s">
        <v>319</v>
      </c>
      <c r="B628" s="2"/>
      <c r="C628" s="2" t="s">
        <v>21</v>
      </c>
      <c r="AZ628" s="3"/>
      <c r="BA628" s="3"/>
      <c r="BB628" s="3"/>
      <c r="BC628" s="3"/>
    </row>
    <row r="629" spans="1:56" ht="12.9" customHeight="1">
      <c r="A629" s="2"/>
      <c r="B629" s="2"/>
      <c r="C629" s="2"/>
      <c r="AZ629" s="3"/>
      <c r="BA629" s="3"/>
      <c r="BB629" s="3"/>
      <c r="BC629" s="3"/>
    </row>
    <row r="630" spans="1:56" ht="12.9" customHeight="1">
      <c r="C630" s="2" t="s">
        <v>2050</v>
      </c>
      <c r="AZ630" s="3"/>
      <c r="BA630" s="3"/>
      <c r="BB630" s="3"/>
      <c r="BC630" s="3"/>
    </row>
    <row r="631" spans="1:56" ht="12.9" customHeight="1">
      <c r="B631" s="508"/>
      <c r="C631" s="2"/>
      <c r="AU631" s="3"/>
      <c r="AZ631" s="3"/>
      <c r="BA631" s="3"/>
      <c r="BB631" s="3"/>
      <c r="BC631" s="3"/>
    </row>
    <row r="632" spans="1:56" ht="12.9" customHeight="1">
      <c r="B632" s="1662" t="s">
        <v>2052</v>
      </c>
      <c r="C632" s="1662"/>
      <c r="D632" s="1662"/>
      <c r="E632" s="1662"/>
      <c r="F632" s="1662"/>
      <c r="G632" s="1662"/>
      <c r="H632" s="1662"/>
      <c r="I632" s="1662"/>
      <c r="J632" s="1662"/>
      <c r="K632" s="1662"/>
      <c r="L632" s="1662"/>
      <c r="M632" s="1435" t="s">
        <v>2053</v>
      </c>
      <c r="N632" s="1435"/>
      <c r="O632" s="1435"/>
      <c r="P632" s="1435"/>
      <c r="Q632" s="1435" t="s">
        <v>1823</v>
      </c>
      <c r="R632" s="1435"/>
      <c r="S632" s="1435"/>
      <c r="T632" s="1435" t="s">
        <v>1821</v>
      </c>
      <c r="U632" s="1435"/>
      <c r="V632" s="1435"/>
      <c r="W632" s="1696" t="s">
        <v>453</v>
      </c>
      <c r="X632" s="1696"/>
      <c r="Y632" s="1696"/>
      <c r="Z632" s="1477" t="s">
        <v>2082</v>
      </c>
      <c r="AA632" s="1477"/>
      <c r="AB632" s="1478"/>
      <c r="AC632" s="1441" t="s">
        <v>1664</v>
      </c>
      <c r="AD632" s="1442"/>
      <c r="AE632" s="1443"/>
      <c r="AF632" s="1657" t="s">
        <v>1898</v>
      </c>
      <c r="AG632" s="1477"/>
      <c r="AH632" s="1477"/>
      <c r="AI632" s="1477"/>
      <c r="AJ632" s="1478"/>
      <c r="AK632" s="1663" t="s">
        <v>1899</v>
      </c>
      <c r="AL632" s="1664"/>
      <c r="AM632" s="1664"/>
      <c r="AN632" s="1665"/>
      <c r="AO632" s="1435" t="s">
        <v>454</v>
      </c>
      <c r="AP632" s="1435"/>
      <c r="AQ632" s="1435"/>
      <c r="AR632" s="1435"/>
      <c r="AS632" s="1435"/>
      <c r="AU632" s="3"/>
      <c r="AZ632" s="3"/>
      <c r="BA632" s="3"/>
      <c r="BB632" s="3"/>
      <c r="BC632" s="3"/>
    </row>
    <row r="633" spans="1:56" ht="12.9" customHeight="1">
      <c r="B633" s="1662"/>
      <c r="C633" s="1662"/>
      <c r="D633" s="1662"/>
      <c r="E633" s="1662"/>
      <c r="F633" s="1662"/>
      <c r="G633" s="1662"/>
      <c r="H633" s="1662"/>
      <c r="I633" s="1662"/>
      <c r="J633" s="1662"/>
      <c r="K633" s="1662"/>
      <c r="L633" s="1662"/>
      <c r="M633" s="1435"/>
      <c r="N633" s="1435"/>
      <c r="O633" s="1435"/>
      <c r="P633" s="1435"/>
      <c r="Q633" s="1435"/>
      <c r="R633" s="1435"/>
      <c r="S633" s="1435"/>
      <c r="T633" s="1435"/>
      <c r="U633" s="1435"/>
      <c r="V633" s="1435"/>
      <c r="W633" s="1696"/>
      <c r="X633" s="1696"/>
      <c r="Y633" s="1696"/>
      <c r="Z633" s="1479"/>
      <c r="AA633" s="1479"/>
      <c r="AB633" s="1480"/>
      <c r="AC633" s="1444"/>
      <c r="AD633" s="1445"/>
      <c r="AE633" s="1446"/>
      <c r="AF633" s="1658"/>
      <c r="AG633" s="1479"/>
      <c r="AH633" s="1479"/>
      <c r="AI633" s="1479"/>
      <c r="AJ633" s="1480"/>
      <c r="AK633" s="1666"/>
      <c r="AL633" s="1667"/>
      <c r="AM633" s="1667"/>
      <c r="AN633" s="1668"/>
      <c r="AO633" s="1435"/>
      <c r="AP633" s="1435"/>
      <c r="AQ633" s="1435"/>
      <c r="AR633" s="1435"/>
      <c r="AS633" s="1435"/>
      <c r="AU633" s="3"/>
      <c r="AZ633" s="3"/>
      <c r="BA633" s="3"/>
      <c r="BB633" s="3"/>
      <c r="BC633" s="3"/>
      <c r="BD633" s="3"/>
    </row>
    <row r="634" spans="1:56" ht="12.9" customHeight="1">
      <c r="B634" s="1662"/>
      <c r="C634" s="1662"/>
      <c r="D634" s="1662"/>
      <c r="E634" s="1662"/>
      <c r="F634" s="1662"/>
      <c r="G634" s="1662"/>
      <c r="H634" s="1662"/>
      <c r="I634" s="1662"/>
      <c r="J634" s="1662"/>
      <c r="K634" s="1662"/>
      <c r="L634" s="1662"/>
      <c r="M634" s="1435"/>
      <c r="N634" s="1435"/>
      <c r="O634" s="1435"/>
      <c r="P634" s="1435"/>
      <c r="Q634" s="1435"/>
      <c r="R634" s="1435"/>
      <c r="S634" s="1435"/>
      <c r="T634" s="1435"/>
      <c r="U634" s="1435"/>
      <c r="V634" s="1435"/>
      <c r="W634" s="1696"/>
      <c r="X634" s="1696"/>
      <c r="Y634" s="1696"/>
      <c r="Z634" s="1481"/>
      <c r="AA634" s="1481"/>
      <c r="AB634" s="1482"/>
      <c r="AC634" s="1447"/>
      <c r="AD634" s="1448"/>
      <c r="AE634" s="1449"/>
      <c r="AF634" s="1659"/>
      <c r="AG634" s="1481"/>
      <c r="AH634" s="1481"/>
      <c r="AI634" s="1481"/>
      <c r="AJ634" s="1482"/>
      <c r="AK634" s="1669"/>
      <c r="AL634" s="1670"/>
      <c r="AM634" s="1670"/>
      <c r="AN634" s="1671"/>
      <c r="AO634" s="1435"/>
      <c r="AP634" s="1435"/>
      <c r="AQ634" s="1435"/>
      <c r="AR634" s="1435"/>
      <c r="AS634" s="1435"/>
      <c r="AT634" s="3"/>
      <c r="AU634" s="3"/>
      <c r="AZ634" s="3"/>
      <c r="BA634" s="3"/>
      <c r="BB634" s="3"/>
      <c r="BC634" s="3"/>
      <c r="BD634" s="3"/>
    </row>
    <row r="635" spans="1:56" ht="12.9" customHeight="1">
      <c r="B635" s="51" t="s">
        <v>112</v>
      </c>
      <c r="C635" s="1503" t="s">
        <v>2804</v>
      </c>
      <c r="D635" s="1503"/>
      <c r="E635" s="1503"/>
      <c r="F635" s="1503"/>
      <c r="G635" s="1503"/>
      <c r="H635" s="1503"/>
      <c r="I635" s="1503"/>
      <c r="J635" s="1503"/>
      <c r="K635" s="1503"/>
      <c r="L635" s="1503"/>
      <c r="M635" s="1656" t="s">
        <v>2069</v>
      </c>
      <c r="N635" s="1656"/>
      <c r="O635" s="1656"/>
      <c r="P635" s="1656"/>
      <c r="Q635" s="1471">
        <v>204</v>
      </c>
      <c r="R635" s="1471"/>
      <c r="S635" s="1472"/>
      <c r="T635" s="1470">
        <v>480</v>
      </c>
      <c r="U635" s="1471"/>
      <c r="V635" s="1472"/>
      <c r="W635" s="1483">
        <v>6.5000000000000002E-2</v>
      </c>
      <c r="X635" s="1484"/>
      <c r="Y635" s="1485"/>
      <c r="Z635" s="1486" t="s">
        <v>2081</v>
      </c>
      <c r="AA635" s="1487"/>
      <c r="AB635" s="1488"/>
      <c r="AC635" s="1507">
        <v>1</v>
      </c>
      <c r="AD635" s="1508"/>
      <c r="AE635" s="1509"/>
      <c r="AF635" s="1504">
        <v>3600910</v>
      </c>
      <c r="AG635" s="1505"/>
      <c r="AH635" s="1505"/>
      <c r="AI635" s="1505"/>
      <c r="AJ635" s="1506"/>
      <c r="AK635" s="1473"/>
      <c r="AL635" s="1474"/>
      <c r="AM635" s="1474"/>
      <c r="AN635" s="1475"/>
      <c r="AO635" s="1621">
        <v>51255000</v>
      </c>
      <c r="AP635" s="1621"/>
      <c r="AQ635" s="1621"/>
      <c r="AR635" s="1621"/>
      <c r="AS635" s="1621"/>
      <c r="AT635" s="3"/>
      <c r="AU635" s="3"/>
      <c r="AZ635" s="3"/>
      <c r="BA635" s="3"/>
      <c r="BB635" s="3"/>
      <c r="BC635" s="3"/>
      <c r="BD635" s="3"/>
    </row>
    <row r="636" spans="1:56" ht="12.9" customHeight="1">
      <c r="B636" s="52" t="s">
        <v>113</v>
      </c>
      <c r="C636" s="1503" t="s">
        <v>2693</v>
      </c>
      <c r="D636" s="1503"/>
      <c r="E636" s="1503"/>
      <c r="F636" s="1503"/>
      <c r="G636" s="1503"/>
      <c r="H636" s="1503"/>
      <c r="I636" s="1503"/>
      <c r="J636" s="1503"/>
      <c r="K636" s="1503"/>
      <c r="L636" s="1503"/>
      <c r="M636" s="1656" t="s">
        <v>2071</v>
      </c>
      <c r="N636" s="1656"/>
      <c r="O636" s="1656"/>
      <c r="P636" s="1656"/>
      <c r="Q636" s="1470"/>
      <c r="R636" s="1471"/>
      <c r="S636" s="1472"/>
      <c r="T636" s="1470"/>
      <c r="U636" s="1471"/>
      <c r="V636" s="1472"/>
      <c r="W636" s="1483"/>
      <c r="X636" s="1484"/>
      <c r="Y636" s="1485"/>
      <c r="Z636" s="1486" t="s">
        <v>1183</v>
      </c>
      <c r="AA636" s="1487"/>
      <c r="AB636" s="1488"/>
      <c r="AC636" s="1507"/>
      <c r="AD636" s="1508"/>
      <c r="AE636" s="1509"/>
      <c r="AF636" s="1504"/>
      <c r="AG636" s="1505"/>
      <c r="AH636" s="1505"/>
      <c r="AI636" s="1505"/>
      <c r="AJ636" s="1506"/>
      <c r="AK636" s="1473"/>
      <c r="AL636" s="1474"/>
      <c r="AM636" s="1474"/>
      <c r="AN636" s="1475"/>
      <c r="AO636" s="1489">
        <v>4093118</v>
      </c>
      <c r="AP636" s="1490"/>
      <c r="AQ636" s="1490"/>
      <c r="AR636" s="1490"/>
      <c r="AS636" s="1491"/>
      <c r="AT636" s="1137" t="str">
        <f>IF(AND(NOT(C635=""),C636="",NOT(C637="")),"!","")</f>
        <v/>
      </c>
      <c r="AU636" s="3"/>
      <c r="AZ636" s="3"/>
      <c r="BA636" s="3"/>
      <c r="BB636" s="3"/>
      <c r="BC636" s="3"/>
      <c r="BD636" s="3"/>
    </row>
    <row r="637" spans="1:56" ht="12.9" customHeight="1">
      <c r="B637" s="52" t="s">
        <v>119</v>
      </c>
      <c r="C637" s="1503" t="s">
        <v>2805</v>
      </c>
      <c r="D637" s="1503"/>
      <c r="E637" s="1503"/>
      <c r="F637" s="1503"/>
      <c r="G637" s="1503"/>
      <c r="H637" s="1503"/>
      <c r="I637" s="1503"/>
      <c r="J637" s="1503"/>
      <c r="K637" s="1503"/>
      <c r="L637" s="1503"/>
      <c r="M637" s="1656" t="s">
        <v>2056</v>
      </c>
      <c r="N637" s="1656"/>
      <c r="O637" s="1656"/>
      <c r="P637" s="1656"/>
      <c r="Q637" s="1470"/>
      <c r="R637" s="1471"/>
      <c r="S637" s="1472"/>
      <c r="T637" s="1470"/>
      <c r="U637" s="1471"/>
      <c r="V637" s="1472"/>
      <c r="W637" s="1483"/>
      <c r="X637" s="1484"/>
      <c r="Y637" s="1485"/>
      <c r="Z637" s="1486" t="s">
        <v>1183</v>
      </c>
      <c r="AA637" s="1487"/>
      <c r="AB637" s="1488"/>
      <c r="AC637" s="1507"/>
      <c r="AD637" s="1508"/>
      <c r="AE637" s="1509"/>
      <c r="AF637" s="1504"/>
      <c r="AG637" s="1505"/>
      <c r="AH637" s="1505"/>
      <c r="AI637" s="1505"/>
      <c r="AJ637" s="1506"/>
      <c r="AK637" s="1473"/>
      <c r="AL637" s="1474"/>
      <c r="AM637" s="1474"/>
      <c r="AN637" s="1475"/>
      <c r="AO637" s="1489">
        <v>11664286</v>
      </c>
      <c r="AP637" s="1490"/>
      <c r="AQ637" s="1490"/>
      <c r="AR637" s="1490"/>
      <c r="AS637" s="1491"/>
      <c r="AT637" s="1137" t="str">
        <f t="shared" ref="AT637:AT646" si="3">IF(AND(NOT(C636=""),C637="",NOT(C638="")),"!","")</f>
        <v/>
      </c>
      <c r="AU637" s="3"/>
      <c r="AZ637" s="3"/>
      <c r="BA637" s="3"/>
      <c r="BB637" s="3"/>
      <c r="BC637" s="3"/>
      <c r="BD637" s="3"/>
    </row>
    <row r="638" spans="1:56" ht="12.9" customHeight="1">
      <c r="B638" s="52" t="s">
        <v>581</v>
      </c>
      <c r="C638" s="1476"/>
      <c r="D638" s="1476"/>
      <c r="E638" s="1476"/>
      <c r="F638" s="1476"/>
      <c r="G638" s="1476"/>
      <c r="H638" s="1476"/>
      <c r="I638" s="1476"/>
      <c r="J638" s="1476"/>
      <c r="K638" s="1476"/>
      <c r="L638" s="1476"/>
      <c r="M638" s="1656" t="s">
        <v>1183</v>
      </c>
      <c r="N638" s="1656"/>
      <c r="O638" s="1656"/>
      <c r="P638" s="1656"/>
      <c r="Q638" s="1470"/>
      <c r="R638" s="1471"/>
      <c r="S638" s="1472"/>
      <c r="T638" s="1470"/>
      <c r="U638" s="1471"/>
      <c r="V638" s="1472"/>
      <c r="W638" s="1483"/>
      <c r="X638" s="1484"/>
      <c r="Y638" s="1485"/>
      <c r="Z638" s="1486" t="s">
        <v>1183</v>
      </c>
      <c r="AA638" s="1487"/>
      <c r="AB638" s="1488"/>
      <c r="AC638" s="1507"/>
      <c r="AD638" s="1508"/>
      <c r="AE638" s="1509"/>
      <c r="AF638" s="1504"/>
      <c r="AG638" s="1505"/>
      <c r="AH638" s="1505"/>
      <c r="AI638" s="1505"/>
      <c r="AJ638" s="1506"/>
      <c r="AK638" s="1473"/>
      <c r="AL638" s="1474"/>
      <c r="AM638" s="1474"/>
      <c r="AN638" s="1475"/>
      <c r="AO638" s="1489"/>
      <c r="AP638" s="1490"/>
      <c r="AQ638" s="1490"/>
      <c r="AR638" s="1490"/>
      <c r="AS638" s="1491"/>
      <c r="AT638" s="1137" t="str">
        <f t="shared" si="3"/>
        <v/>
      </c>
      <c r="AU638" s="3"/>
      <c r="AZ638" s="3"/>
      <c r="BA638" s="3"/>
      <c r="BB638" s="3"/>
      <c r="BC638" s="3"/>
      <c r="BD638" s="3"/>
    </row>
    <row r="639" spans="1:56" ht="12.9" customHeight="1">
      <c r="B639" s="52" t="s">
        <v>763</v>
      </c>
      <c r="C639" s="1476"/>
      <c r="D639" s="1476"/>
      <c r="E639" s="1476"/>
      <c r="F639" s="1476"/>
      <c r="G639" s="1476"/>
      <c r="H639" s="1476"/>
      <c r="I639" s="1476"/>
      <c r="J639" s="1476"/>
      <c r="K639" s="1476"/>
      <c r="L639" s="1476"/>
      <c r="M639" s="1656" t="s">
        <v>1183</v>
      </c>
      <c r="N639" s="1656"/>
      <c r="O639" s="1656"/>
      <c r="P639" s="1656"/>
      <c r="Q639" s="1470"/>
      <c r="R639" s="1471"/>
      <c r="S639" s="1472"/>
      <c r="T639" s="1470"/>
      <c r="U639" s="1471"/>
      <c r="V639" s="1472"/>
      <c r="W639" s="1483"/>
      <c r="X639" s="1484"/>
      <c r="Y639" s="1485"/>
      <c r="Z639" s="1486" t="s">
        <v>1183</v>
      </c>
      <c r="AA639" s="1487"/>
      <c r="AB639" s="1488"/>
      <c r="AC639" s="1507"/>
      <c r="AD639" s="1508"/>
      <c r="AE639" s="1509"/>
      <c r="AF639" s="1504"/>
      <c r="AG639" s="1505"/>
      <c r="AH639" s="1505"/>
      <c r="AI639" s="1505"/>
      <c r="AJ639" s="1506"/>
      <c r="AK639" s="1473"/>
      <c r="AL639" s="1474"/>
      <c r="AM639" s="1474"/>
      <c r="AN639" s="1475"/>
      <c r="AO639" s="1489"/>
      <c r="AP639" s="1490"/>
      <c r="AQ639" s="1490"/>
      <c r="AR639" s="1490"/>
      <c r="AS639" s="1491"/>
      <c r="AT639" s="1137" t="str">
        <f t="shared" si="3"/>
        <v/>
      </c>
      <c r="AU639" s="3"/>
      <c r="AZ639" s="3"/>
      <c r="BA639" s="3"/>
      <c r="BB639" s="3"/>
      <c r="BC639" s="3"/>
      <c r="BD639" s="3"/>
    </row>
    <row r="640" spans="1:56" ht="12.9" customHeight="1">
      <c r="B640" s="52" t="s">
        <v>584</v>
      </c>
      <c r="C640" s="1476"/>
      <c r="D640" s="1476"/>
      <c r="E640" s="1476"/>
      <c r="F640" s="1476"/>
      <c r="G640" s="1476"/>
      <c r="H640" s="1476"/>
      <c r="I640" s="1476"/>
      <c r="J640" s="1476"/>
      <c r="K640" s="1476"/>
      <c r="L640" s="1476"/>
      <c r="M640" s="1656" t="s">
        <v>1183</v>
      </c>
      <c r="N640" s="1656"/>
      <c r="O640" s="1656"/>
      <c r="P640" s="1656"/>
      <c r="Q640" s="1470"/>
      <c r="R640" s="1471"/>
      <c r="S640" s="1472"/>
      <c r="T640" s="1470"/>
      <c r="U640" s="1471"/>
      <c r="V640" s="1472"/>
      <c r="W640" s="1483"/>
      <c r="X640" s="1484"/>
      <c r="Y640" s="1485"/>
      <c r="Z640" s="1486" t="s">
        <v>1183</v>
      </c>
      <c r="AA640" s="1487"/>
      <c r="AB640" s="1488"/>
      <c r="AC640" s="1507"/>
      <c r="AD640" s="1508"/>
      <c r="AE640" s="1509"/>
      <c r="AF640" s="1504"/>
      <c r="AG640" s="1505"/>
      <c r="AH640" s="1505"/>
      <c r="AI640" s="1505"/>
      <c r="AJ640" s="1506"/>
      <c r="AK640" s="1473"/>
      <c r="AL640" s="1474"/>
      <c r="AM640" s="1474"/>
      <c r="AN640" s="1475"/>
      <c r="AO640" s="1489"/>
      <c r="AP640" s="1490"/>
      <c r="AQ640" s="1490"/>
      <c r="AR640" s="1490"/>
      <c r="AS640" s="1491"/>
      <c r="AT640" s="1137" t="str">
        <f t="shared" si="3"/>
        <v/>
      </c>
      <c r="AU640" s="3"/>
      <c r="AZ640" s="3"/>
      <c r="BA640" s="3"/>
      <c r="BB640" s="3"/>
      <c r="BC640" s="3"/>
      <c r="BD640" s="3"/>
    </row>
    <row r="641" spans="1:157" ht="12.9" customHeight="1">
      <c r="B641" s="52" t="s">
        <v>455</v>
      </c>
      <c r="C641" s="1476"/>
      <c r="D641" s="1476"/>
      <c r="E641" s="1476"/>
      <c r="F641" s="1476"/>
      <c r="G641" s="1476"/>
      <c r="H641" s="1476"/>
      <c r="I641" s="1476"/>
      <c r="J641" s="1476"/>
      <c r="K641" s="1476"/>
      <c r="L641" s="1476"/>
      <c r="M641" s="1656" t="s">
        <v>1183</v>
      </c>
      <c r="N641" s="1656"/>
      <c r="O641" s="1656"/>
      <c r="P641" s="1656"/>
      <c r="Q641" s="1470"/>
      <c r="R641" s="1471"/>
      <c r="S641" s="1472"/>
      <c r="T641" s="1470"/>
      <c r="U641" s="1471"/>
      <c r="V641" s="1472"/>
      <c r="W641" s="1483"/>
      <c r="X641" s="1484"/>
      <c r="Y641" s="1485"/>
      <c r="Z641" s="1486" t="s">
        <v>1183</v>
      </c>
      <c r="AA641" s="1487"/>
      <c r="AB641" s="1488"/>
      <c r="AC641" s="1507"/>
      <c r="AD641" s="1508"/>
      <c r="AE641" s="1509"/>
      <c r="AF641" s="1504"/>
      <c r="AG641" s="1505"/>
      <c r="AH641" s="1505"/>
      <c r="AI641" s="1505"/>
      <c r="AJ641" s="1506"/>
      <c r="AK641" s="1473"/>
      <c r="AL641" s="1474"/>
      <c r="AM641" s="1474"/>
      <c r="AN641" s="1475"/>
      <c r="AO641" s="1489"/>
      <c r="AP641" s="1490"/>
      <c r="AQ641" s="1490"/>
      <c r="AR641" s="1490"/>
      <c r="AS641" s="1491"/>
      <c r="AT641" s="1137" t="str">
        <f t="shared" si="3"/>
        <v/>
      </c>
      <c r="AU641" s="3"/>
      <c r="AV641" s="3"/>
      <c r="AW641" s="3"/>
      <c r="AX641" s="3"/>
      <c r="AY641" s="3"/>
      <c r="AZ641" s="3"/>
      <c r="BA641" s="3"/>
      <c r="BB641" s="3"/>
      <c r="BC641" s="3"/>
      <c r="BD641" s="3"/>
    </row>
    <row r="642" spans="1:157" ht="12.9" customHeight="1">
      <c r="B642" s="52" t="s">
        <v>456</v>
      </c>
      <c r="C642" s="1476"/>
      <c r="D642" s="1476"/>
      <c r="E642" s="1476"/>
      <c r="F642" s="1476"/>
      <c r="G642" s="1476"/>
      <c r="H642" s="1476"/>
      <c r="I642" s="1476"/>
      <c r="J642" s="1476"/>
      <c r="K642" s="1476"/>
      <c r="L642" s="1476"/>
      <c r="M642" s="1656" t="s">
        <v>1183</v>
      </c>
      <c r="N642" s="1656"/>
      <c r="O642" s="1656"/>
      <c r="P642" s="1656"/>
      <c r="Q642" s="1470"/>
      <c r="R642" s="1471"/>
      <c r="S642" s="1472"/>
      <c r="T642" s="1470"/>
      <c r="U642" s="1471"/>
      <c r="V642" s="1472"/>
      <c r="W642" s="1483"/>
      <c r="X642" s="1484"/>
      <c r="Y642" s="1485"/>
      <c r="Z642" s="1486" t="s">
        <v>1183</v>
      </c>
      <c r="AA642" s="1487"/>
      <c r="AB642" s="1488"/>
      <c r="AC642" s="1507"/>
      <c r="AD642" s="1508"/>
      <c r="AE642" s="1509"/>
      <c r="AF642" s="1504"/>
      <c r="AG642" s="1505"/>
      <c r="AH642" s="1505"/>
      <c r="AI642" s="1505"/>
      <c r="AJ642" s="1506"/>
      <c r="AK642" s="1473"/>
      <c r="AL642" s="1474"/>
      <c r="AM642" s="1474"/>
      <c r="AN642" s="1475"/>
      <c r="AO642" s="1489"/>
      <c r="AP642" s="1490"/>
      <c r="AQ642" s="1490"/>
      <c r="AR642" s="1490"/>
      <c r="AS642" s="1491"/>
      <c r="AT642" s="1137" t="str">
        <f t="shared" si="3"/>
        <v/>
      </c>
      <c r="AU642" s="3"/>
      <c r="AV642" s="3"/>
      <c r="AW642" s="3"/>
      <c r="AX642" s="3"/>
      <c r="AY642" s="3"/>
      <c r="AZ642" s="3"/>
      <c r="BA642" s="3" t="s">
        <v>1183</v>
      </c>
      <c r="BB642" s="3"/>
      <c r="BC642" s="3"/>
      <c r="BD642" s="3"/>
    </row>
    <row r="643" spans="1:157" ht="12.9" customHeight="1">
      <c r="B643" s="52" t="s">
        <v>461</v>
      </c>
      <c r="C643" s="1476"/>
      <c r="D643" s="1476"/>
      <c r="E643" s="1476"/>
      <c r="F643" s="1476"/>
      <c r="G643" s="1476"/>
      <c r="H643" s="1476"/>
      <c r="I643" s="1476"/>
      <c r="J643" s="1476"/>
      <c r="K643" s="1476"/>
      <c r="L643" s="1476"/>
      <c r="M643" s="1656" t="s">
        <v>1183</v>
      </c>
      <c r="N643" s="1656"/>
      <c r="O643" s="1656"/>
      <c r="P643" s="1656"/>
      <c r="Q643" s="1470"/>
      <c r="R643" s="1471"/>
      <c r="S643" s="1472"/>
      <c r="T643" s="1470"/>
      <c r="U643" s="1471"/>
      <c r="V643" s="1472"/>
      <c r="W643" s="1483"/>
      <c r="X643" s="1484"/>
      <c r="Y643" s="1485"/>
      <c r="Z643" s="1486" t="s">
        <v>1183</v>
      </c>
      <c r="AA643" s="1487"/>
      <c r="AB643" s="1488"/>
      <c r="AC643" s="1507"/>
      <c r="AD643" s="1508"/>
      <c r="AE643" s="1509"/>
      <c r="AF643" s="1504"/>
      <c r="AG643" s="1505"/>
      <c r="AH643" s="1505"/>
      <c r="AI643" s="1505"/>
      <c r="AJ643" s="1506"/>
      <c r="AK643" s="1473"/>
      <c r="AL643" s="1474"/>
      <c r="AM643" s="1474"/>
      <c r="AN643" s="1475"/>
      <c r="AO643" s="1489"/>
      <c r="AP643" s="1490"/>
      <c r="AQ643" s="1490"/>
      <c r="AR643" s="1490"/>
      <c r="AS643" s="1491"/>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11">
        <f t="shared" ref="DX643:DX677" si="4">EZ726*(CP726/$CP$761)</f>
        <v>108</v>
      </c>
      <c r="DY643" s="1511"/>
      <c r="DZ643" s="1511"/>
      <c r="EA643" s="1511"/>
      <c r="EB643" s="1511"/>
      <c r="EC643" s="1511" t="e">
        <f t="shared" ref="EC643:EC677" si="5">FE726*(CU726/$CU$761)</f>
        <v>#VALUE!</v>
      </c>
      <c r="ED643" s="1511"/>
      <c r="EE643" s="1511"/>
      <c r="EF643" s="1511"/>
      <c r="EG643" s="1511"/>
      <c r="EH643" s="1511" t="e">
        <f t="shared" ref="EH643:EH677" si="6">FJ726*(CZ726/$CZ$761)</f>
        <v>#VALUE!</v>
      </c>
      <c r="EI643" s="1511"/>
      <c r="EJ643" s="1511"/>
      <c r="EK643" s="1511"/>
      <c r="EL643" s="1511"/>
      <c r="EM643" s="1511" t="e">
        <f t="shared" ref="EM643:EM677" si="7">FO726*(DE726/$DE$761)</f>
        <v>#VALUE!</v>
      </c>
      <c r="EN643" s="1511"/>
      <c r="EO643" s="1511"/>
      <c r="EP643" s="1511"/>
      <c r="EQ643" s="1511"/>
      <c r="ER643" s="1511" t="e">
        <f t="shared" ref="ER643:ER677" si="8">FT726*(DJ726/$DJ$761)</f>
        <v>#VALUE!</v>
      </c>
      <c r="ES643" s="1511"/>
      <c r="ET643" s="1511"/>
      <c r="EU643" s="1511"/>
      <c r="EV643" s="1511"/>
      <c r="EW643" s="1511" t="e">
        <f t="shared" ref="EW643:EW677" si="9">FY726*(DO726/$DO$761)</f>
        <v>#VALUE!</v>
      </c>
      <c r="EX643" s="1511"/>
      <c r="EY643" s="1511"/>
      <c r="EZ643" s="1511"/>
      <c r="FA643" s="1511"/>
    </row>
    <row r="644" spans="1:157" ht="12.9" customHeight="1">
      <c r="B644" s="52" t="s">
        <v>646</v>
      </c>
      <c r="C644" s="1476"/>
      <c r="D644" s="1476"/>
      <c r="E644" s="1476"/>
      <c r="F644" s="1476"/>
      <c r="G644" s="1476"/>
      <c r="H644" s="1476"/>
      <c r="I644" s="1476"/>
      <c r="J644" s="1476"/>
      <c r="K644" s="1476"/>
      <c r="L644" s="1476"/>
      <c r="M644" s="1656" t="s">
        <v>1183</v>
      </c>
      <c r="N644" s="1656"/>
      <c r="O644" s="1656"/>
      <c r="P644" s="1656"/>
      <c r="Q644" s="1470"/>
      <c r="R644" s="1471"/>
      <c r="S644" s="1472"/>
      <c r="T644" s="1470"/>
      <c r="U644" s="1471"/>
      <c r="V644" s="1472"/>
      <c r="W644" s="1483"/>
      <c r="X644" s="1484"/>
      <c r="Y644" s="1485"/>
      <c r="Z644" s="1486" t="s">
        <v>1183</v>
      </c>
      <c r="AA644" s="1487"/>
      <c r="AB644" s="1488"/>
      <c r="AC644" s="1507"/>
      <c r="AD644" s="1508"/>
      <c r="AE644" s="1509"/>
      <c r="AF644" s="1504"/>
      <c r="AG644" s="1505"/>
      <c r="AH644" s="1505"/>
      <c r="AI644" s="1505"/>
      <c r="AJ644" s="1506"/>
      <c r="AK644" s="1473"/>
      <c r="AL644" s="1474"/>
      <c r="AM644" s="1474"/>
      <c r="AN644" s="1475"/>
      <c r="AO644" s="1489"/>
      <c r="AP644" s="1490"/>
      <c r="AQ644" s="1490"/>
      <c r="AR644" s="1490"/>
      <c r="AS644" s="1491"/>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11">
        <f t="shared" si="4"/>
        <v>180.11764705882354</v>
      </c>
      <c r="DY644" s="1511"/>
      <c r="DZ644" s="1511"/>
      <c r="EA644" s="1511"/>
      <c r="EB644" s="1511"/>
      <c r="EC644" s="1511" t="e">
        <f t="shared" si="5"/>
        <v>#VALUE!</v>
      </c>
      <c r="ED644" s="1511"/>
      <c r="EE644" s="1511"/>
      <c r="EF644" s="1511"/>
      <c r="EG644" s="1511"/>
      <c r="EH644" s="1511" t="e">
        <f t="shared" si="6"/>
        <v>#VALUE!</v>
      </c>
      <c r="EI644" s="1511"/>
      <c r="EJ644" s="1511"/>
      <c r="EK644" s="1511"/>
      <c r="EL644" s="1511"/>
      <c r="EM644" s="1511" t="e">
        <f t="shared" si="7"/>
        <v>#VALUE!</v>
      </c>
      <c r="EN644" s="1511"/>
      <c r="EO644" s="1511"/>
      <c r="EP644" s="1511"/>
      <c r="EQ644" s="1511"/>
      <c r="ER644" s="1511" t="e">
        <f t="shared" si="8"/>
        <v>#VALUE!</v>
      </c>
      <c r="ES644" s="1511"/>
      <c r="ET644" s="1511"/>
      <c r="EU644" s="1511"/>
      <c r="EV644" s="1511"/>
      <c r="EW644" s="1511" t="e">
        <f t="shared" si="9"/>
        <v>#VALUE!</v>
      </c>
      <c r="EX644" s="1511"/>
      <c r="EY644" s="1511"/>
      <c r="EZ644" s="1511"/>
      <c r="FA644" s="1511"/>
    </row>
    <row r="645" spans="1:157" ht="12.9" customHeight="1">
      <c r="B645" s="52" t="s">
        <v>362</v>
      </c>
      <c r="C645" s="1476"/>
      <c r="D645" s="1476"/>
      <c r="E645" s="1476"/>
      <c r="F645" s="1476"/>
      <c r="G645" s="1476"/>
      <c r="H645" s="1476"/>
      <c r="I645" s="1476"/>
      <c r="J645" s="1476"/>
      <c r="K645" s="1476"/>
      <c r="L645" s="1476"/>
      <c r="M645" s="1656" t="s">
        <v>1183</v>
      </c>
      <c r="N645" s="1656"/>
      <c r="O645" s="1656"/>
      <c r="P645" s="1656"/>
      <c r="Q645" s="1470"/>
      <c r="R645" s="1471"/>
      <c r="S645" s="1472"/>
      <c r="T645" s="1470"/>
      <c r="U645" s="1471"/>
      <c r="V645" s="1472"/>
      <c r="W645" s="1483"/>
      <c r="X645" s="1484"/>
      <c r="Y645" s="1485"/>
      <c r="Z645" s="1486" t="s">
        <v>1183</v>
      </c>
      <c r="AA645" s="1487"/>
      <c r="AB645" s="1488"/>
      <c r="AC645" s="1507"/>
      <c r="AD645" s="1508"/>
      <c r="AE645" s="1509"/>
      <c r="AF645" s="1504"/>
      <c r="AG645" s="1505"/>
      <c r="AH645" s="1505"/>
      <c r="AI645" s="1505"/>
      <c r="AJ645" s="1506"/>
      <c r="AK645" s="1473"/>
      <c r="AL645" s="1474"/>
      <c r="AM645" s="1474"/>
      <c r="AN645" s="1475"/>
      <c r="AO645" s="1489"/>
      <c r="AP645" s="1490"/>
      <c r="AQ645" s="1490"/>
      <c r="AR645" s="1490"/>
      <c r="AS645" s="1491"/>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511">
        <f t="shared" si="4"/>
        <v>216.11764705882354</v>
      </c>
      <c r="DY645" s="1511"/>
      <c r="DZ645" s="1511"/>
      <c r="EA645" s="1511"/>
      <c r="EB645" s="1511"/>
      <c r="EC645" s="1511" t="e">
        <f t="shared" si="5"/>
        <v>#VALUE!</v>
      </c>
      <c r="ED645" s="1511"/>
      <c r="EE645" s="1511"/>
      <c r="EF645" s="1511"/>
      <c r="EG645" s="1511"/>
      <c r="EH645" s="1511" t="e">
        <f t="shared" si="6"/>
        <v>#VALUE!</v>
      </c>
      <c r="EI645" s="1511"/>
      <c r="EJ645" s="1511"/>
      <c r="EK645" s="1511"/>
      <c r="EL645" s="1511"/>
      <c r="EM645" s="1511" t="e">
        <f t="shared" si="7"/>
        <v>#VALUE!</v>
      </c>
      <c r="EN645" s="1511"/>
      <c r="EO645" s="1511"/>
      <c r="EP645" s="1511"/>
      <c r="EQ645" s="1511"/>
      <c r="ER645" s="1511" t="e">
        <f t="shared" si="8"/>
        <v>#VALUE!</v>
      </c>
      <c r="ES645" s="1511"/>
      <c r="ET645" s="1511"/>
      <c r="EU645" s="1511"/>
      <c r="EV645" s="1511"/>
      <c r="EW645" s="1511" t="e">
        <f t="shared" si="9"/>
        <v>#VALUE!</v>
      </c>
      <c r="EX645" s="1511"/>
      <c r="EY645" s="1511"/>
      <c r="EZ645" s="1511"/>
      <c r="FA645" s="1511"/>
    </row>
    <row r="646" spans="1:157" ht="12.9" customHeight="1">
      <c r="B646" s="52" t="s">
        <v>363</v>
      </c>
      <c r="C646" s="1476"/>
      <c r="D646" s="1476"/>
      <c r="E646" s="1476"/>
      <c r="F646" s="1476"/>
      <c r="G646" s="1476"/>
      <c r="H646" s="1476"/>
      <c r="I646" s="1476"/>
      <c r="J646" s="1476"/>
      <c r="K646" s="1476"/>
      <c r="L646" s="1476"/>
      <c r="M646" s="1656" t="s">
        <v>1183</v>
      </c>
      <c r="N646" s="1656"/>
      <c r="O646" s="1656"/>
      <c r="P646" s="1656"/>
      <c r="Q646" s="1470"/>
      <c r="R646" s="1471"/>
      <c r="S646" s="1472"/>
      <c r="T646" s="1470"/>
      <c r="U646" s="1471"/>
      <c r="V646" s="1472"/>
      <c r="W646" s="1483"/>
      <c r="X646" s="1484"/>
      <c r="Y646" s="1485"/>
      <c r="Z646" s="1486" t="s">
        <v>1183</v>
      </c>
      <c r="AA646" s="1487"/>
      <c r="AB646" s="1488"/>
      <c r="AC646" s="1507"/>
      <c r="AD646" s="1508"/>
      <c r="AE646" s="1509"/>
      <c r="AF646" s="1504"/>
      <c r="AG646" s="1505"/>
      <c r="AH646" s="1505"/>
      <c r="AI646" s="1505"/>
      <c r="AJ646" s="1506"/>
      <c r="AK646" s="1473"/>
      <c r="AL646" s="1474"/>
      <c r="AM646" s="1474"/>
      <c r="AN646" s="1475"/>
      <c r="AO646" s="1489"/>
      <c r="AP646" s="1490"/>
      <c r="AQ646" s="1490"/>
      <c r="AR646" s="1490"/>
      <c r="AS646" s="1491"/>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11">
        <f t="shared" si="4"/>
        <v>1585.294117647059</v>
      </c>
      <c r="DY646" s="1511"/>
      <c r="DZ646" s="1511"/>
      <c r="EA646" s="1511"/>
      <c r="EB646" s="1511"/>
      <c r="EC646" s="1511" t="e">
        <f t="shared" si="5"/>
        <v>#VALUE!</v>
      </c>
      <c r="ED646" s="1511"/>
      <c r="EE646" s="1511"/>
      <c r="EF646" s="1511"/>
      <c r="EG646" s="1511"/>
      <c r="EH646" s="1511" t="e">
        <f t="shared" si="6"/>
        <v>#VALUE!</v>
      </c>
      <c r="EI646" s="1511"/>
      <c r="EJ646" s="1511"/>
      <c r="EK646" s="1511"/>
      <c r="EL646" s="1511"/>
      <c r="EM646" s="1511" t="e">
        <f t="shared" si="7"/>
        <v>#VALUE!</v>
      </c>
      <c r="EN646" s="1511"/>
      <c r="EO646" s="1511"/>
      <c r="EP646" s="1511"/>
      <c r="EQ646" s="1511"/>
      <c r="ER646" s="1511" t="e">
        <f t="shared" si="8"/>
        <v>#VALUE!</v>
      </c>
      <c r="ES646" s="1511"/>
      <c r="ET646" s="1511"/>
      <c r="EU646" s="1511"/>
      <c r="EV646" s="1511"/>
      <c r="EW646" s="1511" t="e">
        <f t="shared" si="9"/>
        <v>#VALUE!</v>
      </c>
      <c r="EX646" s="1511"/>
      <c r="EY646" s="1511"/>
      <c r="EZ646" s="1511"/>
      <c r="FA646" s="1511"/>
    </row>
    <row r="647" spans="1:157" ht="12.9" customHeight="1">
      <c r="B647" s="1512" t="s">
        <v>128</v>
      </c>
      <c r="C647" s="1513"/>
      <c r="D647" s="1513"/>
      <c r="E647" s="1513"/>
      <c r="F647" s="1513"/>
      <c r="G647" s="1513"/>
      <c r="H647" s="1513"/>
      <c r="I647" s="1513"/>
      <c r="J647" s="1513"/>
      <c r="K647" s="1513"/>
      <c r="L647" s="1513"/>
      <c r="M647" s="1513"/>
      <c r="N647" s="1513"/>
      <c r="O647" s="1513"/>
      <c r="P647" s="1513"/>
      <c r="Q647" s="1513"/>
      <c r="R647" s="1513"/>
      <c r="S647" s="1513"/>
      <c r="T647" s="1513"/>
      <c r="U647" s="1513"/>
      <c r="V647" s="1513"/>
      <c r="W647" s="1513"/>
      <c r="X647" s="1513"/>
      <c r="Y647" s="1513"/>
      <c r="Z647" s="1513"/>
      <c r="AA647" s="1513"/>
      <c r="AB647" s="1513"/>
      <c r="AC647" s="1513"/>
      <c r="AD647" s="1513"/>
      <c r="AE647" s="1513"/>
      <c r="AF647" s="1513"/>
      <c r="AG647" s="1513"/>
      <c r="AH647" s="1513"/>
      <c r="AI647" s="1513"/>
      <c r="AJ647" s="1513"/>
      <c r="AK647" s="1513"/>
      <c r="AL647" s="1513"/>
      <c r="AM647" s="1513"/>
      <c r="AN647" s="1514"/>
      <c r="AO647" s="1450">
        <f>SUM(AO635:AR646)</f>
        <v>67012404</v>
      </c>
      <c r="AP647" s="1451"/>
      <c r="AQ647" s="1451"/>
      <c r="AR647" s="1451"/>
      <c r="AS647" s="1452"/>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11" t="e">
        <f t="shared" si="4"/>
        <v>#VALUE!</v>
      </c>
      <c r="DY647" s="1511"/>
      <c r="DZ647" s="1511"/>
      <c r="EA647" s="1511"/>
      <c r="EB647" s="1511"/>
      <c r="EC647" s="1511">
        <f t="shared" si="5"/>
        <v>85.153846153846146</v>
      </c>
      <c r="ED647" s="1511"/>
      <c r="EE647" s="1511"/>
      <c r="EF647" s="1511"/>
      <c r="EG647" s="1511"/>
      <c r="EH647" s="1511" t="e">
        <f t="shared" si="6"/>
        <v>#VALUE!</v>
      </c>
      <c r="EI647" s="1511"/>
      <c r="EJ647" s="1511"/>
      <c r="EK647" s="1511"/>
      <c r="EL647" s="1511"/>
      <c r="EM647" s="1511" t="e">
        <f t="shared" si="7"/>
        <v>#VALUE!</v>
      </c>
      <c r="EN647" s="1511"/>
      <c r="EO647" s="1511"/>
      <c r="EP647" s="1511"/>
      <c r="EQ647" s="1511"/>
      <c r="ER647" s="1511" t="e">
        <f t="shared" si="8"/>
        <v>#VALUE!</v>
      </c>
      <c r="ES647" s="1511"/>
      <c r="ET647" s="1511"/>
      <c r="EU647" s="1511"/>
      <c r="EV647" s="1511"/>
      <c r="EW647" s="1511" t="e">
        <f t="shared" si="9"/>
        <v>#VALUE!</v>
      </c>
      <c r="EX647" s="1511"/>
      <c r="EY647" s="1511"/>
      <c r="EZ647" s="1511"/>
      <c r="FA647" s="1511"/>
    </row>
    <row r="648" spans="1:157" ht="12.9" customHeight="1">
      <c r="B648" s="1512" t="s">
        <v>267</v>
      </c>
      <c r="C648" s="1513"/>
      <c r="D648" s="1513"/>
      <c r="E648" s="1513"/>
      <c r="F648" s="1513"/>
      <c r="G648" s="1513"/>
      <c r="H648" s="1513"/>
      <c r="I648" s="1513"/>
      <c r="J648" s="1513"/>
      <c r="K648" s="1513"/>
      <c r="L648" s="1513"/>
      <c r="M648" s="1513"/>
      <c r="N648" s="1513"/>
      <c r="O648" s="1513"/>
      <c r="P648" s="1513"/>
      <c r="Q648" s="1513"/>
      <c r="R648" s="1513"/>
      <c r="S648" s="1513"/>
      <c r="T648" s="1513"/>
      <c r="U648" s="1513"/>
      <c r="V648" s="1513"/>
      <c r="W648" s="1513"/>
      <c r="X648" s="1513"/>
      <c r="Y648" s="1513"/>
      <c r="Z648" s="1513"/>
      <c r="AA648" s="1513"/>
      <c r="AB648" s="1513"/>
      <c r="AC648" s="1513"/>
      <c r="AD648" s="1513"/>
      <c r="AE648" s="1513"/>
      <c r="AF648" s="1513"/>
      <c r="AG648" s="1513"/>
      <c r="AH648" s="1513"/>
      <c r="AI648" s="1513"/>
      <c r="AJ648" s="1513"/>
      <c r="AK648" s="1513"/>
      <c r="AL648" s="1513"/>
      <c r="AM648" s="1513"/>
      <c r="AN648" s="1514"/>
      <c r="AO648" s="1489">
        <v>37186128</v>
      </c>
      <c r="AP648" s="1490"/>
      <c r="AQ648" s="1490"/>
      <c r="AR648" s="1490"/>
      <c r="AS648" s="1491"/>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11" t="e">
        <f t="shared" si="4"/>
        <v>#VALUE!</v>
      </c>
      <c r="DY648" s="1511"/>
      <c r="DZ648" s="1511"/>
      <c r="EA648" s="1511"/>
      <c r="EB648" s="1511"/>
      <c r="EC648" s="1511">
        <f t="shared" si="5"/>
        <v>173.46153846153845</v>
      </c>
      <c r="ED648" s="1511"/>
      <c r="EE648" s="1511"/>
      <c r="EF648" s="1511"/>
      <c r="EG648" s="1511"/>
      <c r="EH648" s="1511" t="e">
        <f t="shared" si="6"/>
        <v>#VALUE!</v>
      </c>
      <c r="EI648" s="1511"/>
      <c r="EJ648" s="1511"/>
      <c r="EK648" s="1511"/>
      <c r="EL648" s="1511"/>
      <c r="EM648" s="1511" t="e">
        <f t="shared" si="7"/>
        <v>#VALUE!</v>
      </c>
      <c r="EN648" s="1511"/>
      <c r="EO648" s="1511"/>
      <c r="EP648" s="1511"/>
      <c r="EQ648" s="1511"/>
      <c r="ER648" s="1511" t="e">
        <f t="shared" si="8"/>
        <v>#VALUE!</v>
      </c>
      <c r="ES648" s="1511"/>
      <c r="ET648" s="1511"/>
      <c r="EU648" s="1511"/>
      <c r="EV648" s="1511"/>
      <c r="EW648" s="1511" t="e">
        <f t="shared" si="9"/>
        <v>#VALUE!</v>
      </c>
      <c r="EX648" s="1511"/>
      <c r="EY648" s="1511"/>
      <c r="EZ648" s="1511"/>
      <c r="FA648" s="1511"/>
    </row>
    <row r="649" spans="1:157" ht="12.9" customHeight="1">
      <c r="B649" s="1706" t="s">
        <v>268</v>
      </c>
      <c r="C649" s="1707"/>
      <c r="D649" s="1707"/>
      <c r="E649" s="1707"/>
      <c r="F649" s="1707"/>
      <c r="G649" s="1707"/>
      <c r="H649" s="1707"/>
      <c r="I649" s="1707"/>
      <c r="J649" s="1707"/>
      <c r="K649" s="1707"/>
      <c r="L649" s="1707"/>
      <c r="M649" s="1707"/>
      <c r="N649" s="1707"/>
      <c r="O649" s="1707"/>
      <c r="P649" s="1707"/>
      <c r="Q649" s="1707"/>
      <c r="R649" s="1707"/>
      <c r="S649" s="1707"/>
      <c r="T649" s="1707"/>
      <c r="U649" s="1707"/>
      <c r="V649" s="1707"/>
      <c r="W649" s="1707"/>
      <c r="X649" s="1707"/>
      <c r="Y649" s="1707"/>
      <c r="Z649" s="1707"/>
      <c r="AA649" s="1707"/>
      <c r="AB649" s="1707"/>
      <c r="AC649" s="1707"/>
      <c r="AD649" s="1707"/>
      <c r="AE649" s="1707"/>
      <c r="AF649" s="1707"/>
      <c r="AG649" s="1707"/>
      <c r="AH649" s="1707"/>
      <c r="AI649" s="1707"/>
      <c r="AJ649" s="1707"/>
      <c r="AK649" s="1707"/>
      <c r="AL649" s="1707"/>
      <c r="AM649" s="1707"/>
      <c r="AN649" s="1708"/>
      <c r="AO649" s="1450">
        <f>AO647+AO648</f>
        <v>104198532</v>
      </c>
      <c r="AP649" s="1451"/>
      <c r="AQ649" s="1451"/>
      <c r="AR649" s="1451"/>
      <c r="AS649" s="1452"/>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11" t="e">
        <f t="shared" si="4"/>
        <v>#VALUE!</v>
      </c>
      <c r="DY649" s="1511"/>
      <c r="DZ649" s="1511"/>
      <c r="EA649" s="1511"/>
      <c r="EB649" s="1511"/>
      <c r="EC649" s="1511">
        <f t="shared" si="5"/>
        <v>1324.6153846153848</v>
      </c>
      <c r="ED649" s="1511"/>
      <c r="EE649" s="1511"/>
      <c r="EF649" s="1511"/>
      <c r="EG649" s="1511"/>
      <c r="EH649" s="1511" t="e">
        <f t="shared" si="6"/>
        <v>#VALUE!</v>
      </c>
      <c r="EI649" s="1511"/>
      <c r="EJ649" s="1511"/>
      <c r="EK649" s="1511"/>
      <c r="EL649" s="1511"/>
      <c r="EM649" s="1511" t="e">
        <f t="shared" si="7"/>
        <v>#VALUE!</v>
      </c>
      <c r="EN649" s="1511"/>
      <c r="EO649" s="1511"/>
      <c r="EP649" s="1511"/>
      <c r="EQ649" s="1511"/>
      <c r="ER649" s="1511" t="e">
        <f t="shared" si="8"/>
        <v>#VALUE!</v>
      </c>
      <c r="ES649" s="1511"/>
      <c r="ET649" s="1511"/>
      <c r="EU649" s="1511"/>
      <c r="EV649" s="1511"/>
      <c r="EW649" s="1511" t="e">
        <f t="shared" si="9"/>
        <v>#VALUE!</v>
      </c>
      <c r="EX649" s="1511"/>
      <c r="EY649" s="1511"/>
      <c r="EZ649" s="1511"/>
      <c r="FA649" s="1511"/>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11" t="e">
        <f t="shared" si="4"/>
        <v>#VALUE!</v>
      </c>
      <c r="DY650" s="1511"/>
      <c r="DZ650" s="1511"/>
      <c r="EA650" s="1511"/>
      <c r="EB650" s="1511"/>
      <c r="EC650" s="1511">
        <f t="shared" si="5"/>
        <v>353.36538461538458</v>
      </c>
      <c r="ED650" s="1511"/>
      <c r="EE650" s="1511"/>
      <c r="EF650" s="1511"/>
      <c r="EG650" s="1511"/>
      <c r="EH650" s="1511" t="e">
        <f t="shared" si="6"/>
        <v>#VALUE!</v>
      </c>
      <c r="EI650" s="1511"/>
      <c r="EJ650" s="1511"/>
      <c r="EK650" s="1511"/>
      <c r="EL650" s="1511"/>
      <c r="EM650" s="1511" t="e">
        <f t="shared" si="7"/>
        <v>#VALUE!</v>
      </c>
      <c r="EN650" s="1511"/>
      <c r="EO650" s="1511"/>
      <c r="EP650" s="1511"/>
      <c r="EQ650" s="1511"/>
      <c r="ER650" s="1511" t="e">
        <f t="shared" si="8"/>
        <v>#VALUE!</v>
      </c>
      <c r="ES650" s="1511"/>
      <c r="ET650" s="1511"/>
      <c r="EU650" s="1511"/>
      <c r="EV650" s="1511"/>
      <c r="EW650" s="1511" t="e">
        <f t="shared" si="9"/>
        <v>#VALUE!</v>
      </c>
      <c r="EX650" s="1511"/>
      <c r="EY650" s="1511"/>
      <c r="EZ650" s="1511"/>
      <c r="FA650" s="1511"/>
    </row>
    <row r="651" spans="1:157" ht="12.9" customHeight="1">
      <c r="A651" s="55" t="s">
        <v>112</v>
      </c>
      <c r="B651" t="s">
        <v>463</v>
      </c>
      <c r="G651" s="1428" t="str">
        <f>C635</f>
        <v>Citibank, N.A.</v>
      </c>
      <c r="H651" s="1428"/>
      <c r="I651" s="1428"/>
      <c r="J651" s="1428"/>
      <c r="K651" s="1428"/>
      <c r="L651" s="1428"/>
      <c r="M651" s="1428"/>
      <c r="N651" s="1428"/>
      <c r="O651" s="1428"/>
      <c r="P651" s="1428"/>
      <c r="Q651" s="1428"/>
      <c r="R651" s="1428"/>
      <c r="S651" s="8"/>
      <c r="T651" s="55" t="s">
        <v>113</v>
      </c>
      <c r="U651" t="s">
        <v>463</v>
      </c>
      <c r="Z651" s="1428" t="str">
        <f>C636</f>
        <v>610 West by Vintage Partners, LLC</v>
      </c>
      <c r="AA651" s="1428"/>
      <c r="AB651" s="1428"/>
      <c r="AC651" s="1428"/>
      <c r="AD651" s="1428"/>
      <c r="AE651" s="1428"/>
      <c r="AF651" s="1428"/>
      <c r="AG651" s="1428"/>
      <c r="AH651" s="1428"/>
      <c r="AI651" s="1428"/>
      <c r="AJ651" s="1428"/>
      <c r="AK651" s="142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11" t="e">
        <f t="shared" si="4"/>
        <v>#VALUE!</v>
      </c>
      <c r="DY651" s="1511"/>
      <c r="DZ651" s="1511"/>
      <c r="EA651" s="1511"/>
      <c r="EB651" s="1511"/>
      <c r="EC651" s="1511" t="e">
        <f t="shared" si="5"/>
        <v>#VALUE!</v>
      </c>
      <c r="ED651" s="1511"/>
      <c r="EE651" s="1511"/>
      <c r="EF651" s="1511"/>
      <c r="EG651" s="1511"/>
      <c r="EH651" s="1511">
        <f t="shared" si="6"/>
        <v>161.04545454545453</v>
      </c>
      <c r="EI651" s="1511"/>
      <c r="EJ651" s="1511"/>
      <c r="EK651" s="1511"/>
      <c r="EL651" s="1511"/>
      <c r="EM651" s="1511" t="e">
        <f t="shared" si="7"/>
        <v>#VALUE!</v>
      </c>
      <c r="EN651" s="1511"/>
      <c r="EO651" s="1511"/>
      <c r="EP651" s="1511"/>
      <c r="EQ651" s="1511"/>
      <c r="ER651" s="1511" t="e">
        <f t="shared" si="8"/>
        <v>#VALUE!</v>
      </c>
      <c r="ES651" s="1511"/>
      <c r="ET651" s="1511"/>
      <c r="EU651" s="1511"/>
      <c r="EV651" s="1511"/>
      <c r="EW651" s="1511" t="e">
        <f t="shared" si="9"/>
        <v>#VALUE!</v>
      </c>
      <c r="EX651" s="1511"/>
      <c r="EY651" s="1511"/>
      <c r="EZ651" s="1511"/>
      <c r="FA651" s="1511"/>
    </row>
    <row r="652" spans="1:157" ht="12.9" customHeight="1">
      <c r="A652" s="22"/>
      <c r="B652" t="s">
        <v>85</v>
      </c>
      <c r="G652" s="1440" t="s">
        <v>2816</v>
      </c>
      <c r="H652" s="1440"/>
      <c r="I652" s="1440"/>
      <c r="J652" s="1440"/>
      <c r="K652" s="1440"/>
      <c r="L652" s="1440"/>
      <c r="M652" s="1440"/>
      <c r="N652" s="1440"/>
      <c r="O652" s="1440"/>
      <c r="P652" s="1440"/>
      <c r="Q652" s="1440"/>
      <c r="R652" s="1440"/>
      <c r="S652" s="8"/>
      <c r="T652" s="22"/>
      <c r="U652" t="s">
        <v>85</v>
      </c>
      <c r="Z652" s="1440" t="s">
        <v>2695</v>
      </c>
      <c r="AA652" s="1440"/>
      <c r="AB652" s="1440"/>
      <c r="AC652" s="1440"/>
      <c r="AD652" s="1440"/>
      <c r="AE652" s="1440"/>
      <c r="AF652" s="1440"/>
      <c r="AG652" s="1440"/>
      <c r="AH652" s="1440"/>
      <c r="AI652" s="1440"/>
      <c r="AJ652" s="1440"/>
      <c r="AK652" s="1440"/>
      <c r="AV652" s="3"/>
      <c r="AW652" s="3"/>
      <c r="AX652" s="3"/>
      <c r="AY652" s="3"/>
      <c r="AZ652" s="3"/>
      <c r="BA652" s="3"/>
      <c r="BB652" s="3"/>
      <c r="BC652" s="3"/>
      <c r="BD652" s="3"/>
      <c r="BE652" s="3"/>
      <c r="BF652" s="3"/>
      <c r="BG652" s="3"/>
      <c r="BH652" s="3"/>
      <c r="BI652" s="3"/>
      <c r="BJ652" s="3"/>
      <c r="BK652" s="3"/>
      <c r="BL652" s="3"/>
      <c r="BM652" s="3"/>
      <c r="DX652" s="1511" t="e">
        <f t="shared" si="4"/>
        <v>#VALUE!</v>
      </c>
      <c r="DY652" s="1511"/>
      <c r="DZ652" s="1511"/>
      <c r="EA652" s="1511"/>
      <c r="EB652" s="1511"/>
      <c r="EC652" s="1511" t="e">
        <f t="shared" si="5"/>
        <v>#VALUE!</v>
      </c>
      <c r="ED652" s="1511"/>
      <c r="EE652" s="1511"/>
      <c r="EF652" s="1511"/>
      <c r="EG652" s="1511"/>
      <c r="EH652" s="1511">
        <f t="shared" si="6"/>
        <v>357.81818181818181</v>
      </c>
      <c r="EI652" s="1511"/>
      <c r="EJ652" s="1511"/>
      <c r="EK652" s="1511"/>
      <c r="EL652" s="1511"/>
      <c r="EM652" s="1511" t="e">
        <f t="shared" si="7"/>
        <v>#VALUE!</v>
      </c>
      <c r="EN652" s="1511"/>
      <c r="EO652" s="1511"/>
      <c r="EP652" s="1511"/>
      <c r="EQ652" s="1511"/>
      <c r="ER652" s="1511" t="e">
        <f t="shared" si="8"/>
        <v>#VALUE!</v>
      </c>
      <c r="ES652" s="1511"/>
      <c r="ET652" s="1511"/>
      <c r="EU652" s="1511"/>
      <c r="EV652" s="1511"/>
      <c r="EW652" s="1511" t="e">
        <f t="shared" si="9"/>
        <v>#VALUE!</v>
      </c>
      <c r="EX652" s="1511"/>
      <c r="EY652" s="1511"/>
      <c r="EZ652" s="1511"/>
      <c r="FA652" s="1511"/>
    </row>
    <row r="653" spans="1:157" ht="12.9" customHeight="1">
      <c r="A653" s="22"/>
      <c r="B653" t="s">
        <v>580</v>
      </c>
      <c r="G653" s="1440" t="s">
        <v>2808</v>
      </c>
      <c r="H653" s="1440"/>
      <c r="I653" s="1440"/>
      <c r="J653" s="1440"/>
      <c r="K653" s="1440"/>
      <c r="L653" s="1440"/>
      <c r="M653" s="1440"/>
      <c r="N653" s="1440"/>
      <c r="O653" s="1440"/>
      <c r="P653" s="1440"/>
      <c r="Q653" s="1440"/>
      <c r="R653" s="1440"/>
      <c r="T653" s="22"/>
      <c r="U653" t="s">
        <v>580</v>
      </c>
      <c r="Z653" s="1424" t="s">
        <v>2811</v>
      </c>
      <c r="AA653" s="1424"/>
      <c r="AB653" s="1424"/>
      <c r="AC653" s="1424"/>
      <c r="AD653" s="1424"/>
      <c r="AE653" s="1424"/>
      <c r="AF653" s="1424"/>
      <c r="AG653" s="1424"/>
      <c r="AH653" s="1424"/>
      <c r="AI653" s="1424"/>
      <c r="AJ653" s="1424"/>
      <c r="AK653" s="1424"/>
      <c r="AV653" s="3"/>
      <c r="AW653" s="3"/>
      <c r="AX653" s="3"/>
      <c r="AY653" s="3"/>
      <c r="AZ653" s="3"/>
      <c r="BA653" s="3"/>
      <c r="BB653" s="3"/>
      <c r="BC653" s="3"/>
      <c r="BD653" s="3"/>
      <c r="BE653" s="3"/>
      <c r="BF653" s="3"/>
      <c r="BG653" s="3"/>
      <c r="BH653" s="3"/>
      <c r="BI653" s="3"/>
      <c r="BJ653" s="3"/>
      <c r="BK653" s="3"/>
      <c r="BL653" s="3"/>
      <c r="BM653" s="3"/>
      <c r="DX653" s="1511" t="e">
        <f t="shared" si="4"/>
        <v>#VALUE!</v>
      </c>
      <c r="DY653" s="1511"/>
      <c r="DZ653" s="1511"/>
      <c r="EA653" s="1511"/>
      <c r="EB653" s="1511"/>
      <c r="EC653" s="1511" t="e">
        <f t="shared" si="5"/>
        <v>#VALUE!</v>
      </c>
      <c r="ED653" s="1511"/>
      <c r="EE653" s="1511"/>
      <c r="EF653" s="1511"/>
      <c r="EG653" s="1511"/>
      <c r="EH653" s="1511">
        <f t="shared" si="6"/>
        <v>1395.7272727272727</v>
      </c>
      <c r="EI653" s="1511"/>
      <c r="EJ653" s="1511"/>
      <c r="EK653" s="1511"/>
      <c r="EL653" s="1511"/>
      <c r="EM653" s="1511" t="e">
        <f t="shared" si="7"/>
        <v>#VALUE!</v>
      </c>
      <c r="EN653" s="1511"/>
      <c r="EO653" s="1511"/>
      <c r="EP653" s="1511"/>
      <c r="EQ653" s="1511"/>
      <c r="ER653" s="1511" t="e">
        <f t="shared" si="8"/>
        <v>#VALUE!</v>
      </c>
      <c r="ES653" s="1511"/>
      <c r="ET653" s="1511"/>
      <c r="EU653" s="1511"/>
      <c r="EV653" s="1511"/>
      <c r="EW653" s="1511" t="e">
        <f t="shared" si="9"/>
        <v>#VALUE!</v>
      </c>
      <c r="EX653" s="1511"/>
      <c r="EY653" s="1511"/>
      <c r="EZ653" s="1511"/>
      <c r="FA653" s="1511"/>
    </row>
    <row r="654" spans="1:157" ht="12.9" customHeight="1">
      <c r="A654" s="22"/>
      <c r="B654" t="s">
        <v>17</v>
      </c>
      <c r="G654" s="1440" t="s">
        <v>2809</v>
      </c>
      <c r="H654" s="1440"/>
      <c r="I654" s="1440"/>
      <c r="J654" s="1440"/>
      <c r="K654" s="1440"/>
      <c r="L654" s="1440"/>
      <c r="M654" s="1440"/>
      <c r="N654" s="1440"/>
      <c r="O654" s="1440"/>
      <c r="P654" s="1440"/>
      <c r="Q654" s="1440"/>
      <c r="R654" s="1440"/>
      <c r="S654" s="8"/>
      <c r="T654" s="22"/>
      <c r="U654" t="s">
        <v>17</v>
      </c>
      <c r="Z654" s="1424" t="s">
        <v>2698</v>
      </c>
      <c r="AA654" s="1424"/>
      <c r="AB654" s="1424"/>
      <c r="AC654" s="1424"/>
      <c r="AD654" s="1424"/>
      <c r="AE654" s="1424"/>
      <c r="AF654" s="1424"/>
      <c r="AG654" s="1424"/>
      <c r="AH654" s="1424"/>
      <c r="AI654" s="1424"/>
      <c r="AJ654" s="1424"/>
      <c r="AK654" s="1424"/>
      <c r="AZ654" s="3"/>
      <c r="BA654" s="3"/>
      <c r="BB654" s="3"/>
      <c r="BC654" s="3"/>
      <c r="BD654" s="3"/>
      <c r="BE654" s="3"/>
      <c r="BF654" s="3"/>
      <c r="BG654" s="3"/>
      <c r="BH654" s="3"/>
      <c r="BI654" s="3"/>
      <c r="BJ654" s="3"/>
      <c r="BK654" s="3"/>
      <c r="BL654" s="3"/>
      <c r="BM654" s="3"/>
      <c r="DX654" s="1511" t="e">
        <f t="shared" si="4"/>
        <v>#VALUE!</v>
      </c>
      <c r="DY654" s="1511"/>
      <c r="DZ654" s="1511"/>
      <c r="EA654" s="1511"/>
      <c r="EB654" s="1511"/>
      <c r="EC654" s="1511" t="e">
        <f t="shared" si="5"/>
        <v>#VALUE!</v>
      </c>
      <c r="ED654" s="1511"/>
      <c r="EE654" s="1511"/>
      <c r="EF654" s="1511"/>
      <c r="EG654" s="1511"/>
      <c r="EH654" s="1511">
        <f t="shared" si="6"/>
        <v>286.36363636363637</v>
      </c>
      <c r="EI654" s="1511"/>
      <c r="EJ654" s="1511"/>
      <c r="EK654" s="1511"/>
      <c r="EL654" s="1511"/>
      <c r="EM654" s="1511" t="e">
        <f t="shared" si="7"/>
        <v>#VALUE!</v>
      </c>
      <c r="EN654" s="1511"/>
      <c r="EO654" s="1511"/>
      <c r="EP654" s="1511"/>
      <c r="EQ654" s="1511"/>
      <c r="ER654" s="1511" t="e">
        <f t="shared" si="8"/>
        <v>#VALUE!</v>
      </c>
      <c r="ES654" s="1511"/>
      <c r="ET654" s="1511"/>
      <c r="EU654" s="1511"/>
      <c r="EV654" s="1511"/>
      <c r="EW654" s="1511" t="e">
        <f t="shared" si="9"/>
        <v>#VALUE!</v>
      </c>
      <c r="EX654" s="1511"/>
      <c r="EY654" s="1511"/>
      <c r="EZ654" s="1511"/>
      <c r="FA654" s="1511"/>
    </row>
    <row r="655" spans="1:157" ht="12.9" customHeight="1">
      <c r="A655" s="22"/>
      <c r="B655" t="s">
        <v>316</v>
      </c>
      <c r="G655" s="1453" t="s">
        <v>2810</v>
      </c>
      <c r="H655" s="1454"/>
      <c r="I655" s="1454"/>
      <c r="J655" s="1454"/>
      <c r="K655" s="1454"/>
      <c r="L655" s="1454"/>
      <c r="O655" s="33" t="s">
        <v>206</v>
      </c>
      <c r="P655" s="1439"/>
      <c r="Q655" s="1439"/>
      <c r="R655" s="1439"/>
      <c r="S655" s="10"/>
      <c r="T655" s="22"/>
      <c r="U655" t="s">
        <v>316</v>
      </c>
      <c r="Z655" s="1453" t="s">
        <v>2700</v>
      </c>
      <c r="AA655" s="1454"/>
      <c r="AB655" s="1454"/>
      <c r="AC655" s="1454"/>
      <c r="AD655" s="1454"/>
      <c r="AE655" s="1454"/>
      <c r="AH655" s="33" t="s">
        <v>206</v>
      </c>
      <c r="AI655" s="1439"/>
      <c r="AJ655" s="1439"/>
      <c r="AK655" s="1439"/>
      <c r="AZ655" s="34"/>
      <c r="BA655" s="34"/>
      <c r="BB655" s="34"/>
      <c r="BC655" s="34"/>
      <c r="BD655" s="34"/>
      <c r="BE655" s="34"/>
      <c r="BF655" s="34"/>
      <c r="BG655" s="34"/>
      <c r="BH655" s="34"/>
      <c r="BI655" s="34"/>
      <c r="BJ655" s="34"/>
      <c r="BK655" s="34"/>
      <c r="BL655" s="34"/>
      <c r="BM655" s="34"/>
      <c r="DX655" s="1511" t="e">
        <f t="shared" si="4"/>
        <v>#VALUE!</v>
      </c>
      <c r="DY655" s="1511"/>
      <c r="DZ655" s="1511"/>
      <c r="EA655" s="1511"/>
      <c r="EB655" s="1511"/>
      <c r="EC655" s="1511" t="e">
        <f t="shared" si="5"/>
        <v>#VALUE!</v>
      </c>
      <c r="ED655" s="1511"/>
      <c r="EE655" s="1511"/>
      <c r="EF655" s="1511"/>
      <c r="EG655" s="1511"/>
      <c r="EH655" s="1511" t="e">
        <f t="shared" si="6"/>
        <v>#VALUE!</v>
      </c>
      <c r="EI655" s="1511"/>
      <c r="EJ655" s="1511"/>
      <c r="EK655" s="1511"/>
      <c r="EL655" s="1511"/>
      <c r="EM655" s="1511" t="e">
        <f t="shared" si="7"/>
        <v>#VALUE!</v>
      </c>
      <c r="EN655" s="1511"/>
      <c r="EO655" s="1511"/>
      <c r="EP655" s="1511"/>
      <c r="EQ655" s="1511"/>
      <c r="ER655" s="1511" t="e">
        <f t="shared" si="8"/>
        <v>#VALUE!</v>
      </c>
      <c r="ES655" s="1511"/>
      <c r="ET655" s="1511"/>
      <c r="EU655" s="1511"/>
      <c r="EV655" s="1511"/>
      <c r="EW655" s="1511" t="e">
        <f t="shared" si="9"/>
        <v>#VALUE!</v>
      </c>
      <c r="EX655" s="1511"/>
      <c r="EY655" s="1511"/>
      <c r="EZ655" s="1511"/>
      <c r="FA655" s="1511"/>
    </row>
    <row r="656" spans="1:157" ht="12.9" customHeight="1">
      <c r="A656" s="22"/>
      <c r="B656" t="s">
        <v>18</v>
      </c>
      <c r="H656" s="1440" t="s">
        <v>2815</v>
      </c>
      <c r="I656" s="1440"/>
      <c r="J656" s="1440"/>
      <c r="K656" s="1440"/>
      <c r="L656" s="1440"/>
      <c r="M656" s="1440"/>
      <c r="N656" s="1440"/>
      <c r="O656" s="1440"/>
      <c r="P656" s="1440"/>
      <c r="Q656" s="1440"/>
      <c r="R656" s="1440"/>
      <c r="S656" s="8"/>
      <c r="T656" s="22"/>
      <c r="U656" t="s">
        <v>18</v>
      </c>
      <c r="AA656" s="1440" t="s">
        <v>2071</v>
      </c>
      <c r="AB656" s="1440"/>
      <c r="AC656" s="1440"/>
      <c r="AD656" s="1440"/>
      <c r="AE656" s="1440"/>
      <c r="AF656" s="1440"/>
      <c r="AG656" s="1440"/>
      <c r="AH656" s="1440"/>
      <c r="AI656" s="1440"/>
      <c r="AJ656" s="1440"/>
      <c r="AK656" s="1440"/>
      <c r="AZ656" s="34"/>
      <c r="BA656" s="34"/>
      <c r="BB656" s="34"/>
      <c r="BC656" s="34"/>
      <c r="BD656" s="34"/>
      <c r="BE656" s="34"/>
      <c r="BF656" s="34"/>
      <c r="BG656" s="34"/>
      <c r="BH656" s="34"/>
      <c r="BI656" s="34"/>
      <c r="BJ656" s="34"/>
      <c r="BK656" s="34"/>
      <c r="BL656" s="34"/>
      <c r="BM656" s="34"/>
      <c r="DX656" s="1511" t="e">
        <f t="shared" si="4"/>
        <v>#VALUE!</v>
      </c>
      <c r="DY656" s="1511"/>
      <c r="DZ656" s="1511"/>
      <c r="EA656" s="1511"/>
      <c r="EB656" s="1511"/>
      <c r="EC656" s="1511" t="e">
        <f t="shared" si="5"/>
        <v>#VALUE!</v>
      </c>
      <c r="ED656" s="1511"/>
      <c r="EE656" s="1511"/>
      <c r="EF656" s="1511"/>
      <c r="EG656" s="1511"/>
      <c r="EH656" s="1511" t="e">
        <f t="shared" si="6"/>
        <v>#VALUE!</v>
      </c>
      <c r="EI656" s="1511"/>
      <c r="EJ656" s="1511"/>
      <c r="EK656" s="1511"/>
      <c r="EL656" s="1511"/>
      <c r="EM656" s="1511" t="e">
        <f t="shared" si="7"/>
        <v>#VALUE!</v>
      </c>
      <c r="EN656" s="1511"/>
      <c r="EO656" s="1511"/>
      <c r="EP656" s="1511"/>
      <c r="EQ656" s="1511"/>
      <c r="ER656" s="1511" t="e">
        <f t="shared" si="8"/>
        <v>#VALUE!</v>
      </c>
      <c r="ES656" s="1511"/>
      <c r="ET656" s="1511"/>
      <c r="EU656" s="1511"/>
      <c r="EV656" s="1511"/>
      <c r="EW656" s="1511" t="e">
        <f t="shared" si="9"/>
        <v>#VALUE!</v>
      </c>
      <c r="EX656" s="1511"/>
      <c r="EY656" s="1511"/>
      <c r="EZ656" s="1511"/>
      <c r="FA656" s="1511"/>
    </row>
    <row r="657" spans="1:157" ht="12.9" customHeight="1">
      <c r="A657" s="22"/>
      <c r="B657" t="s">
        <v>20</v>
      </c>
      <c r="N657" s="1289" t="s">
        <v>545</v>
      </c>
      <c r="O657" s="1289"/>
      <c r="T657" s="22"/>
      <c r="U657" t="s">
        <v>20</v>
      </c>
      <c r="AG657" s="1289" t="s">
        <v>545</v>
      </c>
      <c r="AH657" s="1289"/>
      <c r="AZ657" s="34"/>
      <c r="BA657" s="34"/>
      <c r="BB657" s="34"/>
      <c r="BC657" s="34"/>
      <c r="BD657" s="34"/>
      <c r="BE657" s="34"/>
      <c r="BF657" s="34"/>
      <c r="BG657" s="34"/>
      <c r="BH657" s="34"/>
      <c r="BI657" s="34"/>
      <c r="BJ657" s="34"/>
      <c r="BK657" s="34"/>
      <c r="BL657" s="34"/>
      <c r="BM657" s="34"/>
      <c r="DX657" s="1511" t="e">
        <f t="shared" si="4"/>
        <v>#VALUE!</v>
      </c>
      <c r="DY657" s="1511"/>
      <c r="DZ657" s="1511"/>
      <c r="EA657" s="1511"/>
      <c r="EB657" s="1511"/>
      <c r="EC657" s="1511" t="e">
        <f t="shared" si="5"/>
        <v>#VALUE!</v>
      </c>
      <c r="ED657" s="1511"/>
      <c r="EE657" s="1511"/>
      <c r="EF657" s="1511"/>
      <c r="EG657" s="1511"/>
      <c r="EH657" s="1511" t="e">
        <f t="shared" si="6"/>
        <v>#VALUE!</v>
      </c>
      <c r="EI657" s="1511"/>
      <c r="EJ657" s="1511"/>
      <c r="EK657" s="1511"/>
      <c r="EL657" s="1511"/>
      <c r="EM657" s="1511" t="e">
        <f t="shared" si="7"/>
        <v>#VALUE!</v>
      </c>
      <c r="EN657" s="1511"/>
      <c r="EO657" s="1511"/>
      <c r="EP657" s="1511"/>
      <c r="EQ657" s="1511"/>
      <c r="ER657" s="1511" t="e">
        <f t="shared" si="8"/>
        <v>#VALUE!</v>
      </c>
      <c r="ES657" s="1511"/>
      <c r="ET657" s="1511"/>
      <c r="EU657" s="1511"/>
      <c r="EV657" s="1511"/>
      <c r="EW657" s="1511" t="e">
        <f t="shared" si="9"/>
        <v>#VALUE!</v>
      </c>
      <c r="EX657" s="1511"/>
      <c r="EY657" s="1511"/>
      <c r="EZ657" s="1511"/>
      <c r="FA657" s="1511"/>
    </row>
    <row r="658" spans="1:157" ht="12.9" customHeight="1">
      <c r="A658" s="22"/>
      <c r="T658" s="22"/>
      <c r="AZ658" s="34"/>
      <c r="BA658" s="34"/>
      <c r="BB658" s="34"/>
      <c r="BC658" s="34"/>
      <c r="BD658" s="34"/>
      <c r="BE658" s="34"/>
      <c r="BF658" s="34"/>
      <c r="BG658" s="34"/>
      <c r="BH658" s="34"/>
      <c r="BI658" s="34"/>
      <c r="BJ658" s="34"/>
      <c r="BK658" s="34"/>
      <c r="BL658" s="34"/>
      <c r="BM658" s="34"/>
      <c r="DX658" s="1511" t="e">
        <f t="shared" si="4"/>
        <v>#VALUE!</v>
      </c>
      <c r="DY658" s="1511"/>
      <c r="DZ658" s="1511"/>
      <c r="EA658" s="1511"/>
      <c r="EB658" s="1511"/>
      <c r="EC658" s="1511" t="e">
        <f t="shared" si="5"/>
        <v>#VALUE!</v>
      </c>
      <c r="ED658" s="1511"/>
      <c r="EE658" s="1511"/>
      <c r="EF658" s="1511"/>
      <c r="EG658" s="1511"/>
      <c r="EH658" s="1511" t="e">
        <f t="shared" si="6"/>
        <v>#VALUE!</v>
      </c>
      <c r="EI658" s="1511"/>
      <c r="EJ658" s="1511"/>
      <c r="EK658" s="1511"/>
      <c r="EL658" s="1511"/>
      <c r="EM658" s="1511" t="e">
        <f t="shared" si="7"/>
        <v>#VALUE!</v>
      </c>
      <c r="EN658" s="1511"/>
      <c r="EO658" s="1511"/>
      <c r="EP658" s="1511"/>
      <c r="EQ658" s="1511"/>
      <c r="ER658" s="1511" t="e">
        <f t="shared" si="8"/>
        <v>#VALUE!</v>
      </c>
      <c r="ES658" s="1511"/>
      <c r="ET658" s="1511"/>
      <c r="EU658" s="1511"/>
      <c r="EV658" s="1511"/>
      <c r="EW658" s="1511" t="e">
        <f t="shared" si="9"/>
        <v>#VALUE!</v>
      </c>
      <c r="EX658" s="1511"/>
      <c r="EY658" s="1511"/>
      <c r="EZ658" s="1511"/>
      <c r="FA658" s="1511"/>
    </row>
    <row r="659" spans="1:157" ht="12.9" customHeight="1">
      <c r="A659" s="55" t="s">
        <v>119</v>
      </c>
      <c r="B659" t="s">
        <v>463</v>
      </c>
      <c r="G659" s="1428" t="str">
        <f>C637</f>
        <v>Vintage Housing Development, Inc.</v>
      </c>
      <c r="H659" s="1428"/>
      <c r="I659" s="1428"/>
      <c r="J659" s="1428"/>
      <c r="K659" s="1428"/>
      <c r="L659" s="1428"/>
      <c r="M659" s="1428"/>
      <c r="N659" s="1428"/>
      <c r="O659" s="1428"/>
      <c r="P659" s="1428"/>
      <c r="Q659" s="1428"/>
      <c r="R659" s="1428"/>
      <c r="T659" s="55" t="s">
        <v>581</v>
      </c>
      <c r="U659" t="s">
        <v>463</v>
      </c>
      <c r="Z659" s="1428">
        <f>C638</f>
        <v>0</v>
      </c>
      <c r="AA659" s="1428"/>
      <c r="AB659" s="1428"/>
      <c r="AC659" s="1428"/>
      <c r="AD659" s="1428"/>
      <c r="AE659" s="1428"/>
      <c r="AF659" s="1428"/>
      <c r="AG659" s="1428"/>
      <c r="AH659" s="1428"/>
      <c r="AI659" s="1428"/>
      <c r="AJ659" s="1428"/>
      <c r="AK659" s="1428"/>
      <c r="AZ659" s="34"/>
      <c r="BA659" s="34"/>
      <c r="BB659" s="34"/>
      <c r="BC659" s="34"/>
      <c r="BD659" s="34"/>
      <c r="BE659" s="34"/>
      <c r="BF659" s="34"/>
      <c r="BG659" s="34"/>
      <c r="BH659" s="34"/>
      <c r="BI659" s="34"/>
      <c r="BJ659" s="34"/>
      <c r="BK659" s="34"/>
      <c r="BL659" s="34"/>
      <c r="BM659" s="34"/>
      <c r="DX659" s="1511" t="e">
        <f t="shared" si="4"/>
        <v>#VALUE!</v>
      </c>
      <c r="DY659" s="1511"/>
      <c r="DZ659" s="1511"/>
      <c r="EA659" s="1511"/>
      <c r="EB659" s="1511"/>
      <c r="EC659" s="1511" t="e">
        <f t="shared" si="5"/>
        <v>#VALUE!</v>
      </c>
      <c r="ED659" s="1511"/>
      <c r="EE659" s="1511"/>
      <c r="EF659" s="1511"/>
      <c r="EG659" s="1511"/>
      <c r="EH659" s="1511" t="e">
        <f t="shared" si="6"/>
        <v>#VALUE!</v>
      </c>
      <c r="EI659" s="1511"/>
      <c r="EJ659" s="1511"/>
      <c r="EK659" s="1511"/>
      <c r="EL659" s="1511"/>
      <c r="EM659" s="1511" t="e">
        <f t="shared" si="7"/>
        <v>#VALUE!</v>
      </c>
      <c r="EN659" s="1511"/>
      <c r="EO659" s="1511"/>
      <c r="EP659" s="1511"/>
      <c r="EQ659" s="1511"/>
      <c r="ER659" s="1511" t="e">
        <f t="shared" si="8"/>
        <v>#VALUE!</v>
      </c>
      <c r="ES659" s="1511"/>
      <c r="ET659" s="1511"/>
      <c r="EU659" s="1511"/>
      <c r="EV659" s="1511"/>
      <c r="EW659" s="1511" t="e">
        <f t="shared" si="9"/>
        <v>#VALUE!</v>
      </c>
      <c r="EX659" s="1511"/>
      <c r="EY659" s="1511"/>
      <c r="EZ659" s="1511"/>
      <c r="FA659" s="1511"/>
    </row>
    <row r="660" spans="1:157" ht="12.9" customHeight="1">
      <c r="A660" s="22"/>
      <c r="B660" t="s">
        <v>85</v>
      </c>
      <c r="G660" s="1440" t="s">
        <v>2695</v>
      </c>
      <c r="H660" s="1440"/>
      <c r="I660" s="1440"/>
      <c r="J660" s="1440"/>
      <c r="K660" s="1440"/>
      <c r="L660" s="1440"/>
      <c r="M660" s="1440"/>
      <c r="N660" s="1440"/>
      <c r="O660" s="1440"/>
      <c r="P660" s="1440"/>
      <c r="Q660" s="1440"/>
      <c r="R660" s="1440"/>
      <c r="T660" s="22"/>
      <c r="U660" t="s">
        <v>85</v>
      </c>
      <c r="Z660" s="1440"/>
      <c r="AA660" s="1440"/>
      <c r="AB660" s="1440"/>
      <c r="AC660" s="1440"/>
      <c r="AD660" s="1440"/>
      <c r="AE660" s="1440"/>
      <c r="AF660" s="1440"/>
      <c r="AG660" s="1440"/>
      <c r="AH660" s="1440"/>
      <c r="AI660" s="1440"/>
      <c r="AJ660" s="1440"/>
      <c r="AK660" s="1440"/>
      <c r="AZ660" s="34"/>
      <c r="BA660" s="34"/>
      <c r="BB660" s="34"/>
      <c r="BC660" s="34"/>
      <c r="BD660" s="34"/>
      <c r="BE660" s="34"/>
      <c r="BF660" s="34"/>
      <c r="BG660" s="34"/>
      <c r="BH660" s="34"/>
      <c r="BI660" s="34"/>
      <c r="BJ660" s="34"/>
      <c r="BK660" s="34"/>
      <c r="BL660" s="34"/>
      <c r="BM660" s="34"/>
      <c r="DX660" s="1511" t="e">
        <f t="shared" si="4"/>
        <v>#VALUE!</v>
      </c>
      <c r="DY660" s="1511"/>
      <c r="DZ660" s="1511"/>
      <c r="EA660" s="1511"/>
      <c r="EB660" s="1511"/>
      <c r="EC660" s="1511" t="e">
        <f t="shared" si="5"/>
        <v>#VALUE!</v>
      </c>
      <c r="ED660" s="1511"/>
      <c r="EE660" s="1511"/>
      <c r="EF660" s="1511"/>
      <c r="EG660" s="1511"/>
      <c r="EH660" s="1511" t="e">
        <f t="shared" si="6"/>
        <v>#VALUE!</v>
      </c>
      <c r="EI660" s="1511"/>
      <c r="EJ660" s="1511"/>
      <c r="EK660" s="1511"/>
      <c r="EL660" s="1511"/>
      <c r="EM660" s="1511" t="e">
        <f t="shared" si="7"/>
        <v>#VALUE!</v>
      </c>
      <c r="EN660" s="1511"/>
      <c r="EO660" s="1511"/>
      <c r="EP660" s="1511"/>
      <c r="EQ660" s="1511"/>
      <c r="ER660" s="1511" t="e">
        <f t="shared" si="8"/>
        <v>#VALUE!</v>
      </c>
      <c r="ES660" s="1511"/>
      <c r="ET660" s="1511"/>
      <c r="EU660" s="1511"/>
      <c r="EV660" s="1511"/>
      <c r="EW660" s="1511" t="e">
        <f t="shared" si="9"/>
        <v>#VALUE!</v>
      </c>
      <c r="EX660" s="1511"/>
      <c r="EY660" s="1511"/>
      <c r="EZ660" s="1511"/>
      <c r="FA660" s="1511"/>
    </row>
    <row r="661" spans="1:157" ht="12.9" customHeight="1">
      <c r="A661" s="22"/>
      <c r="B661" t="s">
        <v>580</v>
      </c>
      <c r="G661" s="1424" t="s">
        <v>2811</v>
      </c>
      <c r="H661" s="1424"/>
      <c r="I661" s="1424"/>
      <c r="J661" s="1424"/>
      <c r="K661" s="1424"/>
      <c r="L661" s="1424"/>
      <c r="M661" s="1424"/>
      <c r="N661" s="1424"/>
      <c r="O661" s="1424"/>
      <c r="P661" s="1424"/>
      <c r="Q661" s="1424"/>
      <c r="R661" s="1424"/>
      <c r="T661" s="22"/>
      <c r="U661" t="s">
        <v>580</v>
      </c>
      <c r="Z661" s="1424"/>
      <c r="AA661" s="1424"/>
      <c r="AB661" s="1424"/>
      <c r="AC661" s="1424"/>
      <c r="AD661" s="1424"/>
      <c r="AE661" s="1424"/>
      <c r="AF661" s="1424"/>
      <c r="AG661" s="1424"/>
      <c r="AH661" s="1424"/>
      <c r="AI661" s="1424"/>
      <c r="AJ661" s="1424"/>
      <c r="AK661" s="1424"/>
      <c r="AZ661" s="34"/>
      <c r="BA661" s="34"/>
      <c r="BB661" s="34"/>
      <c r="BC661" s="34"/>
      <c r="BD661" s="34"/>
      <c r="BE661" s="34"/>
      <c r="BF661" s="34"/>
      <c r="BG661" s="34"/>
      <c r="BH661" s="34"/>
      <c r="BI661" s="34"/>
      <c r="BJ661" s="34"/>
      <c r="BK661" s="34"/>
      <c r="BL661" s="34"/>
      <c r="BM661" s="34"/>
      <c r="DX661" s="1511" t="e">
        <f t="shared" si="4"/>
        <v>#VALUE!</v>
      </c>
      <c r="DY661" s="1511"/>
      <c r="DZ661" s="1511"/>
      <c r="EA661" s="1511"/>
      <c r="EB661" s="1511"/>
      <c r="EC661" s="1511" t="e">
        <f t="shared" si="5"/>
        <v>#VALUE!</v>
      </c>
      <c r="ED661" s="1511"/>
      <c r="EE661" s="1511"/>
      <c r="EF661" s="1511"/>
      <c r="EG661" s="1511"/>
      <c r="EH661" s="1511" t="e">
        <f t="shared" si="6"/>
        <v>#VALUE!</v>
      </c>
      <c r="EI661" s="1511"/>
      <c r="EJ661" s="1511"/>
      <c r="EK661" s="1511"/>
      <c r="EL661" s="1511"/>
      <c r="EM661" s="1511" t="e">
        <f t="shared" si="7"/>
        <v>#VALUE!</v>
      </c>
      <c r="EN661" s="1511"/>
      <c r="EO661" s="1511"/>
      <c r="EP661" s="1511"/>
      <c r="EQ661" s="1511"/>
      <c r="ER661" s="1511" t="e">
        <f t="shared" si="8"/>
        <v>#VALUE!</v>
      </c>
      <c r="ES661" s="1511"/>
      <c r="ET661" s="1511"/>
      <c r="EU661" s="1511"/>
      <c r="EV661" s="1511"/>
      <c r="EW661" s="1511" t="e">
        <f t="shared" si="9"/>
        <v>#VALUE!</v>
      </c>
      <c r="EX661" s="1511"/>
      <c r="EY661" s="1511"/>
      <c r="EZ661" s="1511"/>
      <c r="FA661" s="1511"/>
    </row>
    <row r="662" spans="1:157" ht="12.9" customHeight="1">
      <c r="A662" s="22"/>
      <c r="B662" t="s">
        <v>17</v>
      </c>
      <c r="G662" s="1424" t="s">
        <v>2698</v>
      </c>
      <c r="H662" s="1424"/>
      <c r="I662" s="1424"/>
      <c r="J662" s="1424"/>
      <c r="K662" s="1424"/>
      <c r="L662" s="1424"/>
      <c r="M662" s="1424"/>
      <c r="N662" s="1424"/>
      <c r="O662" s="1424"/>
      <c r="P662" s="1424"/>
      <c r="Q662" s="1424"/>
      <c r="R662" s="1424"/>
      <c r="T662" s="22"/>
      <c r="U662" t="s">
        <v>17</v>
      </c>
      <c r="Z662" s="1424"/>
      <c r="AA662" s="1424"/>
      <c r="AB662" s="1424"/>
      <c r="AC662" s="1424"/>
      <c r="AD662" s="1424"/>
      <c r="AE662" s="1424"/>
      <c r="AF662" s="1424"/>
      <c r="AG662" s="1424"/>
      <c r="AH662" s="1424"/>
      <c r="AI662" s="1424"/>
      <c r="AJ662" s="1424"/>
      <c r="AK662" s="1424"/>
      <c r="AZ662" s="34"/>
      <c r="BA662" s="34"/>
      <c r="BB662" s="34"/>
      <c r="BC662" s="34"/>
      <c r="BD662" s="34"/>
      <c r="BE662" s="34"/>
      <c r="BF662" s="34"/>
      <c r="BG662" s="34"/>
      <c r="BH662" s="34"/>
      <c r="BI662" s="34"/>
      <c r="BJ662" s="34"/>
      <c r="BK662" s="34"/>
      <c r="BL662" s="34"/>
      <c r="BM662" s="34"/>
      <c r="DX662" s="1511" t="e">
        <f t="shared" si="4"/>
        <v>#VALUE!</v>
      </c>
      <c r="DY662" s="1511"/>
      <c r="DZ662" s="1511"/>
      <c r="EA662" s="1511"/>
      <c r="EB662" s="1511"/>
      <c r="EC662" s="1511" t="e">
        <f t="shared" si="5"/>
        <v>#VALUE!</v>
      </c>
      <c r="ED662" s="1511"/>
      <c r="EE662" s="1511"/>
      <c r="EF662" s="1511"/>
      <c r="EG662" s="1511"/>
      <c r="EH662" s="1511" t="e">
        <f t="shared" si="6"/>
        <v>#VALUE!</v>
      </c>
      <c r="EI662" s="1511"/>
      <c r="EJ662" s="1511"/>
      <c r="EK662" s="1511"/>
      <c r="EL662" s="1511"/>
      <c r="EM662" s="1511" t="e">
        <f t="shared" si="7"/>
        <v>#VALUE!</v>
      </c>
      <c r="EN662" s="1511"/>
      <c r="EO662" s="1511"/>
      <c r="EP662" s="1511"/>
      <c r="EQ662" s="1511"/>
      <c r="ER662" s="1511" t="e">
        <f t="shared" si="8"/>
        <v>#VALUE!</v>
      </c>
      <c r="ES662" s="1511"/>
      <c r="ET662" s="1511"/>
      <c r="EU662" s="1511"/>
      <c r="EV662" s="1511"/>
      <c r="EW662" s="1511" t="e">
        <f t="shared" si="9"/>
        <v>#VALUE!</v>
      </c>
      <c r="EX662" s="1511"/>
      <c r="EY662" s="1511"/>
      <c r="EZ662" s="1511"/>
      <c r="FA662" s="1511"/>
    </row>
    <row r="663" spans="1:157" ht="12.9" customHeight="1">
      <c r="A663" s="22"/>
      <c r="B663" t="s">
        <v>316</v>
      </c>
      <c r="G663" s="1454" t="s">
        <v>2700</v>
      </c>
      <c r="H663" s="1454"/>
      <c r="I663" s="1454"/>
      <c r="J663" s="1454"/>
      <c r="K663" s="1454"/>
      <c r="L663" s="1454"/>
      <c r="O663" s="33" t="s">
        <v>206</v>
      </c>
      <c r="P663" s="1439"/>
      <c r="Q663" s="1439"/>
      <c r="R663" s="1439"/>
      <c r="T663" s="22"/>
      <c r="U663" t="s">
        <v>316</v>
      </c>
      <c r="Z663" s="1454"/>
      <c r="AA663" s="1454"/>
      <c r="AB663" s="1454"/>
      <c r="AC663" s="1454"/>
      <c r="AD663" s="1454"/>
      <c r="AE663" s="1454"/>
      <c r="AH663" s="33" t="s">
        <v>206</v>
      </c>
      <c r="AI663" s="1439"/>
      <c r="AJ663" s="1439"/>
      <c r="AK663" s="1439"/>
      <c r="AZ663" s="34"/>
      <c r="BA663" s="34"/>
      <c r="BB663" s="34"/>
      <c r="BC663" s="34"/>
      <c r="BD663" s="34"/>
      <c r="BE663" s="34"/>
      <c r="BF663" s="34"/>
      <c r="BG663" s="34"/>
      <c r="BH663" s="34"/>
      <c r="BI663" s="34"/>
      <c r="BJ663" s="34"/>
      <c r="BK663" s="34"/>
      <c r="BL663" s="34"/>
      <c r="BM663" s="34"/>
      <c r="DX663" s="1511" t="e">
        <f t="shared" si="4"/>
        <v>#VALUE!</v>
      </c>
      <c r="DY663" s="1511"/>
      <c r="DZ663" s="1511"/>
      <c r="EA663" s="1511"/>
      <c r="EB663" s="1511"/>
      <c r="EC663" s="1511" t="e">
        <f t="shared" si="5"/>
        <v>#VALUE!</v>
      </c>
      <c r="ED663" s="1511"/>
      <c r="EE663" s="1511"/>
      <c r="EF663" s="1511"/>
      <c r="EG663" s="1511"/>
      <c r="EH663" s="1511" t="e">
        <f t="shared" si="6"/>
        <v>#VALUE!</v>
      </c>
      <c r="EI663" s="1511"/>
      <c r="EJ663" s="1511"/>
      <c r="EK663" s="1511"/>
      <c r="EL663" s="1511"/>
      <c r="EM663" s="1511" t="e">
        <f t="shared" si="7"/>
        <v>#VALUE!</v>
      </c>
      <c r="EN663" s="1511"/>
      <c r="EO663" s="1511"/>
      <c r="EP663" s="1511"/>
      <c r="EQ663" s="1511"/>
      <c r="ER663" s="1511" t="e">
        <f t="shared" si="8"/>
        <v>#VALUE!</v>
      </c>
      <c r="ES663" s="1511"/>
      <c r="ET663" s="1511"/>
      <c r="EU663" s="1511"/>
      <c r="EV663" s="1511"/>
      <c r="EW663" s="1511" t="e">
        <f t="shared" si="9"/>
        <v>#VALUE!</v>
      </c>
      <c r="EX663" s="1511"/>
      <c r="EY663" s="1511"/>
      <c r="EZ663" s="1511"/>
      <c r="FA663" s="1511"/>
    </row>
    <row r="664" spans="1:157" ht="12.9" customHeight="1">
      <c r="A664" s="22"/>
      <c r="B664" t="s">
        <v>18</v>
      </c>
      <c r="H664" s="1440" t="s">
        <v>2755</v>
      </c>
      <c r="I664" s="1440"/>
      <c r="J664" s="1440"/>
      <c r="K664" s="1440"/>
      <c r="L664" s="1440"/>
      <c r="M664" s="1440"/>
      <c r="N664" s="1440"/>
      <c r="O664" s="1440"/>
      <c r="P664" s="1440"/>
      <c r="Q664" s="1440"/>
      <c r="R664" s="1440"/>
      <c r="T664" s="22"/>
      <c r="U664" t="s">
        <v>18</v>
      </c>
      <c r="AA664" s="1440"/>
      <c r="AB664" s="1440"/>
      <c r="AC664" s="1440"/>
      <c r="AD664" s="1440"/>
      <c r="AE664" s="1440"/>
      <c r="AF664" s="1440"/>
      <c r="AG664" s="1440"/>
      <c r="AH664" s="1440"/>
      <c r="AI664" s="1440"/>
      <c r="AJ664" s="1440"/>
      <c r="AK664" s="1440"/>
      <c r="AZ664" s="34"/>
      <c r="BA664" s="34"/>
      <c r="BB664" s="34"/>
      <c r="BC664" s="34"/>
      <c r="BD664" s="34"/>
      <c r="BE664" s="34"/>
      <c r="BF664" s="34"/>
      <c r="BG664" s="34"/>
      <c r="BH664" s="34"/>
      <c r="BI664" s="34"/>
      <c r="BJ664" s="34"/>
      <c r="BK664" s="34"/>
      <c r="BL664" s="34"/>
      <c r="BM664" s="34"/>
      <c r="DX664" s="1511" t="e">
        <f t="shared" si="4"/>
        <v>#VALUE!</v>
      </c>
      <c r="DY664" s="1511"/>
      <c r="DZ664" s="1511"/>
      <c r="EA664" s="1511"/>
      <c r="EB664" s="1511"/>
      <c r="EC664" s="1511" t="e">
        <f t="shared" si="5"/>
        <v>#VALUE!</v>
      </c>
      <c r="ED664" s="1511"/>
      <c r="EE664" s="1511"/>
      <c r="EF664" s="1511"/>
      <c r="EG664" s="1511"/>
      <c r="EH664" s="1511" t="e">
        <f t="shared" si="6"/>
        <v>#VALUE!</v>
      </c>
      <c r="EI664" s="1511"/>
      <c r="EJ664" s="1511"/>
      <c r="EK664" s="1511"/>
      <c r="EL664" s="1511"/>
      <c r="EM664" s="1511" t="e">
        <f t="shared" si="7"/>
        <v>#VALUE!</v>
      </c>
      <c r="EN664" s="1511"/>
      <c r="EO664" s="1511"/>
      <c r="EP664" s="1511"/>
      <c r="EQ664" s="1511"/>
      <c r="ER664" s="1511" t="e">
        <f t="shared" si="8"/>
        <v>#VALUE!</v>
      </c>
      <c r="ES664" s="1511"/>
      <c r="ET664" s="1511"/>
      <c r="EU664" s="1511"/>
      <c r="EV664" s="1511"/>
      <c r="EW664" s="1511" t="e">
        <f t="shared" si="9"/>
        <v>#VALUE!</v>
      </c>
      <c r="EX664" s="1511"/>
      <c r="EY664" s="1511"/>
      <c r="EZ664" s="1511"/>
      <c r="FA664" s="1511"/>
    </row>
    <row r="665" spans="1:157" ht="12.9" customHeight="1">
      <c r="A665" s="22"/>
      <c r="B665" t="s">
        <v>20</v>
      </c>
      <c r="N665" s="1289" t="s">
        <v>545</v>
      </c>
      <c r="O665" s="1289"/>
      <c r="T665" s="22"/>
      <c r="U665" t="s">
        <v>20</v>
      </c>
      <c r="AG665" s="1289" t="s">
        <v>669</v>
      </c>
      <c r="AH665" s="1289"/>
      <c r="AZ665" s="34"/>
      <c r="BA665" s="34"/>
      <c r="BB665" s="34"/>
      <c r="BC665" s="34"/>
      <c r="BD665" s="34"/>
      <c r="BE665" s="34"/>
      <c r="BF665" s="34"/>
      <c r="BG665" s="34"/>
      <c r="BH665" s="34"/>
      <c r="BI665" s="34"/>
      <c r="BJ665" s="34"/>
      <c r="BK665" s="34"/>
      <c r="BL665" s="34"/>
      <c r="BM665" s="34"/>
      <c r="DX665" s="1511" t="e">
        <f t="shared" si="4"/>
        <v>#VALUE!</v>
      </c>
      <c r="DY665" s="1511"/>
      <c r="DZ665" s="1511"/>
      <c r="EA665" s="1511"/>
      <c r="EB665" s="1511"/>
      <c r="EC665" s="1511" t="e">
        <f t="shared" si="5"/>
        <v>#VALUE!</v>
      </c>
      <c r="ED665" s="1511"/>
      <c r="EE665" s="1511"/>
      <c r="EF665" s="1511"/>
      <c r="EG665" s="1511"/>
      <c r="EH665" s="1511" t="e">
        <f t="shared" si="6"/>
        <v>#VALUE!</v>
      </c>
      <c r="EI665" s="1511"/>
      <c r="EJ665" s="1511"/>
      <c r="EK665" s="1511"/>
      <c r="EL665" s="1511"/>
      <c r="EM665" s="1511" t="e">
        <f t="shared" si="7"/>
        <v>#VALUE!</v>
      </c>
      <c r="EN665" s="1511"/>
      <c r="EO665" s="1511"/>
      <c r="EP665" s="1511"/>
      <c r="EQ665" s="1511"/>
      <c r="ER665" s="1511" t="e">
        <f t="shared" si="8"/>
        <v>#VALUE!</v>
      </c>
      <c r="ES665" s="1511"/>
      <c r="ET665" s="1511"/>
      <c r="EU665" s="1511"/>
      <c r="EV665" s="1511"/>
      <c r="EW665" s="1511" t="e">
        <f t="shared" si="9"/>
        <v>#VALUE!</v>
      </c>
      <c r="EX665" s="1511"/>
      <c r="EY665" s="1511"/>
      <c r="EZ665" s="1511"/>
      <c r="FA665" s="1511"/>
    </row>
    <row r="666" spans="1:157" ht="12.9" customHeight="1">
      <c r="A666" s="22"/>
      <c r="T666" s="22"/>
      <c r="AZ666" s="34"/>
      <c r="BA666" s="34"/>
      <c r="BB666" s="34"/>
      <c r="BC666" s="34"/>
      <c r="BD666" s="34"/>
      <c r="BE666" s="34"/>
      <c r="BF666" s="34"/>
      <c r="BG666" s="34"/>
      <c r="BH666" s="34"/>
      <c r="BI666" s="34"/>
      <c r="BJ666" s="34"/>
      <c r="BK666" s="34"/>
      <c r="BL666" s="34"/>
      <c r="BM666" s="34"/>
      <c r="DX666" s="1511" t="e">
        <f t="shared" si="4"/>
        <v>#VALUE!</v>
      </c>
      <c r="DY666" s="1511"/>
      <c r="DZ666" s="1511"/>
      <c r="EA666" s="1511"/>
      <c r="EB666" s="1511"/>
      <c r="EC666" s="1511" t="e">
        <f t="shared" si="5"/>
        <v>#VALUE!</v>
      </c>
      <c r="ED666" s="1511"/>
      <c r="EE666" s="1511"/>
      <c r="EF666" s="1511"/>
      <c r="EG666" s="1511"/>
      <c r="EH666" s="1511" t="e">
        <f t="shared" si="6"/>
        <v>#VALUE!</v>
      </c>
      <c r="EI666" s="1511"/>
      <c r="EJ666" s="1511"/>
      <c r="EK666" s="1511"/>
      <c r="EL666" s="1511"/>
      <c r="EM666" s="1511" t="e">
        <f t="shared" si="7"/>
        <v>#VALUE!</v>
      </c>
      <c r="EN666" s="1511"/>
      <c r="EO666" s="1511"/>
      <c r="EP666" s="1511"/>
      <c r="EQ666" s="1511"/>
      <c r="ER666" s="1511" t="e">
        <f t="shared" si="8"/>
        <v>#VALUE!</v>
      </c>
      <c r="ES666" s="1511"/>
      <c r="ET666" s="1511"/>
      <c r="EU666" s="1511"/>
      <c r="EV666" s="1511"/>
      <c r="EW666" s="1511" t="e">
        <f t="shared" si="9"/>
        <v>#VALUE!</v>
      </c>
      <c r="EX666" s="1511"/>
      <c r="EY666" s="1511"/>
      <c r="EZ666" s="1511"/>
      <c r="FA666" s="1511"/>
    </row>
    <row r="667" spans="1:157" ht="12.9" customHeight="1">
      <c r="A667" s="55" t="s">
        <v>763</v>
      </c>
      <c r="B667" t="s">
        <v>463</v>
      </c>
      <c r="G667" s="1428">
        <f>C639</f>
        <v>0</v>
      </c>
      <c r="H667" s="1428"/>
      <c r="I667" s="1428"/>
      <c r="J667" s="1428"/>
      <c r="K667" s="1428"/>
      <c r="L667" s="1428"/>
      <c r="M667" s="1428"/>
      <c r="N667" s="1428"/>
      <c r="O667" s="1428"/>
      <c r="P667" s="1428"/>
      <c r="Q667" s="1428"/>
      <c r="R667" s="1428"/>
      <c r="T667" s="55" t="s">
        <v>584</v>
      </c>
      <c r="U667" t="s">
        <v>463</v>
      </c>
      <c r="Z667" s="1428">
        <f>C640</f>
        <v>0</v>
      </c>
      <c r="AA667" s="1428"/>
      <c r="AB667" s="1428"/>
      <c r="AC667" s="1428"/>
      <c r="AD667" s="1428"/>
      <c r="AE667" s="1428"/>
      <c r="AF667" s="1428"/>
      <c r="AG667" s="1428"/>
      <c r="AH667" s="1428"/>
      <c r="AI667" s="1428"/>
      <c r="AJ667" s="1428"/>
      <c r="AK667" s="1428"/>
      <c r="AZ667" s="34"/>
      <c r="BA667" s="34"/>
      <c r="BB667" s="34"/>
      <c r="BC667" s="34"/>
      <c r="BD667" s="34"/>
      <c r="BE667" s="34"/>
      <c r="BF667" s="34"/>
      <c r="BG667" s="34"/>
      <c r="BH667" s="34"/>
      <c r="BI667" s="34"/>
      <c r="BJ667" s="34"/>
      <c r="BK667" s="34"/>
      <c r="BL667" s="34"/>
      <c r="BM667" s="34"/>
      <c r="DX667" s="1511" t="e">
        <f t="shared" si="4"/>
        <v>#VALUE!</v>
      </c>
      <c r="DY667" s="1511"/>
      <c r="DZ667" s="1511"/>
      <c r="EA667" s="1511"/>
      <c r="EB667" s="1511"/>
      <c r="EC667" s="1511" t="e">
        <f t="shared" si="5"/>
        <v>#VALUE!</v>
      </c>
      <c r="ED667" s="1511"/>
      <c r="EE667" s="1511"/>
      <c r="EF667" s="1511"/>
      <c r="EG667" s="1511"/>
      <c r="EH667" s="1511" t="e">
        <f t="shared" si="6"/>
        <v>#VALUE!</v>
      </c>
      <c r="EI667" s="1511"/>
      <c r="EJ667" s="1511"/>
      <c r="EK667" s="1511"/>
      <c r="EL667" s="1511"/>
      <c r="EM667" s="1511" t="e">
        <f t="shared" si="7"/>
        <v>#VALUE!</v>
      </c>
      <c r="EN667" s="1511"/>
      <c r="EO667" s="1511"/>
      <c r="EP667" s="1511"/>
      <c r="EQ667" s="1511"/>
      <c r="ER667" s="1511" t="e">
        <f t="shared" si="8"/>
        <v>#VALUE!</v>
      </c>
      <c r="ES667" s="1511"/>
      <c r="ET667" s="1511"/>
      <c r="EU667" s="1511"/>
      <c r="EV667" s="1511"/>
      <c r="EW667" s="1511" t="e">
        <f t="shared" si="9"/>
        <v>#VALUE!</v>
      </c>
      <c r="EX667" s="1511"/>
      <c r="EY667" s="1511"/>
      <c r="EZ667" s="1511"/>
      <c r="FA667" s="1511"/>
    </row>
    <row r="668" spans="1:157" ht="12.9" customHeight="1">
      <c r="A668" s="22"/>
      <c r="B668" t="s">
        <v>85</v>
      </c>
      <c r="G668" s="1440"/>
      <c r="H668" s="1440"/>
      <c r="I668" s="1440"/>
      <c r="J668" s="1440"/>
      <c r="K668" s="1440"/>
      <c r="L668" s="1440"/>
      <c r="M668" s="1440"/>
      <c r="N668" s="1440"/>
      <c r="O668" s="1440"/>
      <c r="P668" s="1440"/>
      <c r="Q668" s="1440"/>
      <c r="R668" s="1440"/>
      <c r="T668" s="22"/>
      <c r="U668" t="s">
        <v>85</v>
      </c>
      <c r="Z668" s="1440"/>
      <c r="AA668" s="1440"/>
      <c r="AB668" s="1440"/>
      <c r="AC668" s="1440"/>
      <c r="AD668" s="1440"/>
      <c r="AE668" s="1440"/>
      <c r="AF668" s="1440"/>
      <c r="AG668" s="1440"/>
      <c r="AH668" s="1440"/>
      <c r="AI668" s="1440"/>
      <c r="AJ668" s="1440"/>
      <c r="AK668" s="1440"/>
      <c r="AZ668" s="34"/>
      <c r="BA668" s="34"/>
      <c r="BB668" s="34"/>
      <c r="BC668" s="34"/>
      <c r="BD668" s="34"/>
      <c r="BE668" s="34"/>
      <c r="BF668" s="34"/>
      <c r="BG668" s="34"/>
      <c r="BH668" s="34"/>
      <c r="BI668" s="34"/>
      <c r="BJ668" s="34"/>
      <c r="BK668" s="34"/>
      <c r="BL668" s="34"/>
      <c r="BM668" s="34"/>
      <c r="DX668" s="1511" t="e">
        <f t="shared" si="4"/>
        <v>#VALUE!</v>
      </c>
      <c r="DY668" s="1511"/>
      <c r="DZ668" s="1511"/>
      <c r="EA668" s="1511"/>
      <c r="EB668" s="1511"/>
      <c r="EC668" s="1511" t="e">
        <f t="shared" si="5"/>
        <v>#VALUE!</v>
      </c>
      <c r="ED668" s="1511"/>
      <c r="EE668" s="1511"/>
      <c r="EF668" s="1511"/>
      <c r="EG668" s="1511"/>
      <c r="EH668" s="1511" t="e">
        <f t="shared" si="6"/>
        <v>#VALUE!</v>
      </c>
      <c r="EI668" s="1511"/>
      <c r="EJ668" s="1511"/>
      <c r="EK668" s="1511"/>
      <c r="EL668" s="1511"/>
      <c r="EM668" s="1511" t="e">
        <f t="shared" si="7"/>
        <v>#VALUE!</v>
      </c>
      <c r="EN668" s="1511"/>
      <c r="EO668" s="1511"/>
      <c r="EP668" s="1511"/>
      <c r="EQ668" s="1511"/>
      <c r="ER668" s="1511" t="e">
        <f t="shared" si="8"/>
        <v>#VALUE!</v>
      </c>
      <c r="ES668" s="1511"/>
      <c r="ET668" s="1511"/>
      <c r="EU668" s="1511"/>
      <c r="EV668" s="1511"/>
      <c r="EW668" s="1511" t="e">
        <f t="shared" si="9"/>
        <v>#VALUE!</v>
      </c>
      <c r="EX668" s="1511"/>
      <c r="EY668" s="1511"/>
      <c r="EZ668" s="1511"/>
      <c r="FA668" s="1511"/>
    </row>
    <row r="669" spans="1:157" ht="12.9" customHeight="1">
      <c r="A669" s="22"/>
      <c r="B669" t="s">
        <v>580</v>
      </c>
      <c r="G669" s="1440"/>
      <c r="H669" s="1440"/>
      <c r="I669" s="1440"/>
      <c r="J669" s="1440"/>
      <c r="K669" s="1440"/>
      <c r="L669" s="1440"/>
      <c r="M669" s="1440"/>
      <c r="N669" s="1440"/>
      <c r="O669" s="1440"/>
      <c r="P669" s="1440"/>
      <c r="Q669" s="1440"/>
      <c r="R669" s="1440"/>
      <c r="T669" s="22"/>
      <c r="U669" t="s">
        <v>580</v>
      </c>
      <c r="Z669" s="1424"/>
      <c r="AA669" s="1424"/>
      <c r="AB669" s="1424"/>
      <c r="AC669" s="1424"/>
      <c r="AD669" s="1424"/>
      <c r="AE669" s="1424"/>
      <c r="AF669" s="1424"/>
      <c r="AG669" s="1424"/>
      <c r="AH669" s="1424"/>
      <c r="AI669" s="1424"/>
      <c r="AJ669" s="1424"/>
      <c r="AK669" s="1424"/>
      <c r="AZ669" s="34"/>
      <c r="BA669" s="34"/>
      <c r="BB669" s="34"/>
      <c r="BC669" s="34"/>
      <c r="BD669" s="34"/>
      <c r="BE669" s="34"/>
      <c r="BF669" s="34"/>
      <c r="BG669" s="34"/>
      <c r="BH669" s="34"/>
      <c r="BI669" s="34"/>
      <c r="BJ669" s="34"/>
      <c r="BK669" s="34"/>
      <c r="BL669" s="34"/>
      <c r="BM669" s="34"/>
      <c r="DX669" s="1511" t="e">
        <f t="shared" si="4"/>
        <v>#VALUE!</v>
      </c>
      <c r="DY669" s="1511"/>
      <c r="DZ669" s="1511"/>
      <c r="EA669" s="1511"/>
      <c r="EB669" s="1511"/>
      <c r="EC669" s="1511" t="e">
        <f t="shared" si="5"/>
        <v>#VALUE!</v>
      </c>
      <c r="ED669" s="1511"/>
      <c r="EE669" s="1511"/>
      <c r="EF669" s="1511"/>
      <c r="EG669" s="1511"/>
      <c r="EH669" s="1511" t="e">
        <f t="shared" si="6"/>
        <v>#VALUE!</v>
      </c>
      <c r="EI669" s="1511"/>
      <c r="EJ669" s="1511"/>
      <c r="EK669" s="1511"/>
      <c r="EL669" s="1511"/>
      <c r="EM669" s="1511" t="e">
        <f t="shared" si="7"/>
        <v>#VALUE!</v>
      </c>
      <c r="EN669" s="1511"/>
      <c r="EO669" s="1511"/>
      <c r="EP669" s="1511"/>
      <c r="EQ669" s="1511"/>
      <c r="ER669" s="1511" t="e">
        <f t="shared" si="8"/>
        <v>#VALUE!</v>
      </c>
      <c r="ES669" s="1511"/>
      <c r="ET669" s="1511"/>
      <c r="EU669" s="1511"/>
      <c r="EV669" s="1511"/>
      <c r="EW669" s="1511" t="e">
        <f t="shared" si="9"/>
        <v>#VALUE!</v>
      </c>
      <c r="EX669" s="1511"/>
      <c r="EY669" s="1511"/>
      <c r="EZ669" s="1511"/>
      <c r="FA669" s="1511"/>
    </row>
    <row r="670" spans="1:157" ht="12.9" customHeight="1">
      <c r="A670" s="22"/>
      <c r="B670" t="s">
        <v>17</v>
      </c>
      <c r="G670" s="1440"/>
      <c r="H670" s="1440"/>
      <c r="I670" s="1440"/>
      <c r="J670" s="1440"/>
      <c r="K670" s="1440"/>
      <c r="L670" s="1440"/>
      <c r="M670" s="1440"/>
      <c r="N670" s="1440"/>
      <c r="O670" s="1440"/>
      <c r="P670" s="1440"/>
      <c r="Q670" s="1440"/>
      <c r="R670" s="1440"/>
      <c r="T670" s="22"/>
      <c r="U670" t="s">
        <v>17</v>
      </c>
      <c r="Z670" s="1424"/>
      <c r="AA670" s="1424"/>
      <c r="AB670" s="1424"/>
      <c r="AC670" s="1424"/>
      <c r="AD670" s="1424"/>
      <c r="AE670" s="1424"/>
      <c r="AF670" s="1424"/>
      <c r="AG670" s="1424"/>
      <c r="AH670" s="1424"/>
      <c r="AI670" s="1424"/>
      <c r="AJ670" s="1424"/>
      <c r="AK670" s="142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11" t="e">
        <f t="shared" si="4"/>
        <v>#VALUE!</v>
      </c>
      <c r="DY670" s="1511"/>
      <c r="DZ670" s="1511"/>
      <c r="EA670" s="1511"/>
      <c r="EB670" s="1511"/>
      <c r="EC670" s="1511" t="e">
        <f t="shared" si="5"/>
        <v>#VALUE!</v>
      </c>
      <c r="ED670" s="1511"/>
      <c r="EE670" s="1511"/>
      <c r="EF670" s="1511"/>
      <c r="EG670" s="1511"/>
      <c r="EH670" s="1511" t="e">
        <f t="shared" si="6"/>
        <v>#VALUE!</v>
      </c>
      <c r="EI670" s="1511"/>
      <c r="EJ670" s="1511"/>
      <c r="EK670" s="1511"/>
      <c r="EL670" s="1511"/>
      <c r="EM670" s="1511" t="e">
        <f t="shared" si="7"/>
        <v>#VALUE!</v>
      </c>
      <c r="EN670" s="1511"/>
      <c r="EO670" s="1511"/>
      <c r="EP670" s="1511"/>
      <c r="EQ670" s="1511"/>
      <c r="ER670" s="1511" t="e">
        <f t="shared" si="8"/>
        <v>#VALUE!</v>
      </c>
      <c r="ES670" s="1511"/>
      <c r="ET670" s="1511"/>
      <c r="EU670" s="1511"/>
      <c r="EV670" s="1511"/>
      <c r="EW670" s="1511" t="e">
        <f t="shared" si="9"/>
        <v>#VALUE!</v>
      </c>
      <c r="EX670" s="1511"/>
      <c r="EY670" s="1511"/>
      <c r="EZ670" s="1511"/>
      <c r="FA670" s="1511"/>
    </row>
    <row r="671" spans="1:157" ht="12.9" customHeight="1">
      <c r="A671" s="22"/>
      <c r="B671" t="s">
        <v>316</v>
      </c>
      <c r="G671" s="1454"/>
      <c r="H671" s="1454"/>
      <c r="I671" s="1454"/>
      <c r="J671" s="1454"/>
      <c r="K671" s="1454"/>
      <c r="L671" s="1454"/>
      <c r="O671" s="33" t="s">
        <v>206</v>
      </c>
      <c r="P671" s="1439"/>
      <c r="Q671" s="1439"/>
      <c r="R671" s="1439"/>
      <c r="T671" s="22"/>
      <c r="U671" t="s">
        <v>316</v>
      </c>
      <c r="Z671" s="1454"/>
      <c r="AA671" s="1454"/>
      <c r="AB671" s="1454"/>
      <c r="AC671" s="1454"/>
      <c r="AD671" s="1454"/>
      <c r="AE671" s="1454"/>
      <c r="AH671" s="33" t="s">
        <v>206</v>
      </c>
      <c r="AI671" s="1439"/>
      <c r="AJ671" s="1439"/>
      <c r="AK671" s="143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11" t="e">
        <f t="shared" si="4"/>
        <v>#VALUE!</v>
      </c>
      <c r="DY671" s="1511"/>
      <c r="DZ671" s="1511"/>
      <c r="EA671" s="1511"/>
      <c r="EB671" s="1511"/>
      <c r="EC671" s="1511" t="e">
        <f t="shared" si="5"/>
        <v>#VALUE!</v>
      </c>
      <c r="ED671" s="1511"/>
      <c r="EE671" s="1511"/>
      <c r="EF671" s="1511"/>
      <c r="EG671" s="1511"/>
      <c r="EH671" s="1511" t="e">
        <f t="shared" si="6"/>
        <v>#VALUE!</v>
      </c>
      <c r="EI671" s="1511"/>
      <c r="EJ671" s="1511"/>
      <c r="EK671" s="1511"/>
      <c r="EL671" s="1511"/>
      <c r="EM671" s="1511" t="e">
        <f t="shared" si="7"/>
        <v>#VALUE!</v>
      </c>
      <c r="EN671" s="1511"/>
      <c r="EO671" s="1511"/>
      <c r="EP671" s="1511"/>
      <c r="EQ671" s="1511"/>
      <c r="ER671" s="1511" t="e">
        <f t="shared" si="8"/>
        <v>#VALUE!</v>
      </c>
      <c r="ES671" s="1511"/>
      <c r="ET671" s="1511"/>
      <c r="EU671" s="1511"/>
      <c r="EV671" s="1511"/>
      <c r="EW671" s="1511" t="e">
        <f t="shared" si="9"/>
        <v>#VALUE!</v>
      </c>
      <c r="EX671" s="1511"/>
      <c r="EY671" s="1511"/>
      <c r="EZ671" s="1511"/>
      <c r="FA671" s="1511"/>
    </row>
    <row r="672" spans="1:157" ht="12.9" customHeight="1">
      <c r="A672" s="22"/>
      <c r="B672" t="s">
        <v>18</v>
      </c>
      <c r="H672" s="1440"/>
      <c r="I672" s="1440"/>
      <c r="J672" s="1440"/>
      <c r="K672" s="1440"/>
      <c r="L672" s="1440"/>
      <c r="M672" s="1440"/>
      <c r="N672" s="1440"/>
      <c r="O672" s="1440"/>
      <c r="P672" s="1440"/>
      <c r="Q672" s="1440"/>
      <c r="R672" s="1440"/>
      <c r="T672" s="22"/>
      <c r="U672" t="s">
        <v>18</v>
      </c>
      <c r="AA672" s="1440"/>
      <c r="AB672" s="1440"/>
      <c r="AC672" s="1440"/>
      <c r="AD672" s="1440"/>
      <c r="AE672" s="1440"/>
      <c r="AF672" s="1440"/>
      <c r="AG672" s="1440"/>
      <c r="AH672" s="1440"/>
      <c r="AI672" s="1440"/>
      <c r="AJ672" s="1440"/>
      <c r="AK672" s="1440"/>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11" t="e">
        <f t="shared" si="4"/>
        <v>#VALUE!</v>
      </c>
      <c r="DY672" s="1511"/>
      <c r="DZ672" s="1511"/>
      <c r="EA672" s="1511"/>
      <c r="EB672" s="1511"/>
      <c r="EC672" s="1511" t="e">
        <f t="shared" si="5"/>
        <v>#VALUE!</v>
      </c>
      <c r="ED672" s="1511"/>
      <c r="EE672" s="1511"/>
      <c r="EF672" s="1511"/>
      <c r="EG672" s="1511"/>
      <c r="EH672" s="1511" t="e">
        <f t="shared" si="6"/>
        <v>#VALUE!</v>
      </c>
      <c r="EI672" s="1511"/>
      <c r="EJ672" s="1511"/>
      <c r="EK672" s="1511"/>
      <c r="EL672" s="1511"/>
      <c r="EM672" s="1511" t="e">
        <f t="shared" si="7"/>
        <v>#VALUE!</v>
      </c>
      <c r="EN672" s="1511"/>
      <c r="EO672" s="1511"/>
      <c r="EP672" s="1511"/>
      <c r="EQ672" s="1511"/>
      <c r="ER672" s="1511" t="e">
        <f t="shared" si="8"/>
        <v>#VALUE!</v>
      </c>
      <c r="ES672" s="1511"/>
      <c r="ET672" s="1511"/>
      <c r="EU672" s="1511"/>
      <c r="EV672" s="1511"/>
      <c r="EW672" s="1511" t="e">
        <f t="shared" si="9"/>
        <v>#VALUE!</v>
      </c>
      <c r="EX672" s="1511"/>
      <c r="EY672" s="1511"/>
      <c r="EZ672" s="1511"/>
      <c r="FA672" s="1511"/>
    </row>
    <row r="673" spans="1:157" ht="12.9" customHeight="1">
      <c r="A673" s="22"/>
      <c r="B673" t="s">
        <v>20</v>
      </c>
      <c r="N673" s="1289" t="s">
        <v>669</v>
      </c>
      <c r="O673" s="1289"/>
      <c r="T673" s="22"/>
      <c r="U673" t="s">
        <v>20</v>
      </c>
      <c r="AG673" s="1289" t="s">
        <v>669</v>
      </c>
      <c r="AH673" s="128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11" t="e">
        <f t="shared" si="4"/>
        <v>#VALUE!</v>
      </c>
      <c r="DY673" s="1511"/>
      <c r="DZ673" s="1511"/>
      <c r="EA673" s="1511"/>
      <c r="EB673" s="1511"/>
      <c r="EC673" s="1511" t="e">
        <f t="shared" si="5"/>
        <v>#VALUE!</v>
      </c>
      <c r="ED673" s="1511"/>
      <c r="EE673" s="1511"/>
      <c r="EF673" s="1511"/>
      <c r="EG673" s="1511"/>
      <c r="EH673" s="1511" t="e">
        <f t="shared" si="6"/>
        <v>#VALUE!</v>
      </c>
      <c r="EI673" s="1511"/>
      <c r="EJ673" s="1511"/>
      <c r="EK673" s="1511"/>
      <c r="EL673" s="1511"/>
      <c r="EM673" s="1511" t="e">
        <f t="shared" si="7"/>
        <v>#VALUE!</v>
      </c>
      <c r="EN673" s="1511"/>
      <c r="EO673" s="1511"/>
      <c r="EP673" s="1511"/>
      <c r="EQ673" s="1511"/>
      <c r="ER673" s="1511" t="e">
        <f t="shared" si="8"/>
        <v>#VALUE!</v>
      </c>
      <c r="ES673" s="1511"/>
      <c r="ET673" s="1511"/>
      <c r="EU673" s="1511"/>
      <c r="EV673" s="1511"/>
      <c r="EW673" s="1511" t="e">
        <f t="shared" si="9"/>
        <v>#VALUE!</v>
      </c>
      <c r="EX673" s="1511"/>
      <c r="EY673" s="1511"/>
      <c r="EZ673" s="1511"/>
      <c r="FA673" s="1511"/>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11" t="e">
        <f t="shared" si="4"/>
        <v>#VALUE!</v>
      </c>
      <c r="DY674" s="1511"/>
      <c r="DZ674" s="1511"/>
      <c r="EA674" s="1511"/>
      <c r="EB674" s="1511"/>
      <c r="EC674" s="1511" t="e">
        <f t="shared" si="5"/>
        <v>#VALUE!</v>
      </c>
      <c r="ED674" s="1511"/>
      <c r="EE674" s="1511"/>
      <c r="EF674" s="1511"/>
      <c r="EG674" s="1511"/>
      <c r="EH674" s="1511" t="e">
        <f t="shared" si="6"/>
        <v>#VALUE!</v>
      </c>
      <c r="EI674" s="1511"/>
      <c r="EJ674" s="1511"/>
      <c r="EK674" s="1511"/>
      <c r="EL674" s="1511"/>
      <c r="EM674" s="1511" t="e">
        <f t="shared" si="7"/>
        <v>#VALUE!</v>
      </c>
      <c r="EN674" s="1511"/>
      <c r="EO674" s="1511"/>
      <c r="EP674" s="1511"/>
      <c r="EQ674" s="1511"/>
      <c r="ER674" s="1511" t="e">
        <f t="shared" si="8"/>
        <v>#VALUE!</v>
      </c>
      <c r="ES674" s="1511"/>
      <c r="ET674" s="1511"/>
      <c r="EU674" s="1511"/>
      <c r="EV674" s="1511"/>
      <c r="EW674" s="1511" t="e">
        <f t="shared" si="9"/>
        <v>#VALUE!</v>
      </c>
      <c r="EX674" s="1511"/>
      <c r="EY674" s="1511"/>
      <c r="EZ674" s="1511"/>
      <c r="FA674" s="1511"/>
    </row>
    <row r="675" spans="1:157" ht="12.9" customHeight="1">
      <c r="A675" s="55" t="s">
        <v>455</v>
      </c>
      <c r="B675" t="s">
        <v>463</v>
      </c>
      <c r="G675" s="1428">
        <f>C641</f>
        <v>0</v>
      </c>
      <c r="H675" s="1428"/>
      <c r="I675" s="1428"/>
      <c r="J675" s="1428"/>
      <c r="K675" s="1428"/>
      <c r="L675" s="1428"/>
      <c r="M675" s="1428"/>
      <c r="N675" s="1428"/>
      <c r="O675" s="1428"/>
      <c r="P675" s="1428"/>
      <c r="Q675" s="1428"/>
      <c r="R675" s="1428"/>
      <c r="T675" s="55" t="s">
        <v>456</v>
      </c>
      <c r="U675" t="s">
        <v>463</v>
      </c>
      <c r="Z675" s="1428">
        <f>C642</f>
        <v>0</v>
      </c>
      <c r="AA675" s="1428"/>
      <c r="AB675" s="1428"/>
      <c r="AC675" s="1428"/>
      <c r="AD675" s="1428"/>
      <c r="AE675" s="1428"/>
      <c r="AF675" s="1428"/>
      <c r="AG675" s="1428"/>
      <c r="AH675" s="1428"/>
      <c r="AI675" s="1428"/>
      <c r="AJ675" s="1428"/>
      <c r="AK675" s="142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11" t="e">
        <f t="shared" si="4"/>
        <v>#VALUE!</v>
      </c>
      <c r="DY675" s="1511"/>
      <c r="DZ675" s="1511"/>
      <c r="EA675" s="1511"/>
      <c r="EB675" s="1511"/>
      <c r="EC675" s="1511" t="e">
        <f t="shared" si="5"/>
        <v>#VALUE!</v>
      </c>
      <c r="ED675" s="1511"/>
      <c r="EE675" s="1511"/>
      <c r="EF675" s="1511"/>
      <c r="EG675" s="1511"/>
      <c r="EH675" s="1511" t="e">
        <f t="shared" si="6"/>
        <v>#VALUE!</v>
      </c>
      <c r="EI675" s="1511"/>
      <c r="EJ675" s="1511"/>
      <c r="EK675" s="1511"/>
      <c r="EL675" s="1511"/>
      <c r="EM675" s="1511" t="e">
        <f t="shared" si="7"/>
        <v>#VALUE!</v>
      </c>
      <c r="EN675" s="1511"/>
      <c r="EO675" s="1511"/>
      <c r="EP675" s="1511"/>
      <c r="EQ675" s="1511"/>
      <c r="ER675" s="1511" t="e">
        <f t="shared" si="8"/>
        <v>#VALUE!</v>
      </c>
      <c r="ES675" s="1511"/>
      <c r="ET675" s="1511"/>
      <c r="EU675" s="1511"/>
      <c r="EV675" s="1511"/>
      <c r="EW675" s="1511" t="e">
        <f t="shared" si="9"/>
        <v>#VALUE!</v>
      </c>
      <c r="EX675" s="1511"/>
      <c r="EY675" s="1511"/>
      <c r="EZ675" s="1511"/>
      <c r="FA675" s="1511"/>
    </row>
    <row r="676" spans="1:157" ht="12.9" customHeight="1">
      <c r="A676" s="22"/>
      <c r="B676" t="s">
        <v>85</v>
      </c>
      <c r="G676" s="1440"/>
      <c r="H676" s="1440"/>
      <c r="I676" s="1440"/>
      <c r="J676" s="1440"/>
      <c r="K676" s="1440"/>
      <c r="L676" s="1440"/>
      <c r="M676" s="1440"/>
      <c r="N676" s="1440"/>
      <c r="O676" s="1440"/>
      <c r="P676" s="1440"/>
      <c r="Q676" s="1440"/>
      <c r="R676" s="1440"/>
      <c r="T676" s="22"/>
      <c r="U676" t="s">
        <v>85</v>
      </c>
      <c r="Z676" s="1440"/>
      <c r="AA676" s="1440"/>
      <c r="AB676" s="1440"/>
      <c r="AC676" s="1440"/>
      <c r="AD676" s="1440"/>
      <c r="AE676" s="1440"/>
      <c r="AF676" s="1440"/>
      <c r="AG676" s="1440"/>
      <c r="AH676" s="1440"/>
      <c r="AI676" s="1440"/>
      <c r="AJ676" s="1440"/>
      <c r="AK676" s="1440"/>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11" t="e">
        <f t="shared" si="4"/>
        <v>#VALUE!</v>
      </c>
      <c r="DY676" s="1511"/>
      <c r="DZ676" s="1511"/>
      <c r="EA676" s="1511"/>
      <c r="EB676" s="1511"/>
      <c r="EC676" s="1511" t="e">
        <f t="shared" si="5"/>
        <v>#VALUE!</v>
      </c>
      <c r="ED676" s="1511"/>
      <c r="EE676" s="1511"/>
      <c r="EF676" s="1511"/>
      <c r="EG676" s="1511"/>
      <c r="EH676" s="1511" t="e">
        <f t="shared" si="6"/>
        <v>#VALUE!</v>
      </c>
      <c r="EI676" s="1511"/>
      <c r="EJ676" s="1511"/>
      <c r="EK676" s="1511"/>
      <c r="EL676" s="1511"/>
      <c r="EM676" s="1511" t="e">
        <f t="shared" si="7"/>
        <v>#VALUE!</v>
      </c>
      <c r="EN676" s="1511"/>
      <c r="EO676" s="1511"/>
      <c r="EP676" s="1511"/>
      <c r="EQ676" s="1511"/>
      <c r="ER676" s="1511" t="e">
        <f t="shared" si="8"/>
        <v>#VALUE!</v>
      </c>
      <c r="ES676" s="1511"/>
      <c r="ET676" s="1511"/>
      <c r="EU676" s="1511"/>
      <c r="EV676" s="1511"/>
      <c r="EW676" s="1511" t="e">
        <f t="shared" si="9"/>
        <v>#VALUE!</v>
      </c>
      <c r="EX676" s="1511"/>
      <c r="EY676" s="1511"/>
      <c r="EZ676" s="1511"/>
      <c r="FA676" s="1511"/>
    </row>
    <row r="677" spans="1:157" ht="12.9" customHeight="1">
      <c r="A677" s="22"/>
      <c r="B677" t="s">
        <v>580</v>
      </c>
      <c r="G677" s="1440"/>
      <c r="H677" s="1440"/>
      <c r="I677" s="1440"/>
      <c r="J677" s="1440"/>
      <c r="K677" s="1440"/>
      <c r="L677" s="1440"/>
      <c r="M677" s="1440"/>
      <c r="N677" s="1440"/>
      <c r="O677" s="1440"/>
      <c r="P677" s="1440"/>
      <c r="Q677" s="1440"/>
      <c r="R677" s="1440"/>
      <c r="T677" s="22"/>
      <c r="U677" t="s">
        <v>580</v>
      </c>
      <c r="Z677" s="1424"/>
      <c r="AA677" s="1424"/>
      <c r="AB677" s="1424"/>
      <c r="AC677" s="1424"/>
      <c r="AD677" s="1424"/>
      <c r="AE677" s="1424"/>
      <c r="AF677" s="1424"/>
      <c r="AG677" s="1424"/>
      <c r="AH677" s="1424"/>
      <c r="AI677" s="1424"/>
      <c r="AJ677" s="1424"/>
      <c r="AK677" s="142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11" t="e">
        <f t="shared" si="4"/>
        <v>#VALUE!</v>
      </c>
      <c r="DY677" s="1511"/>
      <c r="DZ677" s="1511"/>
      <c r="EA677" s="1511"/>
      <c r="EB677" s="1511"/>
      <c r="EC677" s="1511" t="e">
        <f t="shared" si="5"/>
        <v>#VALUE!</v>
      </c>
      <c r="ED677" s="1511"/>
      <c r="EE677" s="1511"/>
      <c r="EF677" s="1511"/>
      <c r="EG677" s="1511"/>
      <c r="EH677" s="1511" t="e">
        <f t="shared" si="6"/>
        <v>#VALUE!</v>
      </c>
      <c r="EI677" s="1511"/>
      <c r="EJ677" s="1511"/>
      <c r="EK677" s="1511"/>
      <c r="EL677" s="1511"/>
      <c r="EM677" s="1511" t="e">
        <f t="shared" si="7"/>
        <v>#VALUE!</v>
      </c>
      <c r="EN677" s="1511"/>
      <c r="EO677" s="1511"/>
      <c r="EP677" s="1511"/>
      <c r="EQ677" s="1511"/>
      <c r="ER677" s="1511" t="e">
        <f t="shared" si="8"/>
        <v>#VALUE!</v>
      </c>
      <c r="ES677" s="1511"/>
      <c r="ET677" s="1511"/>
      <c r="EU677" s="1511"/>
      <c r="EV677" s="1511"/>
      <c r="EW677" s="1511" t="e">
        <f t="shared" si="9"/>
        <v>#VALUE!</v>
      </c>
      <c r="EX677" s="1511"/>
      <c r="EY677" s="1511"/>
      <c r="EZ677" s="1511"/>
      <c r="FA677" s="1511"/>
    </row>
    <row r="678" spans="1:157" ht="12.9" customHeight="1">
      <c r="A678" s="22"/>
      <c r="B678" t="s">
        <v>17</v>
      </c>
      <c r="G678" s="1440"/>
      <c r="H678" s="1440"/>
      <c r="I678" s="1440"/>
      <c r="J678" s="1440"/>
      <c r="K678" s="1440"/>
      <c r="L678" s="1440"/>
      <c r="M678" s="1440"/>
      <c r="N678" s="1440"/>
      <c r="O678" s="1440"/>
      <c r="P678" s="1440"/>
      <c r="Q678" s="1440"/>
      <c r="R678" s="1440"/>
      <c r="T678" s="22"/>
      <c r="U678" t="s">
        <v>17</v>
      </c>
      <c r="Z678" s="1424"/>
      <c r="AA678" s="1424"/>
      <c r="AB678" s="1424"/>
      <c r="AC678" s="1424"/>
      <c r="AD678" s="1424"/>
      <c r="AE678" s="1424"/>
      <c r="AF678" s="1424"/>
      <c r="AG678" s="1424"/>
      <c r="AH678" s="1424"/>
      <c r="AI678" s="1424"/>
      <c r="AJ678" s="1424"/>
      <c r="AK678" s="142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11">
        <f>SUMIF(DX643:EB677,"&gt;0")</f>
        <v>2089.5294117647063</v>
      </c>
      <c r="DY678" s="1511"/>
      <c r="DZ678" s="1511"/>
      <c r="EA678" s="1511"/>
      <c r="EB678" s="1511"/>
      <c r="EC678" s="1511">
        <f>SUMIF(EC643:EG677,"&gt;0")</f>
        <v>1936.5961538461538</v>
      </c>
      <c r="ED678" s="1511"/>
      <c r="EE678" s="1511"/>
      <c r="EF678" s="1511"/>
      <c r="EG678" s="1511"/>
      <c r="EH678" s="1511">
        <f>SUMIF(EH643:EL677,"&gt;0")</f>
        <v>2200.9545454545455</v>
      </c>
      <c r="EI678" s="1511"/>
      <c r="EJ678" s="1511"/>
      <c r="EK678" s="1511"/>
      <c r="EL678" s="1511"/>
      <c r="EM678" s="1511">
        <f>SUMIF(EM643:EQ677,"&gt;0")</f>
        <v>0</v>
      </c>
      <c r="EN678" s="1511"/>
      <c r="EO678" s="1511"/>
      <c r="EP678" s="1511"/>
      <c r="EQ678" s="1511"/>
      <c r="ER678" s="1511">
        <f>SUMIF(ER643:EV677,"&gt;0")</f>
        <v>0</v>
      </c>
      <c r="ES678" s="1511"/>
      <c r="ET678" s="1511"/>
      <c r="EU678" s="1511"/>
      <c r="EV678" s="1511"/>
      <c r="EW678" s="1511">
        <f>SUMIF(EW643:FA677,"&gt;0")</f>
        <v>0</v>
      </c>
      <c r="EX678" s="1511"/>
      <c r="EY678" s="1511"/>
      <c r="EZ678" s="1511"/>
      <c r="FA678" s="1511"/>
    </row>
    <row r="679" spans="1:157" ht="12.9" customHeight="1">
      <c r="A679" s="22"/>
      <c r="B679" t="s">
        <v>316</v>
      </c>
      <c r="G679" s="1454"/>
      <c r="H679" s="1454"/>
      <c r="I679" s="1454"/>
      <c r="J679" s="1454"/>
      <c r="K679" s="1454"/>
      <c r="L679" s="1454"/>
      <c r="O679" s="33" t="s">
        <v>206</v>
      </c>
      <c r="P679" s="1439"/>
      <c r="Q679" s="1439"/>
      <c r="R679" s="1439"/>
      <c r="T679" s="22"/>
      <c r="U679" t="s">
        <v>316</v>
      </c>
      <c r="Z679" s="1454"/>
      <c r="AA679" s="1454"/>
      <c r="AB679" s="1454"/>
      <c r="AC679" s="1454"/>
      <c r="AD679" s="1454"/>
      <c r="AE679" s="1454"/>
      <c r="AH679" s="33" t="s">
        <v>206</v>
      </c>
      <c r="AI679" s="1439"/>
      <c r="AJ679" s="1439"/>
      <c r="AK679" s="143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18</v>
      </c>
      <c r="H680" s="1440"/>
      <c r="I680" s="1440"/>
      <c r="J680" s="1440"/>
      <c r="K680" s="1440"/>
      <c r="L680" s="1440"/>
      <c r="M680" s="1440"/>
      <c r="N680" s="1440"/>
      <c r="O680" s="1440"/>
      <c r="P680" s="1440"/>
      <c r="Q680" s="1440"/>
      <c r="R680" s="1440"/>
      <c r="T680" s="22"/>
      <c r="U680" t="s">
        <v>18</v>
      </c>
      <c r="AA680" s="1440"/>
      <c r="AB680" s="1440"/>
      <c r="AC680" s="1440"/>
      <c r="AD680" s="1440"/>
      <c r="AE680" s="1440"/>
      <c r="AF680" s="1440"/>
      <c r="AG680" s="1440"/>
      <c r="AH680" s="1440"/>
      <c r="AI680" s="1440"/>
      <c r="AJ680" s="1440"/>
      <c r="AK680" s="1440"/>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20</v>
      </c>
      <c r="N681" s="1289" t="s">
        <v>669</v>
      </c>
      <c r="O681" s="1289"/>
      <c r="T681" s="22"/>
      <c r="U681" t="s">
        <v>20</v>
      </c>
      <c r="AG681" s="1289" t="s">
        <v>669</v>
      </c>
      <c r="AH681" s="1289"/>
      <c r="AZ681" s="3"/>
    </row>
    <row r="682" spans="1:157" ht="12.9" customHeight="1">
      <c r="A682" s="22"/>
      <c r="T682" s="22"/>
      <c r="AZ682" s="3"/>
    </row>
    <row r="683" spans="1:157" ht="12.9" customHeight="1">
      <c r="A683" s="55" t="s">
        <v>461</v>
      </c>
      <c r="B683" t="s">
        <v>463</v>
      </c>
      <c r="G683" s="1428">
        <f>C643</f>
        <v>0</v>
      </c>
      <c r="H683" s="1428"/>
      <c r="I683" s="1428"/>
      <c r="J683" s="1428"/>
      <c r="K683" s="1428"/>
      <c r="L683" s="1428"/>
      <c r="M683" s="1428"/>
      <c r="N683" s="1428"/>
      <c r="O683" s="1428"/>
      <c r="P683" s="1428"/>
      <c r="Q683" s="1428"/>
      <c r="R683" s="1428"/>
      <c r="T683" s="55" t="s">
        <v>646</v>
      </c>
      <c r="U683" t="s">
        <v>463</v>
      </c>
      <c r="Z683" s="1428">
        <f>C644</f>
        <v>0</v>
      </c>
      <c r="AA683" s="1428"/>
      <c r="AB683" s="1428"/>
      <c r="AC683" s="1428"/>
      <c r="AD683" s="1428"/>
      <c r="AE683" s="1428"/>
      <c r="AF683" s="1428"/>
      <c r="AG683" s="1428"/>
      <c r="AH683" s="1428"/>
      <c r="AI683" s="1428"/>
      <c r="AJ683" s="1428"/>
      <c r="AK683" s="1428"/>
      <c r="AZ683" s="3"/>
    </row>
    <row r="684" spans="1:157" ht="12.9" customHeight="1">
      <c r="A684" s="22"/>
      <c r="B684" t="s">
        <v>85</v>
      </c>
      <c r="G684" s="1440"/>
      <c r="H684" s="1440"/>
      <c r="I684" s="1440"/>
      <c r="J684" s="1440"/>
      <c r="K684" s="1440"/>
      <c r="L684" s="1440"/>
      <c r="M684" s="1440"/>
      <c r="N684" s="1440"/>
      <c r="O684" s="1440"/>
      <c r="P684" s="1440"/>
      <c r="Q684" s="1440"/>
      <c r="R684" s="1440"/>
      <c r="T684" s="22"/>
      <c r="U684" t="s">
        <v>85</v>
      </c>
      <c r="Z684" s="1440"/>
      <c r="AA684" s="1440"/>
      <c r="AB684" s="1440"/>
      <c r="AC684" s="1440"/>
      <c r="AD684" s="1440"/>
      <c r="AE684" s="1440"/>
      <c r="AF684" s="1440"/>
      <c r="AG684" s="1440"/>
      <c r="AH684" s="1440"/>
      <c r="AI684" s="1440"/>
      <c r="AJ684" s="1440"/>
      <c r="AK684" s="1440"/>
      <c r="AZ684" s="3"/>
    </row>
    <row r="685" spans="1:157" ht="12.9" customHeight="1">
      <c r="A685" s="22"/>
      <c r="B685" t="s">
        <v>580</v>
      </c>
      <c r="G685" s="1440"/>
      <c r="H685" s="1440"/>
      <c r="I685" s="1440"/>
      <c r="J685" s="1440"/>
      <c r="K685" s="1440"/>
      <c r="L685" s="1440"/>
      <c r="M685" s="1440"/>
      <c r="N685" s="1440"/>
      <c r="O685" s="1440"/>
      <c r="P685" s="1440"/>
      <c r="Q685" s="1440"/>
      <c r="R685" s="1440"/>
      <c r="T685" s="22"/>
      <c r="U685" t="s">
        <v>580</v>
      </c>
      <c r="Z685" s="1424"/>
      <c r="AA685" s="1424"/>
      <c r="AB685" s="1424"/>
      <c r="AC685" s="1424"/>
      <c r="AD685" s="1424"/>
      <c r="AE685" s="1424"/>
      <c r="AF685" s="1424"/>
      <c r="AG685" s="1424"/>
      <c r="AH685" s="1424"/>
      <c r="AI685" s="1424"/>
      <c r="AJ685" s="1424"/>
      <c r="AK685" s="1424"/>
      <c r="AZ685" s="3"/>
    </row>
    <row r="686" spans="1:157" ht="12.9" customHeight="1">
      <c r="A686" s="22"/>
      <c r="B686" t="s">
        <v>17</v>
      </c>
      <c r="G686" s="1440"/>
      <c r="H686" s="1440"/>
      <c r="I686" s="1440"/>
      <c r="J686" s="1440"/>
      <c r="K686" s="1440"/>
      <c r="L686" s="1440"/>
      <c r="M686" s="1440"/>
      <c r="N686" s="1440"/>
      <c r="O686" s="1440"/>
      <c r="P686" s="1440"/>
      <c r="Q686" s="1440"/>
      <c r="R686" s="1440"/>
      <c r="T686" s="22"/>
      <c r="U686" t="s">
        <v>17</v>
      </c>
      <c r="Z686" s="1424"/>
      <c r="AA686" s="1424"/>
      <c r="AB686" s="1424"/>
      <c r="AC686" s="1424"/>
      <c r="AD686" s="1424"/>
      <c r="AE686" s="1424"/>
      <c r="AF686" s="1424"/>
      <c r="AG686" s="1424"/>
      <c r="AH686" s="1424"/>
      <c r="AI686" s="1424"/>
      <c r="AJ686" s="1424"/>
      <c r="AK686" s="1424"/>
      <c r="AZ686" s="3"/>
    </row>
    <row r="687" spans="1:157" ht="12.9" customHeight="1">
      <c r="A687" s="22"/>
      <c r="B687" t="s">
        <v>316</v>
      </c>
      <c r="G687" s="1454"/>
      <c r="H687" s="1454"/>
      <c r="I687" s="1454"/>
      <c r="J687" s="1454"/>
      <c r="K687" s="1454"/>
      <c r="L687" s="1454"/>
      <c r="O687" s="33" t="s">
        <v>206</v>
      </c>
      <c r="P687" s="1439"/>
      <c r="Q687" s="1439"/>
      <c r="R687" s="1439"/>
      <c r="T687" s="22"/>
      <c r="U687" t="s">
        <v>316</v>
      </c>
      <c r="Z687" s="1454"/>
      <c r="AA687" s="1454"/>
      <c r="AB687" s="1454"/>
      <c r="AC687" s="1454"/>
      <c r="AD687" s="1454"/>
      <c r="AE687" s="1454"/>
      <c r="AH687" s="33" t="s">
        <v>206</v>
      </c>
      <c r="AI687" s="1439"/>
      <c r="AJ687" s="1439"/>
      <c r="AK687" s="1439"/>
      <c r="AZ687" s="3"/>
    </row>
    <row r="688" spans="1:157" ht="12.9" customHeight="1">
      <c r="A688" s="22"/>
      <c r="B688" t="s">
        <v>18</v>
      </c>
      <c r="H688" s="1440"/>
      <c r="I688" s="1440"/>
      <c r="J688" s="1440"/>
      <c r="K688" s="1440"/>
      <c r="L688" s="1440"/>
      <c r="M688" s="1440"/>
      <c r="N688" s="1440"/>
      <c r="O688" s="1440"/>
      <c r="P688" s="1440"/>
      <c r="Q688" s="1440"/>
      <c r="R688" s="1440"/>
      <c r="T688" s="22"/>
      <c r="U688" t="s">
        <v>18</v>
      </c>
      <c r="AA688" s="1440"/>
      <c r="AB688" s="1440"/>
      <c r="AC688" s="1440"/>
      <c r="AD688" s="1440"/>
      <c r="AE688" s="1440"/>
      <c r="AF688" s="1440"/>
      <c r="AG688" s="1440"/>
      <c r="AH688" s="1440"/>
      <c r="AI688" s="1440"/>
      <c r="AJ688" s="1440"/>
      <c r="AK688" s="1440"/>
      <c r="AZ688" s="3"/>
    </row>
    <row r="689" spans="1:52" ht="12.9" customHeight="1">
      <c r="A689" s="22"/>
      <c r="B689" t="s">
        <v>20</v>
      </c>
      <c r="N689" s="1289" t="s">
        <v>669</v>
      </c>
      <c r="O689" s="1289"/>
      <c r="T689" s="22"/>
      <c r="U689" t="s">
        <v>20</v>
      </c>
      <c r="AG689" s="1289" t="s">
        <v>669</v>
      </c>
      <c r="AH689" s="1289"/>
      <c r="AZ689" s="3"/>
    </row>
    <row r="690" spans="1:52" ht="12.9" customHeight="1">
      <c r="A690" s="22"/>
      <c r="T690" s="22"/>
      <c r="AZ690" s="3"/>
    </row>
    <row r="691" spans="1:52" ht="12.9" customHeight="1">
      <c r="A691" s="55" t="s">
        <v>362</v>
      </c>
      <c r="B691" t="s">
        <v>463</v>
      </c>
      <c r="G691" s="1428">
        <f>C645</f>
        <v>0</v>
      </c>
      <c r="H691" s="1428"/>
      <c r="I691" s="1428"/>
      <c r="J691" s="1428"/>
      <c r="K691" s="1428"/>
      <c r="L691" s="1428"/>
      <c r="M691" s="1428"/>
      <c r="N691" s="1428"/>
      <c r="O691" s="1428"/>
      <c r="P691" s="1428"/>
      <c r="Q691" s="1428"/>
      <c r="R691" s="1428"/>
      <c r="T691" s="55" t="s">
        <v>363</v>
      </c>
      <c r="U691" t="s">
        <v>463</v>
      </c>
      <c r="Z691" s="1428">
        <f>C646</f>
        <v>0</v>
      </c>
      <c r="AA691" s="1428"/>
      <c r="AB691" s="1428"/>
      <c r="AC691" s="1428"/>
      <c r="AD691" s="1428"/>
      <c r="AE691" s="1428"/>
      <c r="AF691" s="1428"/>
      <c r="AG691" s="1428"/>
      <c r="AH691" s="1428"/>
      <c r="AI691" s="1428"/>
      <c r="AJ691" s="1428"/>
      <c r="AK691" s="1428"/>
      <c r="AZ691" s="3"/>
    </row>
    <row r="692" spans="1:52" ht="12.9" customHeight="1">
      <c r="B692" t="s">
        <v>85</v>
      </c>
      <c r="G692" s="1440"/>
      <c r="H692" s="1440"/>
      <c r="I692" s="1440"/>
      <c r="J692" s="1440"/>
      <c r="K692" s="1440"/>
      <c r="L692" s="1440"/>
      <c r="M692" s="1440"/>
      <c r="N692" s="1440"/>
      <c r="O692" s="1440"/>
      <c r="P692" s="1440"/>
      <c r="Q692" s="1440"/>
      <c r="R692" s="1440"/>
      <c r="T692" s="22"/>
      <c r="U692" t="s">
        <v>85</v>
      </c>
      <c r="Z692" s="1440"/>
      <c r="AA692" s="1440"/>
      <c r="AB692" s="1440"/>
      <c r="AC692" s="1440"/>
      <c r="AD692" s="1440"/>
      <c r="AE692" s="1440"/>
      <c r="AF692" s="1440"/>
      <c r="AG692" s="1440"/>
      <c r="AH692" s="1440"/>
      <c r="AI692" s="1440"/>
      <c r="AJ692" s="1440"/>
      <c r="AK692" s="1440"/>
      <c r="AZ692" s="3"/>
    </row>
    <row r="693" spans="1:52" ht="12.9" customHeight="1">
      <c r="B693" t="s">
        <v>580</v>
      </c>
      <c r="G693" s="1440"/>
      <c r="H693" s="1440"/>
      <c r="I693" s="1440"/>
      <c r="J693" s="1440"/>
      <c r="K693" s="1440"/>
      <c r="L693" s="1440"/>
      <c r="M693" s="1440"/>
      <c r="N693" s="1440"/>
      <c r="O693" s="1440"/>
      <c r="P693" s="1440"/>
      <c r="Q693" s="1440"/>
      <c r="R693" s="1440"/>
      <c r="U693" t="s">
        <v>580</v>
      </c>
      <c r="Z693" s="1424"/>
      <c r="AA693" s="1424"/>
      <c r="AB693" s="1424"/>
      <c r="AC693" s="1424"/>
      <c r="AD693" s="1424"/>
      <c r="AE693" s="1424"/>
      <c r="AF693" s="1424"/>
      <c r="AG693" s="1424"/>
      <c r="AH693" s="1424"/>
      <c r="AI693" s="1424"/>
      <c r="AJ693" s="1424"/>
      <c r="AK693" s="1424"/>
      <c r="AZ693" s="3"/>
    </row>
    <row r="694" spans="1:52" ht="12.9" customHeight="1">
      <c r="B694" t="s">
        <v>17</v>
      </c>
      <c r="G694" s="1440"/>
      <c r="H694" s="1440"/>
      <c r="I694" s="1440"/>
      <c r="J694" s="1440"/>
      <c r="K694" s="1440"/>
      <c r="L694" s="1440"/>
      <c r="M694" s="1440"/>
      <c r="N694" s="1440"/>
      <c r="O694" s="1440"/>
      <c r="P694" s="1440"/>
      <c r="Q694" s="1440"/>
      <c r="R694" s="1440"/>
      <c r="U694" t="s">
        <v>17</v>
      </c>
      <c r="Z694" s="1424"/>
      <c r="AA694" s="1424"/>
      <c r="AB694" s="1424"/>
      <c r="AC694" s="1424"/>
      <c r="AD694" s="1424"/>
      <c r="AE694" s="1424"/>
      <c r="AF694" s="1424"/>
      <c r="AG694" s="1424"/>
      <c r="AH694" s="1424"/>
      <c r="AI694" s="1424"/>
      <c r="AJ694" s="1424"/>
      <c r="AK694" s="1424"/>
      <c r="AZ694" s="3"/>
    </row>
    <row r="695" spans="1:52" ht="12.9" customHeight="1">
      <c r="B695" t="s">
        <v>316</v>
      </c>
      <c r="G695" s="1454"/>
      <c r="H695" s="1454"/>
      <c r="I695" s="1454"/>
      <c r="J695" s="1454"/>
      <c r="K695" s="1454"/>
      <c r="L695" s="1454"/>
      <c r="O695" s="33" t="s">
        <v>206</v>
      </c>
      <c r="P695" s="1439"/>
      <c r="Q695" s="1439"/>
      <c r="R695" s="1439"/>
      <c r="U695" t="s">
        <v>316</v>
      </c>
      <c r="Z695" s="1454"/>
      <c r="AA695" s="1454"/>
      <c r="AB695" s="1454"/>
      <c r="AC695" s="1454"/>
      <c r="AD695" s="1454"/>
      <c r="AE695" s="1454"/>
      <c r="AH695" s="33" t="s">
        <v>206</v>
      </c>
      <c r="AI695" s="1439"/>
      <c r="AJ695" s="1439"/>
      <c r="AK695" s="1439"/>
      <c r="AZ695" s="3"/>
    </row>
    <row r="696" spans="1:52" ht="12.9" customHeight="1">
      <c r="B696" t="s">
        <v>18</v>
      </c>
      <c r="H696" s="1440"/>
      <c r="I696" s="1440"/>
      <c r="J696" s="1440"/>
      <c r="K696" s="1440"/>
      <c r="L696" s="1440"/>
      <c r="M696" s="1440"/>
      <c r="N696" s="1440"/>
      <c r="O696" s="1440"/>
      <c r="P696" s="1440"/>
      <c r="Q696" s="1440"/>
      <c r="R696" s="1440"/>
      <c r="U696" t="s">
        <v>18</v>
      </c>
      <c r="AA696" s="1440"/>
      <c r="AB696" s="1440"/>
      <c r="AC696" s="1440"/>
      <c r="AD696" s="1440"/>
      <c r="AE696" s="1440"/>
      <c r="AF696" s="1440"/>
      <c r="AG696" s="1440"/>
      <c r="AH696" s="1440"/>
      <c r="AI696" s="1440"/>
      <c r="AJ696" s="1440"/>
      <c r="AK696" s="1440"/>
      <c r="AZ696" s="3"/>
    </row>
    <row r="697" spans="1:52" ht="12.9" customHeight="1">
      <c r="B697" t="s">
        <v>20</v>
      </c>
      <c r="N697" s="1289" t="s">
        <v>669</v>
      </c>
      <c r="O697" s="1289"/>
      <c r="U697" t="s">
        <v>20</v>
      </c>
      <c r="AG697" s="1289" t="s">
        <v>669</v>
      </c>
      <c r="AH697" s="1289"/>
      <c r="AZ697" s="3"/>
    </row>
    <row r="698" spans="1:52" ht="12.9" customHeight="1">
      <c r="AZ698" s="3"/>
    </row>
    <row r="699" spans="1:52" ht="12.9" customHeight="1">
      <c r="A699" s="2" t="s">
        <v>576</v>
      </c>
      <c r="C699" s="2" t="s">
        <v>327</v>
      </c>
      <c r="E699" s="130"/>
      <c r="F699" s="130"/>
      <c r="G699" s="130"/>
      <c r="H699" s="130"/>
      <c r="AZ699" s="3"/>
    </row>
    <row r="700" spans="1:52" ht="12.9" customHeight="1">
      <c r="B700" s="135"/>
      <c r="C700" s="135"/>
      <c r="D700" s="1025" t="s">
        <v>2601</v>
      </c>
      <c r="E700" s="135"/>
      <c r="F700" s="135"/>
      <c r="G700" s="135"/>
      <c r="H700" s="135"/>
      <c r="AZ700" s="3"/>
    </row>
    <row r="701" spans="1:52" ht="12.9" customHeight="1">
      <c r="B701" s="135"/>
      <c r="C701" s="135"/>
      <c r="E701" s="136" t="s">
        <v>434</v>
      </c>
      <c r="F701" s="135"/>
      <c r="G701" s="135"/>
      <c r="H701" s="135"/>
      <c r="AE701" s="1289" t="s">
        <v>545</v>
      </c>
      <c r="AF701" s="1289"/>
      <c r="AZ701" s="3"/>
    </row>
    <row r="702" spans="1:52" ht="12.9" customHeight="1">
      <c r="B702" s="135"/>
      <c r="C702" s="135"/>
      <c r="D702" s="136" t="s">
        <v>437</v>
      </c>
      <c r="E702" s="135"/>
      <c r="F702" s="135"/>
      <c r="G702" s="135"/>
      <c r="H702" s="135"/>
      <c r="AE702" s="1289" t="s">
        <v>669</v>
      </c>
      <c r="AF702" s="1289"/>
      <c r="AZ702" s="3"/>
    </row>
    <row r="703" spans="1:52" ht="12.9" customHeight="1">
      <c r="B703" s="135"/>
      <c r="C703" s="135"/>
      <c r="D703" s="136" t="s">
        <v>920</v>
      </c>
      <c r="E703" s="135"/>
      <c r="F703" s="135"/>
      <c r="G703" s="135"/>
      <c r="H703" s="135"/>
      <c r="AE703" s="1709">
        <v>46273</v>
      </c>
      <c r="AF703" s="1709"/>
      <c r="AG703" s="1709"/>
      <c r="AH703" s="1709"/>
      <c r="AI703" s="1709"/>
    </row>
    <row r="704" spans="1:52" ht="12.9" customHeight="1">
      <c r="B704" s="135"/>
      <c r="C704" s="135"/>
      <c r="D704" s="314" t="s">
        <v>983</v>
      </c>
      <c r="E704" s="135"/>
      <c r="F704" s="135"/>
      <c r="G704" s="135"/>
      <c r="H704" s="135"/>
      <c r="AE704" s="1655">
        <v>46365</v>
      </c>
      <c r="AF704" s="1655"/>
      <c r="AG704" s="1655"/>
      <c r="AH704" s="1655"/>
      <c r="AI704" s="1655"/>
    </row>
    <row r="705" spans="1:110" ht="12.9" customHeight="1">
      <c r="B705" s="135"/>
      <c r="C705" s="135"/>
    </row>
    <row r="706" spans="1:110" ht="12.9" customHeight="1">
      <c r="B706" s="135"/>
      <c r="C706" s="135"/>
      <c r="D706" s="136" t="s">
        <v>816</v>
      </c>
      <c r="E706" s="135"/>
      <c r="F706" s="135"/>
      <c r="G706" s="135"/>
      <c r="H706" s="135"/>
      <c r="AE706" s="1709">
        <v>46539</v>
      </c>
      <c r="AF706" s="1709"/>
      <c r="AG706" s="1709"/>
      <c r="AH706" s="1709"/>
      <c r="AI706" s="1709"/>
    </row>
    <row r="707" spans="1:110" ht="12.9" customHeight="1">
      <c r="B707" s="135"/>
      <c r="C707" s="135"/>
      <c r="D707" s="136" t="s">
        <v>435</v>
      </c>
      <c r="E707" s="135"/>
      <c r="F707" s="135"/>
      <c r="G707" s="135"/>
      <c r="H707" s="135"/>
      <c r="AE707" s="1660">
        <v>0.27500000000000002</v>
      </c>
      <c r="AF707" s="1660"/>
      <c r="AG707" s="1660"/>
      <c r="AH707" s="1660"/>
      <c r="AI707" s="1660"/>
    </row>
    <row r="708" spans="1:110" ht="12.9" customHeight="1">
      <c r="B708" s="135"/>
      <c r="C708" s="135"/>
      <c r="D708" s="136" t="s">
        <v>436</v>
      </c>
      <c r="E708" s="135"/>
      <c r="F708" s="135"/>
      <c r="G708" s="135"/>
      <c r="H708" s="135"/>
      <c r="W708" s="1428" t="str">
        <f>H344</f>
        <v>California Municipal Finance Authority</v>
      </c>
      <c r="X708" s="1428"/>
      <c r="Y708" s="1428"/>
      <c r="Z708" s="1428"/>
      <c r="AA708" s="1428"/>
      <c r="AB708" s="1428"/>
      <c r="AC708" s="1428"/>
      <c r="AD708" s="1428"/>
      <c r="AE708" s="1428"/>
      <c r="AF708" s="1428"/>
      <c r="AG708" s="1428"/>
      <c r="AH708" s="1428"/>
      <c r="AI708" s="1428"/>
      <c r="AJ708" s="1428"/>
      <c r="AK708" s="1428"/>
    </row>
    <row r="709" spans="1:110" ht="12.9" customHeight="1">
      <c r="B709" s="135"/>
      <c r="C709" s="135"/>
      <c r="D709" s="136"/>
      <c r="E709" s="135"/>
      <c r="F709" s="135"/>
      <c r="G709" s="135"/>
      <c r="H709" s="135"/>
    </row>
    <row r="710" spans="1:110" ht="12.9" customHeight="1">
      <c r="B710" s="135"/>
      <c r="C710" s="135"/>
      <c r="D710" s="136" t="s">
        <v>438</v>
      </c>
      <c r="E710" s="135"/>
      <c r="F710" s="135"/>
      <c r="G710" s="135"/>
      <c r="H710" s="135"/>
      <c r="AE710" s="1289" t="s">
        <v>669</v>
      </c>
      <c r="AF710" s="1289"/>
    </row>
    <row r="711" spans="1:110" ht="12.9" customHeight="1">
      <c r="B711" s="135"/>
      <c r="C711" s="135"/>
      <c r="D711" s="136" t="s">
        <v>442</v>
      </c>
      <c r="E711" s="135"/>
      <c r="F711" s="135"/>
      <c r="G711" s="135"/>
      <c r="H711" s="135"/>
      <c r="W711" s="1440" t="s">
        <v>591</v>
      </c>
      <c r="X711" s="1440"/>
      <c r="Y711" s="1440"/>
      <c r="Z711" s="1440"/>
      <c r="AA711" s="1440"/>
      <c r="AB711" s="1440"/>
      <c r="AC711" s="1440"/>
      <c r="AD711" s="1440"/>
      <c r="AE711" s="1440"/>
      <c r="AF711" s="1440"/>
      <c r="AG711" s="1440"/>
      <c r="AH711" s="1440"/>
      <c r="AI711" s="1440"/>
      <c r="AJ711" s="1440"/>
      <c r="AK711" s="1440"/>
    </row>
    <row r="712" spans="1:110" ht="12.9" customHeight="1">
      <c r="B712" s="135"/>
      <c r="C712" s="135"/>
      <c r="D712" s="136" t="s">
        <v>87</v>
      </c>
      <c r="E712" s="135"/>
      <c r="F712" s="135"/>
      <c r="G712" s="135"/>
      <c r="H712" s="135"/>
      <c r="J712" s="1440"/>
      <c r="K712" s="1440"/>
      <c r="L712" s="1440"/>
      <c r="M712" s="1440"/>
      <c r="N712" s="1440"/>
      <c r="O712" s="1440"/>
      <c r="P712" s="1440"/>
      <c r="Q712" s="1440"/>
      <c r="R712" s="1440"/>
      <c r="S712" s="1440"/>
      <c r="T712" s="1440"/>
      <c r="U712" s="1440"/>
      <c r="V712" s="1440"/>
      <c r="W712" s="1440"/>
      <c r="X712" s="1440"/>
      <c r="BB712" s="34"/>
      <c r="BC712" s="34"/>
      <c r="BD712" s="34"/>
      <c r="BE712" s="3"/>
      <c r="BF712" s="3"/>
      <c r="BJ712" s="3"/>
      <c r="BK712" s="3"/>
      <c r="BL712" s="3"/>
      <c r="BM712" s="3"/>
      <c r="BN712" s="34"/>
      <c r="BO712" s="34"/>
    </row>
    <row r="713" spans="1:110" ht="12.9" customHeight="1">
      <c r="B713" s="135"/>
      <c r="C713" s="135"/>
      <c r="D713" s="136" t="s">
        <v>88</v>
      </c>
      <c r="J713" s="1454"/>
      <c r="K713" s="1454"/>
      <c r="L713" s="1454"/>
      <c r="M713" s="1454"/>
      <c r="N713" s="1454"/>
      <c r="O713" s="1454"/>
      <c r="P713" s="4" t="s">
        <v>206</v>
      </c>
      <c r="Q713" s="4"/>
      <c r="R713" s="1439"/>
      <c r="S713" s="1439"/>
      <c r="T713" s="143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443</v>
      </c>
      <c r="W714" s="1440" t="s">
        <v>307</v>
      </c>
      <c r="X714" s="1440"/>
      <c r="Y714" s="1440"/>
      <c r="Z714" s="1440"/>
      <c r="AA714" s="1440"/>
      <c r="AB714" s="1440"/>
      <c r="AC714" s="1440"/>
      <c r="AD714" s="1440"/>
      <c r="AE714" s="1440"/>
      <c r="AF714" s="1440"/>
      <c r="AG714" s="1440"/>
      <c r="AH714" s="1440"/>
      <c r="AI714" s="1440"/>
      <c r="AJ714" s="1440"/>
      <c r="AK714" s="1440"/>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440" t="s">
        <v>334</v>
      </c>
      <c r="F715" s="1440"/>
      <c r="G715" s="1440"/>
      <c r="H715" s="1440"/>
      <c r="I715" s="1440"/>
      <c r="J715" s="1440"/>
      <c r="K715" s="1440"/>
      <c r="L715" s="1440"/>
      <c r="M715" s="1440"/>
      <c r="N715" s="1440"/>
      <c r="O715" s="1440"/>
      <c r="P715" s="1440"/>
      <c r="Q715" s="1440"/>
      <c r="R715" s="1440"/>
      <c r="S715" s="1440"/>
      <c r="T715" s="1440"/>
      <c r="U715" s="1440"/>
      <c r="V715" s="1440"/>
      <c r="W715" s="1440"/>
      <c r="X715" s="1440"/>
      <c r="Y715" s="1440"/>
      <c r="Z715" s="1440"/>
      <c r="AA715" s="1440"/>
      <c r="AB715" s="1440"/>
      <c r="AC715" s="1440"/>
      <c r="AD715" s="1440"/>
      <c r="AE715" s="1440"/>
      <c r="AF715" s="1440"/>
      <c r="AG715" s="1440"/>
      <c r="AH715" s="1440"/>
      <c r="AI715" s="1440"/>
      <c r="AJ715" s="1440"/>
      <c r="AK715" s="1440"/>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468" t="s">
        <v>95</v>
      </c>
      <c r="B717" s="1468"/>
      <c r="C717" s="1468"/>
      <c r="D717" s="1468"/>
      <c r="E717" s="1468"/>
      <c r="F717" s="1468"/>
      <c r="G717" s="1468"/>
      <c r="H717" s="1468"/>
      <c r="I717" s="1468"/>
      <c r="J717" s="1468"/>
      <c r="K717" s="1468"/>
      <c r="L717" s="1468"/>
      <c r="M717" s="1468"/>
      <c r="N717" s="1468"/>
      <c r="O717" s="1468"/>
      <c r="P717" s="1468"/>
      <c r="Q717" s="1468"/>
      <c r="R717" s="1468"/>
      <c r="S717" s="1468"/>
      <c r="T717" s="1468"/>
      <c r="U717" s="1468"/>
      <c r="V717" s="1468"/>
      <c r="W717" s="1468"/>
      <c r="X717" s="1468"/>
      <c r="Y717" s="1468"/>
      <c r="Z717" s="1468"/>
      <c r="AA717" s="1468"/>
      <c r="AB717" s="1468"/>
      <c r="AC717" s="1468"/>
      <c r="AD717" s="1468"/>
      <c r="AE717" s="1468"/>
      <c r="AF717" s="1468"/>
      <c r="AG717" s="1468"/>
      <c r="AH717" s="1468"/>
      <c r="AI717" s="1468"/>
      <c r="AJ717" s="1468"/>
      <c r="AK717" s="1468"/>
      <c r="AL717" s="1468"/>
      <c r="AM717" s="1468"/>
      <c r="AN717" s="1468"/>
      <c r="AO717" s="1468"/>
      <c r="AP717" s="1468"/>
      <c r="AQ717" s="1468"/>
      <c r="AR717" s="1468"/>
      <c r="AS717" s="1468"/>
      <c r="AT717" s="1468"/>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468"/>
      <c r="B718" s="1468"/>
      <c r="C718" s="1468"/>
      <c r="D718" s="1468"/>
      <c r="E718" s="1468"/>
      <c r="F718" s="1468"/>
      <c r="G718" s="1468"/>
      <c r="H718" s="1468"/>
      <c r="I718" s="1468"/>
      <c r="J718" s="1468"/>
      <c r="K718" s="1468"/>
      <c r="L718" s="1468"/>
      <c r="M718" s="1468"/>
      <c r="N718" s="1468"/>
      <c r="O718" s="1468"/>
      <c r="P718" s="1468"/>
      <c r="Q718" s="1468"/>
      <c r="R718" s="1468"/>
      <c r="S718" s="1468"/>
      <c r="T718" s="1468"/>
      <c r="U718" s="1468"/>
      <c r="V718" s="1468"/>
      <c r="W718" s="1468"/>
      <c r="X718" s="1468"/>
      <c r="Y718" s="1468"/>
      <c r="Z718" s="1468"/>
      <c r="AA718" s="1468"/>
      <c r="AB718" s="1468"/>
      <c r="AC718" s="1468"/>
      <c r="AD718" s="1468"/>
      <c r="AE718" s="1468"/>
      <c r="AF718" s="1468"/>
      <c r="AG718" s="1468"/>
      <c r="AH718" s="1468"/>
      <c r="AI718" s="1468"/>
      <c r="AJ718" s="1468"/>
      <c r="AK718" s="1468"/>
      <c r="AL718" s="1468"/>
      <c r="AM718" s="1468"/>
      <c r="AN718" s="1468"/>
      <c r="AO718" s="1468"/>
      <c r="AP718" s="1468"/>
      <c r="AQ718" s="1468"/>
      <c r="AR718" s="1468"/>
      <c r="AS718" s="1468"/>
      <c r="AT718" s="1468"/>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468"/>
      <c r="B719" s="1468"/>
      <c r="C719" s="1468"/>
      <c r="D719" s="1468"/>
      <c r="E719" s="1468"/>
      <c r="F719" s="1468"/>
      <c r="G719" s="1468"/>
      <c r="H719" s="1468"/>
      <c r="I719" s="1468"/>
      <c r="J719" s="1468"/>
      <c r="K719" s="1468"/>
      <c r="L719" s="1468"/>
      <c r="M719" s="1468"/>
      <c r="N719" s="1468"/>
      <c r="O719" s="1468"/>
      <c r="P719" s="1468"/>
      <c r="Q719" s="1468"/>
      <c r="R719" s="1468"/>
      <c r="S719" s="1468"/>
      <c r="T719" s="1468"/>
      <c r="U719" s="1468"/>
      <c r="V719" s="1468"/>
      <c r="W719" s="1468"/>
      <c r="X719" s="1468"/>
      <c r="Y719" s="1468"/>
      <c r="Z719" s="1468"/>
      <c r="AA719" s="1468"/>
      <c r="AB719" s="1468"/>
      <c r="AC719" s="1468"/>
      <c r="AD719" s="1468"/>
      <c r="AE719" s="1468"/>
      <c r="AF719" s="1468"/>
      <c r="AG719" s="1468"/>
      <c r="AH719" s="1468"/>
      <c r="AI719" s="1468"/>
      <c r="AJ719" s="1468"/>
      <c r="AK719" s="1468"/>
      <c r="AL719" s="1468"/>
      <c r="AM719" s="1468"/>
      <c r="AN719" s="1468"/>
      <c r="AO719" s="1468"/>
      <c r="AP719" s="1468"/>
      <c r="AQ719" s="1468"/>
      <c r="AR719" s="1468"/>
      <c r="AS719" s="1468"/>
      <c r="AT719" s="146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622" t="s">
        <v>389</v>
      </c>
      <c r="C722" s="1516"/>
      <c r="D722" s="1516"/>
      <c r="E722" s="1516"/>
      <c r="F722" s="1517"/>
      <c r="G722" s="1622" t="s">
        <v>285</v>
      </c>
      <c r="H722" s="1516"/>
      <c r="I722" s="1516"/>
      <c r="J722" s="1517"/>
      <c r="K722" s="1545" t="s">
        <v>1667</v>
      </c>
      <c r="L722" s="1546"/>
      <c r="M722" s="1546"/>
      <c r="N722" s="1547"/>
      <c r="O722" s="1622" t="s">
        <v>447</v>
      </c>
      <c r="P722" s="1516"/>
      <c r="Q722" s="1516"/>
      <c r="R722" s="1516"/>
      <c r="S722" s="1517"/>
      <c r="T722" s="1515" t="s">
        <v>1917</v>
      </c>
      <c r="U722" s="1516"/>
      <c r="V722" s="1516"/>
      <c r="W722" s="1517"/>
      <c r="X722" s="1515" t="s">
        <v>1919</v>
      </c>
      <c r="Y722" s="1516"/>
      <c r="Z722" s="1516"/>
      <c r="AA722" s="1516"/>
      <c r="AB722" s="1517"/>
      <c r="AC722" s="1515" t="s">
        <v>1918</v>
      </c>
      <c r="AD722" s="1516"/>
      <c r="AE722" s="1516"/>
      <c r="AF722" s="1516"/>
      <c r="AG722" s="1517"/>
      <c r="AH722" s="1515" t="s">
        <v>1920</v>
      </c>
      <c r="AI722" s="1516"/>
      <c r="AJ722" s="1517"/>
      <c r="AK722" s="1515" t="s">
        <v>1947</v>
      </c>
      <c r="AL722" s="1516"/>
      <c r="AM722" s="1516"/>
      <c r="AN722" s="1516"/>
      <c r="AO722" s="151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518"/>
      <c r="C723" s="1519"/>
      <c r="D723" s="1519"/>
      <c r="E723" s="1519"/>
      <c r="F723" s="1520"/>
      <c r="G723" s="1518"/>
      <c r="H723" s="1519"/>
      <c r="I723" s="1519"/>
      <c r="J723" s="1520"/>
      <c r="K723" s="1548"/>
      <c r="L723" s="1549"/>
      <c r="M723" s="1549"/>
      <c r="N723" s="1550"/>
      <c r="O723" s="1518"/>
      <c r="P723" s="1519"/>
      <c r="Q723" s="1519"/>
      <c r="R723" s="1519"/>
      <c r="S723" s="1520"/>
      <c r="T723" s="1518"/>
      <c r="U723" s="1519"/>
      <c r="V723" s="1519"/>
      <c r="W723" s="1520"/>
      <c r="X723" s="1518"/>
      <c r="Y723" s="1519"/>
      <c r="Z723" s="1519"/>
      <c r="AA723" s="1519"/>
      <c r="AB723" s="1520"/>
      <c r="AC723" s="1518"/>
      <c r="AD723" s="1519"/>
      <c r="AE723" s="1519"/>
      <c r="AF723" s="1519"/>
      <c r="AG723" s="1520"/>
      <c r="AH723" s="1518"/>
      <c r="AI723" s="1519"/>
      <c r="AJ723" s="1520"/>
      <c r="AK723" s="1518"/>
      <c r="AL723" s="1519"/>
      <c r="AM723" s="1519"/>
      <c r="AN723" s="1519"/>
      <c r="AO723" s="152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518"/>
      <c r="C724" s="1519"/>
      <c r="D724" s="1519"/>
      <c r="E724" s="1519"/>
      <c r="F724" s="1520"/>
      <c r="G724" s="1518"/>
      <c r="H724" s="1519"/>
      <c r="I724" s="1519"/>
      <c r="J724" s="1520"/>
      <c r="K724" s="1548"/>
      <c r="L724" s="1549"/>
      <c r="M724" s="1549"/>
      <c r="N724" s="1550"/>
      <c r="O724" s="1518"/>
      <c r="P724" s="1519"/>
      <c r="Q724" s="1519"/>
      <c r="R724" s="1519"/>
      <c r="S724" s="1520"/>
      <c r="T724" s="1518"/>
      <c r="U724" s="1519"/>
      <c r="V724" s="1519"/>
      <c r="W724" s="1520"/>
      <c r="X724" s="1518"/>
      <c r="Y724" s="1519"/>
      <c r="Z724" s="1519"/>
      <c r="AA724" s="1519"/>
      <c r="AB724" s="1520"/>
      <c r="AC724" s="1518"/>
      <c r="AD724" s="1519"/>
      <c r="AE724" s="1519"/>
      <c r="AF724" s="1519"/>
      <c r="AG724" s="1520"/>
      <c r="AH724" s="1518"/>
      <c r="AI724" s="1519"/>
      <c r="AJ724" s="1520"/>
      <c r="AK724" s="1518"/>
      <c r="AL724" s="1519"/>
      <c r="AM724" s="1519"/>
      <c r="AN724" s="1519"/>
      <c r="AO724" s="1520"/>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521"/>
      <c r="C725" s="1522"/>
      <c r="D725" s="1522"/>
      <c r="E725" s="1522"/>
      <c r="F725" s="1523"/>
      <c r="G725" s="1521"/>
      <c r="H725" s="1522"/>
      <c r="I725" s="1522"/>
      <c r="J725" s="1523"/>
      <c r="K725" s="1548"/>
      <c r="L725" s="1549"/>
      <c r="M725" s="1549"/>
      <c r="N725" s="1550"/>
      <c r="O725" s="1521"/>
      <c r="P725" s="1522"/>
      <c r="Q725" s="1522"/>
      <c r="R725" s="1522"/>
      <c r="S725" s="1523"/>
      <c r="T725" s="1521"/>
      <c r="U725" s="1522"/>
      <c r="V725" s="1522"/>
      <c r="W725" s="1523"/>
      <c r="X725" s="1521"/>
      <c r="Y725" s="1522"/>
      <c r="Z725" s="1522"/>
      <c r="AA725" s="1522"/>
      <c r="AB725" s="1523"/>
      <c r="AC725" s="1521"/>
      <c r="AD725" s="1522"/>
      <c r="AE725" s="1522"/>
      <c r="AF725" s="1522"/>
      <c r="AG725" s="1523"/>
      <c r="AH725" s="1521"/>
      <c r="AI725" s="1522"/>
      <c r="AJ725" s="1523"/>
      <c r="AK725" s="1521"/>
      <c r="AL725" s="1522"/>
      <c r="AM725" s="1522"/>
      <c r="AN725" s="1522"/>
      <c r="AO725" s="1523"/>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531"/>
      <c r="CJ725" s="1533"/>
      <c r="CK725" s="121" t="s">
        <v>475</v>
      </c>
      <c r="CL725" s="122"/>
      <c r="CM725" s="1531"/>
      <c r="CN725" s="1533"/>
      <c r="CO725" s="3"/>
      <c r="CP725" s="1407" t="s">
        <v>633</v>
      </c>
      <c r="CQ725" s="1408"/>
      <c r="CR725" s="1408"/>
      <c r="CS725" s="1408"/>
      <c r="CT725" s="1409"/>
      <c r="CU725" s="1535" t="s">
        <v>325</v>
      </c>
      <c r="CV725" s="1535"/>
      <c r="CW725" s="1535"/>
      <c r="CX725" s="1535"/>
      <c r="CY725" s="1535"/>
      <c r="CZ725" s="1535" t="s">
        <v>163</v>
      </c>
      <c r="DA725" s="1535"/>
      <c r="DB725" s="1535"/>
      <c r="DC725" s="1535"/>
      <c r="DD725" s="1535"/>
      <c r="DE725" s="1535" t="s">
        <v>164</v>
      </c>
      <c r="DF725" s="1535"/>
      <c r="DG725" s="1535"/>
      <c r="DH725" s="1535"/>
      <c r="DI725" s="1535"/>
      <c r="DJ725" s="1535" t="s">
        <v>460</v>
      </c>
      <c r="DK725" s="1535"/>
      <c r="DL725" s="1535"/>
      <c r="DM725" s="1535"/>
      <c r="DN725" s="1535"/>
      <c r="DO725" s="1535" t="s">
        <v>30</v>
      </c>
      <c r="DP725" s="1535"/>
      <c r="DQ725" s="1535"/>
      <c r="DR725" s="1535"/>
      <c r="DS725" s="1535"/>
      <c r="DT725" s="89"/>
      <c r="DU725" s="1535" t="s">
        <v>633</v>
      </c>
      <c r="DV725" s="1535"/>
      <c r="DW725" s="1535"/>
      <c r="DX725" s="1535"/>
      <c r="DY725" s="1535"/>
      <c r="DZ725" s="1535" t="s">
        <v>325</v>
      </c>
      <c r="EA725" s="1535"/>
      <c r="EB725" s="1535"/>
      <c r="EC725" s="1535"/>
      <c r="ED725" s="1535"/>
      <c r="EE725" s="1535" t="s">
        <v>163</v>
      </c>
      <c r="EF725" s="1535"/>
      <c r="EG725" s="1535"/>
      <c r="EH725" s="1535"/>
      <c r="EI725" s="1535"/>
      <c r="EJ725" s="1535" t="s">
        <v>164</v>
      </c>
      <c r="EK725" s="1535"/>
      <c r="EL725" s="1535"/>
      <c r="EM725" s="1535"/>
      <c r="EN725" s="1535"/>
      <c r="EO725" s="1535" t="s">
        <v>460</v>
      </c>
      <c r="EP725" s="1535"/>
      <c r="EQ725" s="1535"/>
      <c r="ER725" s="1535"/>
      <c r="ES725" s="1535"/>
      <c r="ET725" s="1535" t="s">
        <v>30</v>
      </c>
      <c r="EU725" s="1535"/>
      <c r="EV725" s="1535"/>
      <c r="EW725" s="1535"/>
      <c r="EX725" s="1535"/>
      <c r="EY725" s="4"/>
      <c r="EZ725" s="1535" t="s">
        <v>633</v>
      </c>
      <c r="FA725" s="1535"/>
      <c r="FB725" s="1535"/>
      <c r="FC725" s="1535"/>
      <c r="FD725" s="1535"/>
      <c r="FE725" s="1535" t="s">
        <v>325</v>
      </c>
      <c r="FF725" s="1535"/>
      <c r="FG725" s="1535"/>
      <c r="FH725" s="1535"/>
      <c r="FI725" s="1535"/>
      <c r="FJ725" s="1535" t="s">
        <v>163</v>
      </c>
      <c r="FK725" s="1535"/>
      <c r="FL725" s="1535"/>
      <c r="FM725" s="1535"/>
      <c r="FN725" s="1535"/>
      <c r="FO725" s="1535" t="s">
        <v>164</v>
      </c>
      <c r="FP725" s="1535"/>
      <c r="FQ725" s="1535"/>
      <c r="FR725" s="1535"/>
      <c r="FS725" s="1535"/>
      <c r="FT725" s="1535" t="s">
        <v>460</v>
      </c>
      <c r="FU725" s="1535"/>
      <c r="FV725" s="1535"/>
      <c r="FW725" s="1535"/>
      <c r="FX725" s="1535"/>
      <c r="FY725" s="1535" t="s">
        <v>30</v>
      </c>
      <c r="FZ725" s="1535"/>
      <c r="GA725" s="1535"/>
      <c r="GB725" s="1535"/>
      <c r="GC725" s="1535"/>
    </row>
    <row r="726" spans="1:185" ht="12.9" customHeight="1">
      <c r="A726" s="4"/>
      <c r="B726" s="1730" t="s">
        <v>324</v>
      </c>
      <c r="C726" s="1361"/>
      <c r="D726" s="1361"/>
      <c r="E726" s="1361"/>
      <c r="F726" s="1362"/>
      <c r="G726" s="1366">
        <v>4</v>
      </c>
      <c r="H726" s="1367"/>
      <c r="I726" s="1367"/>
      <c r="J726" s="1368"/>
      <c r="K726" s="1398">
        <v>488</v>
      </c>
      <c r="L726" s="1399"/>
      <c r="M726" s="1399"/>
      <c r="N726" s="1400"/>
      <c r="O726" s="1392">
        <v>918</v>
      </c>
      <c r="P726" s="1393"/>
      <c r="Q726" s="1393"/>
      <c r="R726" s="1393"/>
      <c r="S726" s="1394"/>
      <c r="T726" s="1392"/>
      <c r="U726" s="1393"/>
      <c r="V726" s="1393"/>
      <c r="W726" s="1394"/>
      <c r="X726" s="1421">
        <f t="shared" ref="X726:X749" si="10">O726+T726</f>
        <v>918</v>
      </c>
      <c r="Y726" s="1422"/>
      <c r="Z726" s="1422"/>
      <c r="AA726" s="1422"/>
      <c r="AB726" s="1423"/>
      <c r="AC726" s="1395">
        <v>0.3</v>
      </c>
      <c r="AD726" s="1396"/>
      <c r="AE726" s="1396"/>
      <c r="AF726" s="1396"/>
      <c r="AG726" s="1397"/>
      <c r="AH726" s="1363">
        <f>IF($AC726&gt;0,($X726/$AZ726), "")</f>
        <v>0.29980404964075769</v>
      </c>
      <c r="AI726" s="1364"/>
      <c r="AJ726" s="1365"/>
      <c r="AK726" s="1360" t="s">
        <v>591</v>
      </c>
      <c r="AL726" s="1361"/>
      <c r="AM726" s="1361"/>
      <c r="AN726" s="1361"/>
      <c r="AO726" s="1362"/>
      <c r="AP726" s="3"/>
      <c r="AQ726" s="3"/>
      <c r="AR726" s="3"/>
      <c r="AS726" s="3"/>
      <c r="AZ726" s="118">
        <f t="shared" ref="AZ726:AZ760" si="11">IF($G726=0,"N/A",VLOOKUP($T$189,TC_Rent,(MATCH($B726,bedrooms,FALSE)),FALSE))</f>
        <v>3062</v>
      </c>
      <c r="BA726" s="3"/>
      <c r="BB726" s="3"/>
      <c r="BC726" s="3"/>
      <c r="BD726" s="3"/>
      <c r="BE726" s="204"/>
      <c r="BF726" s="293">
        <f t="shared" ref="BF726:BF760" si="12">G726</f>
        <v>4</v>
      </c>
      <c r="BG726" s="297">
        <f t="shared" ref="BG726:BG760" si="13">IF($BF$761=0,0,BF726/$BF$761)</f>
        <v>2.197802197802198E-2</v>
      </c>
      <c r="BH726" s="298">
        <f t="shared" ref="BH726:BH760" si="14">IF(BG726=0,"",BG726*AC726)</f>
        <v>6.5934065934065934E-3</v>
      </c>
      <c r="BI726" s="3"/>
      <c r="BJ726" s="3"/>
      <c r="BK726" s="3"/>
      <c r="BL726" s="3"/>
      <c r="BM726" s="3"/>
      <c r="BN726" s="3"/>
      <c r="BS726" s="293">
        <f t="shared" ref="BS726:BS760" si="15">G726</f>
        <v>4</v>
      </c>
      <c r="BT726" s="297">
        <f t="shared" ref="BT726:BT760" si="16">IF($BS$761=0,0,BS726/$BS$761)</f>
        <v>2.197802197802198E-2</v>
      </c>
      <c r="BU726" s="298">
        <f t="shared" ref="BU726:BU760" si="17">IF(BT726=0,"",BT726*AH726)</f>
        <v>6.5890999921045653E-3</v>
      </c>
      <c r="CC726" s="3"/>
      <c r="CD726" s="3"/>
      <c r="CE726" s="3"/>
      <c r="CF726" s="3"/>
      <c r="CG726" s="1528">
        <f>IF(AND(AC726&lt;=0.5,AC726&gt;=0.36),1,0)</f>
        <v>0</v>
      </c>
      <c r="CH726" s="1530"/>
      <c r="CI726" s="1531">
        <f>IF(CG726=1,G726,0)</f>
        <v>0</v>
      </c>
      <c r="CJ726" s="1533"/>
      <c r="CK726" s="1528">
        <f t="shared" ref="CK726:CK760" si="18">IF(AND(AC726&lt;=0.35,AC726&gt;0),1,0)</f>
        <v>1</v>
      </c>
      <c r="CL726" s="1530"/>
      <c r="CM726" s="1531">
        <f t="shared" ref="CM726:CM760" si="19">IF(CK726=1,G726,0)</f>
        <v>4</v>
      </c>
      <c r="CN726" s="1533"/>
      <c r="CO726" s="3"/>
      <c r="CP726" s="1525">
        <f t="shared" ref="CP726:CP760" si="20">IF(B726="SRO/Studio",G726,0)</f>
        <v>4</v>
      </c>
      <c r="CQ726" s="1526"/>
      <c r="CR726" s="1526"/>
      <c r="CS726" s="1526"/>
      <c r="CT726" s="1527"/>
      <c r="CU726" s="1524">
        <f t="shared" ref="CU726:CU760" si="21">IF(B726="1 Bedroom",G726,0)</f>
        <v>0</v>
      </c>
      <c r="CV726" s="1524"/>
      <c r="CW726" s="1524"/>
      <c r="CX726" s="1524"/>
      <c r="CY726" s="1524"/>
      <c r="CZ726" s="1524">
        <f t="shared" ref="CZ726:CZ760" si="22">IF(B726="2 Bedrooms",G726,0)</f>
        <v>0</v>
      </c>
      <c r="DA726" s="1524"/>
      <c r="DB726" s="1524"/>
      <c r="DC726" s="1524"/>
      <c r="DD726" s="1524"/>
      <c r="DE726" s="1524">
        <f t="shared" ref="DE726:DE760" si="23">IF(B726="3 Bedrooms",G726,0)</f>
        <v>0</v>
      </c>
      <c r="DF726" s="1524"/>
      <c r="DG726" s="1524"/>
      <c r="DH726" s="1524"/>
      <c r="DI726" s="1524"/>
      <c r="DJ726" s="1524">
        <f t="shared" ref="DJ726:DJ760" si="24">IF(B726="4 Bedrooms",G726,0)</f>
        <v>0</v>
      </c>
      <c r="DK726" s="1524"/>
      <c r="DL726" s="1524"/>
      <c r="DM726" s="1524"/>
      <c r="DN726" s="1524"/>
      <c r="DO726" s="1524">
        <f t="shared" ref="DO726:DO760" si="25">IF(B726="5 Bedrooms",G726,0)</f>
        <v>0</v>
      </c>
      <c r="DP726" s="1524"/>
      <c r="DQ726" s="1524"/>
      <c r="DR726" s="1524"/>
      <c r="DS726" s="1524"/>
      <c r="DT726" s="6"/>
      <c r="DU726" s="1510">
        <f t="shared" ref="DU726:DU760" si="26">IF(AND(B726="SRO/Studio",AC726&lt;=0.3),G726,0)</f>
        <v>4</v>
      </c>
      <c r="DV726" s="1510"/>
      <c r="DW726" s="1510"/>
      <c r="DX726" s="1510"/>
      <c r="DY726" s="1510"/>
      <c r="DZ726" s="1510">
        <f t="shared" ref="DZ726:DZ760" si="27">IF(AND(B726="1 Bedroom",AC726&lt;=0.3),G726,0)</f>
        <v>0</v>
      </c>
      <c r="EA726" s="1510"/>
      <c r="EB726" s="1510"/>
      <c r="EC726" s="1510"/>
      <c r="ED726" s="1510"/>
      <c r="EE726" s="1510">
        <f t="shared" ref="EE726:EE760" si="28">IF(AND(B726="2 Bedrooms",AC726&lt;=0.3),G726,0)</f>
        <v>0</v>
      </c>
      <c r="EF726" s="1510"/>
      <c r="EG726" s="1510"/>
      <c r="EH726" s="1510"/>
      <c r="EI726" s="1510"/>
      <c r="EJ726" s="1510">
        <f t="shared" ref="EJ726:EJ760" si="29">IF(AND(B726="3 Bedrooms",AC726&lt;=0.3),G726,0)</f>
        <v>0</v>
      </c>
      <c r="EK726" s="1510"/>
      <c r="EL726" s="1510"/>
      <c r="EM726" s="1510"/>
      <c r="EN726" s="1510"/>
      <c r="EO726" s="1510">
        <f t="shared" ref="EO726:EO760" si="30">IF(AND(B726="4 Bedrooms",AC726&lt;=0.3),G726,0)</f>
        <v>0</v>
      </c>
      <c r="EP726" s="1510"/>
      <c r="EQ726" s="1510"/>
      <c r="ER726" s="1510"/>
      <c r="ES726" s="1510"/>
      <c r="ET726" s="1510">
        <f t="shared" ref="ET726:ET760" si="31">IF(AND(B726="5 Bedrooms",AC726&lt;=0.3),G726,0)</f>
        <v>0</v>
      </c>
      <c r="EU726" s="1510"/>
      <c r="EV726" s="1510"/>
      <c r="EW726" s="1510"/>
      <c r="EX726" s="1510"/>
      <c r="EY726" s="4"/>
      <c r="EZ726" s="1528">
        <f t="shared" ref="EZ726:EZ760" si="32">IF(CP726&gt;0,O726,"")</f>
        <v>918</v>
      </c>
      <c r="FA726" s="1529"/>
      <c r="FB726" s="1529"/>
      <c r="FC726" s="1529"/>
      <c r="FD726" s="1530"/>
      <c r="FE726" s="1528" t="str">
        <f t="shared" ref="FE726:FE760" si="33">IF(CU726&gt;0,O726,"")</f>
        <v/>
      </c>
      <c r="FF726" s="1529"/>
      <c r="FG726" s="1529"/>
      <c r="FH726" s="1529"/>
      <c r="FI726" s="1530"/>
      <c r="FJ726" s="1528" t="str">
        <f t="shared" ref="FJ726:FJ760" si="34">IF(CZ726&gt;0,O726,"")</f>
        <v/>
      </c>
      <c r="FK726" s="1529"/>
      <c r="FL726" s="1529"/>
      <c r="FM726" s="1529"/>
      <c r="FN726" s="1530"/>
      <c r="FO726" s="1528" t="str">
        <f t="shared" ref="FO726:FO760" si="35">IF(DE726&gt;0,O726,"")</f>
        <v/>
      </c>
      <c r="FP726" s="1529"/>
      <c r="FQ726" s="1529"/>
      <c r="FR726" s="1529"/>
      <c r="FS726" s="1530"/>
      <c r="FT726" s="1528" t="str">
        <f t="shared" ref="FT726:FT760" si="36">IF(DJ726&gt;0,O726,"")</f>
        <v/>
      </c>
      <c r="FU726" s="1529"/>
      <c r="FV726" s="1529"/>
      <c r="FW726" s="1529"/>
      <c r="FX726" s="1530"/>
      <c r="FY726" s="1528" t="str">
        <f t="shared" ref="FY726:FY760" si="37">IF(DO726&gt;0,O726,"")</f>
        <v/>
      </c>
      <c r="FZ726" s="1529"/>
      <c r="GA726" s="1529"/>
      <c r="GB726" s="1529"/>
      <c r="GC726" s="1530"/>
    </row>
    <row r="727" spans="1:185" ht="12.9" customHeight="1">
      <c r="A727" s="4"/>
      <c r="B727" s="1360" t="s">
        <v>324</v>
      </c>
      <c r="C727" s="1361"/>
      <c r="D727" s="1361"/>
      <c r="E727" s="1361"/>
      <c r="F727" s="1362"/>
      <c r="G727" s="1366">
        <v>4</v>
      </c>
      <c r="H727" s="1367"/>
      <c r="I727" s="1367"/>
      <c r="J727" s="1368"/>
      <c r="K727" s="1398">
        <v>488</v>
      </c>
      <c r="L727" s="1399"/>
      <c r="M727" s="1399"/>
      <c r="N727" s="1400"/>
      <c r="O727" s="1392">
        <v>1531</v>
      </c>
      <c r="P727" s="1393"/>
      <c r="Q727" s="1393"/>
      <c r="R727" s="1393"/>
      <c r="S727" s="1394"/>
      <c r="T727" s="1392"/>
      <c r="U727" s="1393"/>
      <c r="V727" s="1393"/>
      <c r="W727" s="1394"/>
      <c r="X727" s="1421">
        <f t="shared" si="10"/>
        <v>1531</v>
      </c>
      <c r="Y727" s="1422"/>
      <c r="Z727" s="1422"/>
      <c r="AA727" s="1422"/>
      <c r="AB727" s="1423"/>
      <c r="AC727" s="1395">
        <v>0.5</v>
      </c>
      <c r="AD727" s="1396"/>
      <c r="AE727" s="1396"/>
      <c r="AF727" s="1396"/>
      <c r="AG727" s="1397"/>
      <c r="AH727" s="1363">
        <f t="shared" ref="AH727:AH760" si="38">IF($AC727&gt;0,($X727/$AZ727), "")</f>
        <v>0.5</v>
      </c>
      <c r="AI727" s="1364"/>
      <c r="AJ727" s="1365"/>
      <c r="AK727" s="1360" t="s">
        <v>591</v>
      </c>
      <c r="AL727" s="1361"/>
      <c r="AM727" s="1361"/>
      <c r="AN727" s="1361"/>
      <c r="AO727" s="1362"/>
      <c r="AP727" s="3"/>
      <c r="AQ727" s="3"/>
      <c r="AR727" s="3"/>
      <c r="AS727" s="3"/>
      <c r="AZ727" s="118">
        <f t="shared" si="11"/>
        <v>3062</v>
      </c>
      <c r="BA727" s="3"/>
      <c r="BB727" s="3"/>
      <c r="BC727" s="3"/>
      <c r="BD727" s="3"/>
      <c r="BE727" s="204"/>
      <c r="BF727" s="294">
        <f t="shared" si="12"/>
        <v>4</v>
      </c>
      <c r="BG727" s="297">
        <f t="shared" si="13"/>
        <v>2.197802197802198E-2</v>
      </c>
      <c r="BH727" s="298">
        <f t="shared" si="14"/>
        <v>1.098901098901099E-2</v>
      </c>
      <c r="BI727" s="3"/>
      <c r="BJ727" s="3"/>
      <c r="BK727" s="3"/>
      <c r="BL727" s="3"/>
      <c r="BM727" s="3"/>
      <c r="BN727" s="3"/>
      <c r="BS727" s="294">
        <f t="shared" si="15"/>
        <v>4</v>
      </c>
      <c r="BT727" s="297">
        <f t="shared" si="16"/>
        <v>2.197802197802198E-2</v>
      </c>
      <c r="BU727" s="298">
        <f t="shared" si="17"/>
        <v>1.098901098901099E-2</v>
      </c>
      <c r="CC727" s="3"/>
      <c r="CD727" s="3"/>
      <c r="CE727" s="3"/>
      <c r="CF727" s="3"/>
      <c r="CG727" s="1528">
        <f t="shared" ref="CG727:CG760" si="39">IF(AND(AC727&lt;=0.5,AC727&gt;=0.36),1,0)</f>
        <v>1</v>
      </c>
      <c r="CH727" s="1530"/>
      <c r="CI727" s="1531">
        <f t="shared" ref="CI727:CI760" si="40">IF(CG727=1,G727,0)</f>
        <v>4</v>
      </c>
      <c r="CJ727" s="1533"/>
      <c r="CK727" s="1528">
        <f t="shared" si="18"/>
        <v>0</v>
      </c>
      <c r="CL727" s="1530"/>
      <c r="CM727" s="1531">
        <f t="shared" si="19"/>
        <v>0</v>
      </c>
      <c r="CN727" s="1533"/>
      <c r="CO727" s="3"/>
      <c r="CP727" s="1525">
        <f t="shared" si="20"/>
        <v>4</v>
      </c>
      <c r="CQ727" s="1526"/>
      <c r="CR727" s="1526"/>
      <c r="CS727" s="1526"/>
      <c r="CT727" s="1527"/>
      <c r="CU727" s="1524">
        <f t="shared" si="21"/>
        <v>0</v>
      </c>
      <c r="CV727" s="1524"/>
      <c r="CW727" s="1524"/>
      <c r="CX727" s="1524"/>
      <c r="CY727" s="1524"/>
      <c r="CZ727" s="1524">
        <f t="shared" si="22"/>
        <v>0</v>
      </c>
      <c r="DA727" s="1524"/>
      <c r="DB727" s="1524"/>
      <c r="DC727" s="1524"/>
      <c r="DD727" s="1524"/>
      <c r="DE727" s="1524">
        <f t="shared" si="23"/>
        <v>0</v>
      </c>
      <c r="DF727" s="1524"/>
      <c r="DG727" s="1524"/>
      <c r="DH727" s="1524"/>
      <c r="DI727" s="1524"/>
      <c r="DJ727" s="1524">
        <f t="shared" si="24"/>
        <v>0</v>
      </c>
      <c r="DK727" s="1524"/>
      <c r="DL727" s="1524"/>
      <c r="DM727" s="1524"/>
      <c r="DN727" s="1524"/>
      <c r="DO727" s="1524">
        <f t="shared" si="25"/>
        <v>0</v>
      </c>
      <c r="DP727" s="1524"/>
      <c r="DQ727" s="1524"/>
      <c r="DR727" s="1524"/>
      <c r="DS727" s="1524"/>
      <c r="DT727" s="6"/>
      <c r="DU727" s="1510">
        <f t="shared" si="26"/>
        <v>0</v>
      </c>
      <c r="DV727" s="1510"/>
      <c r="DW727" s="1510"/>
      <c r="DX727" s="1510"/>
      <c r="DY727" s="1510"/>
      <c r="DZ727" s="1510">
        <f t="shared" si="27"/>
        <v>0</v>
      </c>
      <c r="EA727" s="1510"/>
      <c r="EB727" s="1510"/>
      <c r="EC727" s="1510"/>
      <c r="ED727" s="1510"/>
      <c r="EE727" s="1510">
        <f t="shared" si="28"/>
        <v>0</v>
      </c>
      <c r="EF727" s="1510"/>
      <c r="EG727" s="1510"/>
      <c r="EH727" s="1510"/>
      <c r="EI727" s="1510"/>
      <c r="EJ727" s="1510">
        <f t="shared" si="29"/>
        <v>0</v>
      </c>
      <c r="EK727" s="1510"/>
      <c r="EL727" s="1510"/>
      <c r="EM727" s="1510"/>
      <c r="EN727" s="1510"/>
      <c r="EO727" s="1510">
        <f t="shared" si="30"/>
        <v>0</v>
      </c>
      <c r="EP727" s="1510"/>
      <c r="EQ727" s="1510"/>
      <c r="ER727" s="1510"/>
      <c r="ES727" s="1510"/>
      <c r="ET727" s="1510">
        <f t="shared" si="31"/>
        <v>0</v>
      </c>
      <c r="EU727" s="1510"/>
      <c r="EV727" s="1510"/>
      <c r="EW727" s="1510"/>
      <c r="EX727" s="1510"/>
      <c r="EY727" s="4"/>
      <c r="EZ727" s="1528">
        <f t="shared" si="32"/>
        <v>1531</v>
      </c>
      <c r="FA727" s="1529"/>
      <c r="FB727" s="1529"/>
      <c r="FC727" s="1529"/>
      <c r="FD727" s="1530"/>
      <c r="FE727" s="1528" t="str">
        <f t="shared" si="33"/>
        <v/>
      </c>
      <c r="FF727" s="1529"/>
      <c r="FG727" s="1529"/>
      <c r="FH727" s="1529"/>
      <c r="FI727" s="1530"/>
      <c r="FJ727" s="1528" t="str">
        <f t="shared" si="34"/>
        <v/>
      </c>
      <c r="FK727" s="1529"/>
      <c r="FL727" s="1529"/>
      <c r="FM727" s="1529"/>
      <c r="FN727" s="1530"/>
      <c r="FO727" s="1528" t="str">
        <f t="shared" si="35"/>
        <v/>
      </c>
      <c r="FP727" s="1529"/>
      <c r="FQ727" s="1529"/>
      <c r="FR727" s="1529"/>
      <c r="FS727" s="1530"/>
      <c r="FT727" s="1528" t="str">
        <f t="shared" si="36"/>
        <v/>
      </c>
      <c r="FU727" s="1529"/>
      <c r="FV727" s="1529"/>
      <c r="FW727" s="1529"/>
      <c r="FX727" s="1530"/>
      <c r="FY727" s="1528" t="str">
        <f t="shared" si="37"/>
        <v/>
      </c>
      <c r="FZ727" s="1529"/>
      <c r="GA727" s="1529"/>
      <c r="GB727" s="1529"/>
      <c r="GC727" s="1530"/>
    </row>
    <row r="728" spans="1:185" ht="12.9" customHeight="1">
      <c r="A728" s="4"/>
      <c r="B728" s="1360" t="s">
        <v>324</v>
      </c>
      <c r="C728" s="1361"/>
      <c r="D728" s="1361"/>
      <c r="E728" s="1361"/>
      <c r="F728" s="1362"/>
      <c r="G728" s="1366">
        <v>4</v>
      </c>
      <c r="H728" s="1367"/>
      <c r="I728" s="1367"/>
      <c r="J728" s="1368"/>
      <c r="K728" s="1398">
        <v>488</v>
      </c>
      <c r="L728" s="1399"/>
      <c r="M728" s="1399"/>
      <c r="N728" s="1400"/>
      <c r="O728" s="1392">
        <v>1837</v>
      </c>
      <c r="P728" s="1393"/>
      <c r="Q728" s="1393"/>
      <c r="R728" s="1393"/>
      <c r="S728" s="1394"/>
      <c r="T728" s="1392"/>
      <c r="U728" s="1393"/>
      <c r="V728" s="1393"/>
      <c r="W728" s="1394"/>
      <c r="X728" s="1421">
        <f t="shared" si="10"/>
        <v>1837</v>
      </c>
      <c r="Y728" s="1422"/>
      <c r="Z728" s="1422"/>
      <c r="AA728" s="1422"/>
      <c r="AB728" s="1423"/>
      <c r="AC728" s="1395">
        <v>0.6</v>
      </c>
      <c r="AD728" s="1396"/>
      <c r="AE728" s="1396"/>
      <c r="AF728" s="1396"/>
      <c r="AG728" s="1397"/>
      <c r="AH728" s="1363">
        <f t="shared" si="38"/>
        <v>0.5999346832135859</v>
      </c>
      <c r="AI728" s="1364"/>
      <c r="AJ728" s="1365"/>
      <c r="AK728" s="1360" t="s">
        <v>591</v>
      </c>
      <c r="AL728" s="1361"/>
      <c r="AM728" s="1361"/>
      <c r="AN728" s="1361"/>
      <c r="AO728" s="1362"/>
      <c r="AP728" s="3"/>
      <c r="AQ728" s="3"/>
      <c r="AR728" s="3"/>
      <c r="AS728" s="3"/>
      <c r="AZ728" s="118">
        <f t="shared" si="11"/>
        <v>3062</v>
      </c>
      <c r="BA728" s="3"/>
      <c r="BB728" s="3"/>
      <c r="BC728" s="3"/>
      <c r="BD728" s="3"/>
      <c r="BE728" s="204"/>
      <c r="BF728" s="294">
        <f t="shared" si="12"/>
        <v>4</v>
      </c>
      <c r="BG728" s="297">
        <f t="shared" si="13"/>
        <v>2.197802197802198E-2</v>
      </c>
      <c r="BH728" s="298">
        <f t="shared" si="14"/>
        <v>1.3186813186813187E-2</v>
      </c>
      <c r="BI728" s="3"/>
      <c r="BJ728" s="3"/>
      <c r="BK728" s="3"/>
      <c r="BL728" s="3"/>
      <c r="BM728" s="3"/>
      <c r="BN728" s="3"/>
      <c r="BS728" s="294">
        <f t="shared" si="15"/>
        <v>4</v>
      </c>
      <c r="BT728" s="297">
        <f t="shared" si="16"/>
        <v>2.197802197802198E-2</v>
      </c>
      <c r="BU728" s="298">
        <f t="shared" si="17"/>
        <v>1.3185377653045845E-2</v>
      </c>
      <c r="CC728" s="3"/>
      <c r="CD728" s="3"/>
      <c r="CE728" s="3"/>
      <c r="CF728" s="3"/>
      <c r="CG728" s="1528">
        <f t="shared" si="39"/>
        <v>0</v>
      </c>
      <c r="CH728" s="1530"/>
      <c r="CI728" s="1531">
        <f t="shared" si="40"/>
        <v>0</v>
      </c>
      <c r="CJ728" s="1533"/>
      <c r="CK728" s="1528">
        <f t="shared" si="18"/>
        <v>0</v>
      </c>
      <c r="CL728" s="1530"/>
      <c r="CM728" s="1531">
        <f t="shared" si="19"/>
        <v>0</v>
      </c>
      <c r="CN728" s="1533"/>
      <c r="CO728" s="3"/>
      <c r="CP728" s="1525">
        <f t="shared" si="20"/>
        <v>4</v>
      </c>
      <c r="CQ728" s="1526"/>
      <c r="CR728" s="1526"/>
      <c r="CS728" s="1526"/>
      <c r="CT728" s="1527"/>
      <c r="CU728" s="1524">
        <f t="shared" si="21"/>
        <v>0</v>
      </c>
      <c r="CV728" s="1524"/>
      <c r="CW728" s="1524"/>
      <c r="CX728" s="1524"/>
      <c r="CY728" s="1524"/>
      <c r="CZ728" s="1524">
        <f t="shared" si="22"/>
        <v>0</v>
      </c>
      <c r="DA728" s="1524"/>
      <c r="DB728" s="1524"/>
      <c r="DC728" s="1524"/>
      <c r="DD728" s="1524"/>
      <c r="DE728" s="1524">
        <f t="shared" si="23"/>
        <v>0</v>
      </c>
      <c r="DF728" s="1524"/>
      <c r="DG728" s="1524"/>
      <c r="DH728" s="1524"/>
      <c r="DI728" s="1524"/>
      <c r="DJ728" s="1524">
        <f t="shared" si="24"/>
        <v>0</v>
      </c>
      <c r="DK728" s="1524"/>
      <c r="DL728" s="1524"/>
      <c r="DM728" s="1524"/>
      <c r="DN728" s="1524"/>
      <c r="DO728" s="1524">
        <f t="shared" si="25"/>
        <v>0</v>
      </c>
      <c r="DP728" s="1524"/>
      <c r="DQ728" s="1524"/>
      <c r="DR728" s="1524"/>
      <c r="DS728" s="1524"/>
      <c r="DT728" s="6"/>
      <c r="DU728" s="1510">
        <f t="shared" si="26"/>
        <v>0</v>
      </c>
      <c r="DV728" s="1510"/>
      <c r="DW728" s="1510"/>
      <c r="DX728" s="1510"/>
      <c r="DY728" s="1510"/>
      <c r="DZ728" s="1510">
        <f t="shared" si="27"/>
        <v>0</v>
      </c>
      <c r="EA728" s="1510"/>
      <c r="EB728" s="1510"/>
      <c r="EC728" s="1510"/>
      <c r="ED728" s="1510"/>
      <c r="EE728" s="1510">
        <f t="shared" si="28"/>
        <v>0</v>
      </c>
      <c r="EF728" s="1510"/>
      <c r="EG728" s="1510"/>
      <c r="EH728" s="1510"/>
      <c r="EI728" s="1510"/>
      <c r="EJ728" s="1510">
        <f t="shared" si="29"/>
        <v>0</v>
      </c>
      <c r="EK728" s="1510"/>
      <c r="EL728" s="1510"/>
      <c r="EM728" s="1510"/>
      <c r="EN728" s="1510"/>
      <c r="EO728" s="1510">
        <f t="shared" si="30"/>
        <v>0</v>
      </c>
      <c r="EP728" s="1510"/>
      <c r="EQ728" s="1510"/>
      <c r="ER728" s="1510"/>
      <c r="ES728" s="1510"/>
      <c r="ET728" s="1510">
        <f t="shared" si="31"/>
        <v>0</v>
      </c>
      <c r="EU728" s="1510"/>
      <c r="EV728" s="1510"/>
      <c r="EW728" s="1510"/>
      <c r="EX728" s="1510"/>
      <c r="EZ728" s="1528">
        <f t="shared" si="32"/>
        <v>1837</v>
      </c>
      <c r="FA728" s="1529"/>
      <c r="FB728" s="1529"/>
      <c r="FC728" s="1529"/>
      <c r="FD728" s="1530"/>
      <c r="FE728" s="1528" t="str">
        <f t="shared" si="33"/>
        <v/>
      </c>
      <c r="FF728" s="1529"/>
      <c r="FG728" s="1529"/>
      <c r="FH728" s="1529"/>
      <c r="FI728" s="1530"/>
      <c r="FJ728" s="1528" t="str">
        <f t="shared" si="34"/>
        <v/>
      </c>
      <c r="FK728" s="1529"/>
      <c r="FL728" s="1529"/>
      <c r="FM728" s="1529"/>
      <c r="FN728" s="1530"/>
      <c r="FO728" s="1528" t="str">
        <f t="shared" si="35"/>
        <v/>
      </c>
      <c r="FP728" s="1529"/>
      <c r="FQ728" s="1529"/>
      <c r="FR728" s="1529"/>
      <c r="FS728" s="1530"/>
      <c r="FT728" s="1528" t="str">
        <f t="shared" si="36"/>
        <v/>
      </c>
      <c r="FU728" s="1529"/>
      <c r="FV728" s="1529"/>
      <c r="FW728" s="1529"/>
      <c r="FX728" s="1530"/>
      <c r="FY728" s="1528" t="str">
        <f t="shared" si="37"/>
        <v/>
      </c>
      <c r="FZ728" s="1529"/>
      <c r="GA728" s="1529"/>
      <c r="GB728" s="1529"/>
      <c r="GC728" s="1530"/>
    </row>
    <row r="729" spans="1:185" ht="12.9" customHeight="1">
      <c r="B729" s="1360" t="s">
        <v>324</v>
      </c>
      <c r="C729" s="1361"/>
      <c r="D729" s="1361"/>
      <c r="E729" s="1361"/>
      <c r="F729" s="1362"/>
      <c r="G729" s="1366">
        <v>22</v>
      </c>
      <c r="H729" s="1367"/>
      <c r="I729" s="1367"/>
      <c r="J729" s="1368"/>
      <c r="K729" s="1398">
        <v>488</v>
      </c>
      <c r="L729" s="1399"/>
      <c r="M729" s="1399"/>
      <c r="N729" s="1400"/>
      <c r="O729" s="1392">
        <v>2450</v>
      </c>
      <c r="P729" s="1393"/>
      <c r="Q729" s="1393"/>
      <c r="R729" s="1393"/>
      <c r="S729" s="1394"/>
      <c r="T729" s="1392"/>
      <c r="U729" s="1393"/>
      <c r="V729" s="1393"/>
      <c r="W729" s="1394"/>
      <c r="X729" s="1421">
        <f t="shared" si="10"/>
        <v>2450</v>
      </c>
      <c r="Y729" s="1422"/>
      <c r="Z729" s="1422"/>
      <c r="AA729" s="1422"/>
      <c r="AB729" s="1423"/>
      <c r="AC729" s="1395">
        <v>0.8</v>
      </c>
      <c r="AD729" s="1396"/>
      <c r="AE729" s="1396"/>
      <c r="AF729" s="1396"/>
      <c r="AG729" s="1397"/>
      <c r="AH729" s="1363">
        <f t="shared" si="38"/>
        <v>0.80013063357282821</v>
      </c>
      <c r="AI729" s="1364"/>
      <c r="AJ729" s="1365"/>
      <c r="AK729" s="1360" t="s">
        <v>591</v>
      </c>
      <c r="AL729" s="1361"/>
      <c r="AM729" s="1361"/>
      <c r="AN729" s="1361"/>
      <c r="AO729" s="1362"/>
      <c r="AP729" s="3"/>
      <c r="AQ729" s="3"/>
      <c r="AR729" s="3"/>
      <c r="AS729" s="3"/>
      <c r="AY729" s="116"/>
      <c r="AZ729" s="118">
        <f t="shared" si="11"/>
        <v>3062</v>
      </c>
      <c r="BA729" s="3"/>
      <c r="BB729" s="3"/>
      <c r="BC729" s="3"/>
      <c r="BD729" s="3"/>
      <c r="BE729" s="204"/>
      <c r="BF729" s="294">
        <f t="shared" si="12"/>
        <v>22</v>
      </c>
      <c r="BG729" s="297">
        <f t="shared" si="13"/>
        <v>0.12087912087912088</v>
      </c>
      <c r="BH729" s="298">
        <f t="shared" si="14"/>
        <v>9.6703296703296707E-2</v>
      </c>
      <c r="BI729" s="3"/>
      <c r="BJ729" s="3"/>
      <c r="BK729" s="3"/>
      <c r="BL729" s="3"/>
      <c r="BM729" s="3"/>
      <c r="BN729" s="3"/>
      <c r="BS729" s="294">
        <f t="shared" si="15"/>
        <v>22</v>
      </c>
      <c r="BT729" s="297">
        <f t="shared" si="16"/>
        <v>0.12087912087912088</v>
      </c>
      <c r="BU729" s="298">
        <f t="shared" si="17"/>
        <v>9.6719087574737475E-2</v>
      </c>
      <c r="CC729" s="3"/>
      <c r="CD729" s="3"/>
      <c r="CE729" s="3"/>
      <c r="CF729" s="3"/>
      <c r="CG729" s="1528">
        <f t="shared" si="39"/>
        <v>0</v>
      </c>
      <c r="CH729" s="1530"/>
      <c r="CI729" s="1531">
        <f t="shared" si="40"/>
        <v>0</v>
      </c>
      <c r="CJ729" s="1533"/>
      <c r="CK729" s="1528">
        <f t="shared" si="18"/>
        <v>0</v>
      </c>
      <c r="CL729" s="1530"/>
      <c r="CM729" s="1531">
        <f t="shared" si="19"/>
        <v>0</v>
      </c>
      <c r="CN729" s="1533"/>
      <c r="CO729" s="3"/>
      <c r="CP729" s="1525">
        <f t="shared" si="20"/>
        <v>22</v>
      </c>
      <c r="CQ729" s="1526"/>
      <c r="CR729" s="1526"/>
      <c r="CS729" s="1526"/>
      <c r="CT729" s="1527"/>
      <c r="CU729" s="1524">
        <f t="shared" si="21"/>
        <v>0</v>
      </c>
      <c r="CV729" s="1524"/>
      <c r="CW729" s="1524"/>
      <c r="CX729" s="1524"/>
      <c r="CY729" s="1524"/>
      <c r="CZ729" s="1524">
        <f t="shared" si="22"/>
        <v>0</v>
      </c>
      <c r="DA729" s="1524"/>
      <c r="DB729" s="1524"/>
      <c r="DC729" s="1524"/>
      <c r="DD729" s="1524"/>
      <c r="DE729" s="1524">
        <f t="shared" si="23"/>
        <v>0</v>
      </c>
      <c r="DF729" s="1524"/>
      <c r="DG729" s="1524"/>
      <c r="DH729" s="1524"/>
      <c r="DI729" s="1524"/>
      <c r="DJ729" s="1524">
        <f t="shared" si="24"/>
        <v>0</v>
      </c>
      <c r="DK729" s="1524"/>
      <c r="DL729" s="1524"/>
      <c r="DM729" s="1524"/>
      <c r="DN729" s="1524"/>
      <c r="DO729" s="1524">
        <f t="shared" si="25"/>
        <v>0</v>
      </c>
      <c r="DP729" s="1524"/>
      <c r="DQ729" s="1524"/>
      <c r="DR729" s="1524"/>
      <c r="DS729" s="1524"/>
      <c r="DT729" s="6"/>
      <c r="DU729" s="1510">
        <f t="shared" si="26"/>
        <v>0</v>
      </c>
      <c r="DV729" s="1510"/>
      <c r="DW729" s="1510"/>
      <c r="DX729" s="1510"/>
      <c r="DY729" s="1510"/>
      <c r="DZ729" s="1510">
        <f t="shared" si="27"/>
        <v>0</v>
      </c>
      <c r="EA729" s="1510"/>
      <c r="EB729" s="1510"/>
      <c r="EC729" s="1510"/>
      <c r="ED729" s="1510"/>
      <c r="EE729" s="1510">
        <f t="shared" si="28"/>
        <v>0</v>
      </c>
      <c r="EF729" s="1510"/>
      <c r="EG729" s="1510"/>
      <c r="EH729" s="1510"/>
      <c r="EI729" s="1510"/>
      <c r="EJ729" s="1510">
        <f t="shared" si="29"/>
        <v>0</v>
      </c>
      <c r="EK729" s="1510"/>
      <c r="EL729" s="1510"/>
      <c r="EM729" s="1510"/>
      <c r="EN729" s="1510"/>
      <c r="EO729" s="1510">
        <f t="shared" si="30"/>
        <v>0</v>
      </c>
      <c r="EP729" s="1510"/>
      <c r="EQ729" s="1510"/>
      <c r="ER729" s="1510"/>
      <c r="ES729" s="1510"/>
      <c r="ET729" s="1510">
        <f t="shared" si="31"/>
        <v>0</v>
      </c>
      <c r="EU729" s="1510"/>
      <c r="EV729" s="1510"/>
      <c r="EW729" s="1510"/>
      <c r="EX729" s="1510"/>
      <c r="EZ729" s="1528">
        <f t="shared" si="32"/>
        <v>2450</v>
      </c>
      <c r="FA729" s="1529"/>
      <c r="FB729" s="1529"/>
      <c r="FC729" s="1529"/>
      <c r="FD729" s="1530"/>
      <c r="FE729" s="1528" t="str">
        <f t="shared" si="33"/>
        <v/>
      </c>
      <c r="FF729" s="1529"/>
      <c r="FG729" s="1529"/>
      <c r="FH729" s="1529"/>
      <c r="FI729" s="1530"/>
      <c r="FJ729" s="1528" t="str">
        <f t="shared" si="34"/>
        <v/>
      </c>
      <c r="FK729" s="1529"/>
      <c r="FL729" s="1529"/>
      <c r="FM729" s="1529"/>
      <c r="FN729" s="1530"/>
      <c r="FO729" s="1528" t="str">
        <f t="shared" si="35"/>
        <v/>
      </c>
      <c r="FP729" s="1529"/>
      <c r="FQ729" s="1529"/>
      <c r="FR729" s="1529"/>
      <c r="FS729" s="1530"/>
      <c r="FT729" s="1528" t="str">
        <f t="shared" si="36"/>
        <v/>
      </c>
      <c r="FU729" s="1529"/>
      <c r="FV729" s="1529"/>
      <c r="FW729" s="1529"/>
      <c r="FX729" s="1530"/>
      <c r="FY729" s="1528" t="str">
        <f t="shared" si="37"/>
        <v/>
      </c>
      <c r="FZ729" s="1529"/>
      <c r="GA729" s="1529"/>
      <c r="GB729" s="1529"/>
      <c r="GC729" s="1530"/>
    </row>
    <row r="730" spans="1:185" ht="12.9" customHeight="1">
      <c r="B730" s="1360" t="s">
        <v>325</v>
      </c>
      <c r="C730" s="1361"/>
      <c r="D730" s="1361"/>
      <c r="E730" s="1361"/>
      <c r="F730" s="1362"/>
      <c r="G730" s="1366">
        <v>9</v>
      </c>
      <c r="H730" s="1367"/>
      <c r="I730" s="1367"/>
      <c r="J730" s="1368"/>
      <c r="K730" s="1398">
        <v>595</v>
      </c>
      <c r="L730" s="1399"/>
      <c r="M730" s="1399"/>
      <c r="N730" s="1400"/>
      <c r="O730" s="1392">
        <v>984</v>
      </c>
      <c r="P730" s="1393"/>
      <c r="Q730" s="1393"/>
      <c r="R730" s="1393"/>
      <c r="S730" s="1394"/>
      <c r="T730" s="1392"/>
      <c r="U730" s="1393"/>
      <c r="V730" s="1393"/>
      <c r="W730" s="1394"/>
      <c r="X730" s="1421">
        <f t="shared" si="10"/>
        <v>984</v>
      </c>
      <c r="Y730" s="1422"/>
      <c r="Z730" s="1422"/>
      <c r="AA730" s="1422"/>
      <c r="AB730" s="1423"/>
      <c r="AC730" s="1395">
        <v>0.3</v>
      </c>
      <c r="AD730" s="1396"/>
      <c r="AE730" s="1396"/>
      <c r="AF730" s="1396"/>
      <c r="AG730" s="1397"/>
      <c r="AH730" s="1363">
        <f t="shared" si="38"/>
        <v>0.3</v>
      </c>
      <c r="AI730" s="1364"/>
      <c r="AJ730" s="1365"/>
      <c r="AK730" s="1360" t="s">
        <v>591</v>
      </c>
      <c r="AL730" s="1361"/>
      <c r="AM730" s="1361"/>
      <c r="AN730" s="1361"/>
      <c r="AO730" s="1362"/>
      <c r="AP730" s="3"/>
      <c r="AQ730" s="3"/>
      <c r="AR730" s="3"/>
      <c r="AS730" s="3"/>
      <c r="AY730" s="116"/>
      <c r="AZ730" s="118">
        <f t="shared" si="11"/>
        <v>3280</v>
      </c>
      <c r="BA730" s="3"/>
      <c r="BB730" s="3"/>
      <c r="BC730" s="3"/>
      <c r="BD730" s="3"/>
      <c r="BE730" s="204"/>
      <c r="BF730" s="294">
        <f t="shared" si="12"/>
        <v>9</v>
      </c>
      <c r="BG730" s="297">
        <f t="shared" si="13"/>
        <v>4.9450549450549448E-2</v>
      </c>
      <c r="BH730" s="298">
        <f t="shared" si="14"/>
        <v>1.4835164835164835E-2</v>
      </c>
      <c r="BI730" s="3"/>
      <c r="BJ730" s="3"/>
      <c r="BK730" s="3"/>
      <c r="BL730" s="3"/>
      <c r="BM730" s="3"/>
      <c r="BN730" s="3"/>
      <c r="BS730" s="294">
        <f t="shared" si="15"/>
        <v>9</v>
      </c>
      <c r="BT730" s="297">
        <f t="shared" si="16"/>
        <v>4.9450549450549448E-2</v>
      </c>
      <c r="BU730" s="298">
        <f t="shared" si="17"/>
        <v>1.4835164835164835E-2</v>
      </c>
      <c r="CC730" s="3"/>
      <c r="CD730" s="3"/>
      <c r="CE730" s="3"/>
      <c r="CF730" s="3"/>
      <c r="CG730" s="1528">
        <f t="shared" si="39"/>
        <v>0</v>
      </c>
      <c r="CH730" s="1530"/>
      <c r="CI730" s="1531">
        <f t="shared" si="40"/>
        <v>0</v>
      </c>
      <c r="CJ730" s="1533"/>
      <c r="CK730" s="1528">
        <f t="shared" si="18"/>
        <v>1</v>
      </c>
      <c r="CL730" s="1530"/>
      <c r="CM730" s="1531">
        <f t="shared" si="19"/>
        <v>9</v>
      </c>
      <c r="CN730" s="1533"/>
      <c r="CO730" s="3"/>
      <c r="CP730" s="1525">
        <f t="shared" si="20"/>
        <v>0</v>
      </c>
      <c r="CQ730" s="1526"/>
      <c r="CR730" s="1526"/>
      <c r="CS730" s="1526"/>
      <c r="CT730" s="1527"/>
      <c r="CU730" s="1524">
        <f t="shared" si="21"/>
        <v>9</v>
      </c>
      <c r="CV730" s="1524"/>
      <c r="CW730" s="1524"/>
      <c r="CX730" s="1524"/>
      <c r="CY730" s="1524"/>
      <c r="CZ730" s="1524">
        <f t="shared" si="22"/>
        <v>0</v>
      </c>
      <c r="DA730" s="1524"/>
      <c r="DB730" s="1524"/>
      <c r="DC730" s="1524"/>
      <c r="DD730" s="1524"/>
      <c r="DE730" s="1524">
        <f t="shared" si="23"/>
        <v>0</v>
      </c>
      <c r="DF730" s="1524"/>
      <c r="DG730" s="1524"/>
      <c r="DH730" s="1524"/>
      <c r="DI730" s="1524"/>
      <c r="DJ730" s="1524">
        <f t="shared" si="24"/>
        <v>0</v>
      </c>
      <c r="DK730" s="1524"/>
      <c r="DL730" s="1524"/>
      <c r="DM730" s="1524"/>
      <c r="DN730" s="1524"/>
      <c r="DO730" s="1524">
        <f t="shared" si="25"/>
        <v>0</v>
      </c>
      <c r="DP730" s="1524"/>
      <c r="DQ730" s="1524"/>
      <c r="DR730" s="1524"/>
      <c r="DS730" s="1524"/>
      <c r="DT730" s="6"/>
      <c r="DU730" s="1510">
        <f t="shared" si="26"/>
        <v>0</v>
      </c>
      <c r="DV730" s="1510"/>
      <c r="DW730" s="1510"/>
      <c r="DX730" s="1510"/>
      <c r="DY730" s="1510"/>
      <c r="DZ730" s="1510">
        <f t="shared" si="27"/>
        <v>9</v>
      </c>
      <c r="EA730" s="1510"/>
      <c r="EB730" s="1510"/>
      <c r="EC730" s="1510"/>
      <c r="ED730" s="1510"/>
      <c r="EE730" s="1510">
        <f t="shared" si="28"/>
        <v>0</v>
      </c>
      <c r="EF730" s="1510"/>
      <c r="EG730" s="1510"/>
      <c r="EH730" s="1510"/>
      <c r="EI730" s="1510"/>
      <c r="EJ730" s="1510">
        <f t="shared" si="29"/>
        <v>0</v>
      </c>
      <c r="EK730" s="1510"/>
      <c r="EL730" s="1510"/>
      <c r="EM730" s="1510"/>
      <c r="EN730" s="1510"/>
      <c r="EO730" s="1510">
        <f t="shared" si="30"/>
        <v>0</v>
      </c>
      <c r="EP730" s="1510"/>
      <c r="EQ730" s="1510"/>
      <c r="ER730" s="1510"/>
      <c r="ES730" s="1510"/>
      <c r="ET730" s="1510">
        <f t="shared" si="31"/>
        <v>0</v>
      </c>
      <c r="EU730" s="1510"/>
      <c r="EV730" s="1510"/>
      <c r="EW730" s="1510"/>
      <c r="EX730" s="1510"/>
      <c r="EZ730" s="1528" t="str">
        <f t="shared" si="32"/>
        <v/>
      </c>
      <c r="FA730" s="1529"/>
      <c r="FB730" s="1529"/>
      <c r="FC730" s="1529"/>
      <c r="FD730" s="1530"/>
      <c r="FE730" s="1528">
        <f t="shared" si="33"/>
        <v>984</v>
      </c>
      <c r="FF730" s="1529"/>
      <c r="FG730" s="1529"/>
      <c r="FH730" s="1529"/>
      <c r="FI730" s="1530"/>
      <c r="FJ730" s="1528" t="str">
        <f t="shared" si="34"/>
        <v/>
      </c>
      <c r="FK730" s="1529"/>
      <c r="FL730" s="1529"/>
      <c r="FM730" s="1529"/>
      <c r="FN730" s="1530"/>
      <c r="FO730" s="1528" t="str">
        <f t="shared" si="35"/>
        <v/>
      </c>
      <c r="FP730" s="1529"/>
      <c r="FQ730" s="1529"/>
      <c r="FR730" s="1529"/>
      <c r="FS730" s="1530"/>
      <c r="FT730" s="1528" t="str">
        <f t="shared" si="36"/>
        <v/>
      </c>
      <c r="FU730" s="1529"/>
      <c r="FV730" s="1529"/>
      <c r="FW730" s="1529"/>
      <c r="FX730" s="1530"/>
      <c r="FY730" s="1528" t="str">
        <f t="shared" si="37"/>
        <v/>
      </c>
      <c r="FZ730" s="1529"/>
      <c r="GA730" s="1529"/>
      <c r="GB730" s="1529"/>
      <c r="GC730" s="1530"/>
    </row>
    <row r="731" spans="1:185" ht="12.9" customHeight="1">
      <c r="B731" s="1360" t="s">
        <v>325</v>
      </c>
      <c r="C731" s="1361"/>
      <c r="D731" s="1361"/>
      <c r="E731" s="1361"/>
      <c r="F731" s="1362"/>
      <c r="G731" s="1366">
        <v>11</v>
      </c>
      <c r="H731" s="1367"/>
      <c r="I731" s="1367"/>
      <c r="J731" s="1368"/>
      <c r="K731" s="1398">
        <v>595</v>
      </c>
      <c r="L731" s="1399"/>
      <c r="M731" s="1399"/>
      <c r="N731" s="1400"/>
      <c r="O731" s="1392">
        <v>1640</v>
      </c>
      <c r="P731" s="1393"/>
      <c r="Q731" s="1393"/>
      <c r="R731" s="1393"/>
      <c r="S731" s="1394"/>
      <c r="T731" s="1392"/>
      <c r="U731" s="1393"/>
      <c r="V731" s="1393"/>
      <c r="W731" s="1394"/>
      <c r="X731" s="1421">
        <f t="shared" si="10"/>
        <v>1640</v>
      </c>
      <c r="Y731" s="1422"/>
      <c r="Z731" s="1422"/>
      <c r="AA731" s="1422"/>
      <c r="AB731" s="1423"/>
      <c r="AC731" s="1395">
        <v>0.5</v>
      </c>
      <c r="AD731" s="1396"/>
      <c r="AE731" s="1396"/>
      <c r="AF731" s="1396"/>
      <c r="AG731" s="1397"/>
      <c r="AH731" s="1363">
        <f t="shared" si="38"/>
        <v>0.5</v>
      </c>
      <c r="AI731" s="1364"/>
      <c r="AJ731" s="1365"/>
      <c r="AK731" s="1360" t="s">
        <v>591</v>
      </c>
      <c r="AL731" s="1361"/>
      <c r="AM731" s="1361"/>
      <c r="AN731" s="1361"/>
      <c r="AO731" s="1362"/>
      <c r="AP731" s="3"/>
      <c r="AQ731" s="3"/>
      <c r="AR731" s="3"/>
      <c r="AS731" s="3"/>
      <c r="AY731" s="116"/>
      <c r="AZ731" s="118">
        <f t="shared" si="11"/>
        <v>3280</v>
      </c>
      <c r="BA731" s="3"/>
      <c r="BB731" s="3"/>
      <c r="BC731" s="3"/>
      <c r="BD731" s="3"/>
      <c r="BE731" s="204"/>
      <c r="BF731" s="294">
        <f t="shared" si="12"/>
        <v>11</v>
      </c>
      <c r="BG731" s="297">
        <f t="shared" si="13"/>
        <v>6.043956043956044E-2</v>
      </c>
      <c r="BH731" s="298">
        <f t="shared" si="14"/>
        <v>3.021978021978022E-2</v>
      </c>
      <c r="BI731" s="3"/>
      <c r="BJ731" s="3"/>
      <c r="BK731" s="3"/>
      <c r="BL731" s="3"/>
      <c r="BM731" s="3"/>
      <c r="BN731" s="3"/>
      <c r="BS731" s="294">
        <f t="shared" si="15"/>
        <v>11</v>
      </c>
      <c r="BT731" s="297">
        <f t="shared" si="16"/>
        <v>6.043956043956044E-2</v>
      </c>
      <c r="BU731" s="298">
        <f t="shared" si="17"/>
        <v>3.021978021978022E-2</v>
      </c>
      <c r="CC731" s="3"/>
      <c r="CD731" s="3"/>
      <c r="CE731" s="3"/>
      <c r="CF731" s="3"/>
      <c r="CG731" s="1528">
        <f t="shared" si="39"/>
        <v>1</v>
      </c>
      <c r="CH731" s="1530"/>
      <c r="CI731" s="1531">
        <f t="shared" si="40"/>
        <v>11</v>
      </c>
      <c r="CJ731" s="1533"/>
      <c r="CK731" s="1528">
        <f t="shared" si="18"/>
        <v>0</v>
      </c>
      <c r="CL731" s="1530"/>
      <c r="CM731" s="1531">
        <f t="shared" si="19"/>
        <v>0</v>
      </c>
      <c r="CN731" s="1533"/>
      <c r="CO731" s="3"/>
      <c r="CP731" s="1525">
        <f t="shared" si="20"/>
        <v>0</v>
      </c>
      <c r="CQ731" s="1526"/>
      <c r="CR731" s="1526"/>
      <c r="CS731" s="1526"/>
      <c r="CT731" s="1527"/>
      <c r="CU731" s="1524">
        <f t="shared" si="21"/>
        <v>11</v>
      </c>
      <c r="CV731" s="1524"/>
      <c r="CW731" s="1524"/>
      <c r="CX731" s="1524"/>
      <c r="CY731" s="1524"/>
      <c r="CZ731" s="1524">
        <f t="shared" si="22"/>
        <v>0</v>
      </c>
      <c r="DA731" s="1524"/>
      <c r="DB731" s="1524"/>
      <c r="DC731" s="1524"/>
      <c r="DD731" s="1524"/>
      <c r="DE731" s="1524">
        <f t="shared" si="23"/>
        <v>0</v>
      </c>
      <c r="DF731" s="1524"/>
      <c r="DG731" s="1524"/>
      <c r="DH731" s="1524"/>
      <c r="DI731" s="1524"/>
      <c r="DJ731" s="1524">
        <f t="shared" si="24"/>
        <v>0</v>
      </c>
      <c r="DK731" s="1524"/>
      <c r="DL731" s="1524"/>
      <c r="DM731" s="1524"/>
      <c r="DN731" s="1524"/>
      <c r="DO731" s="1524">
        <f t="shared" si="25"/>
        <v>0</v>
      </c>
      <c r="DP731" s="1524"/>
      <c r="DQ731" s="1524"/>
      <c r="DR731" s="1524"/>
      <c r="DS731" s="1524"/>
      <c r="DT731" s="6"/>
      <c r="DU731" s="1510">
        <f t="shared" si="26"/>
        <v>0</v>
      </c>
      <c r="DV731" s="1510"/>
      <c r="DW731" s="1510"/>
      <c r="DX731" s="1510"/>
      <c r="DY731" s="1510"/>
      <c r="DZ731" s="1510">
        <f t="shared" si="27"/>
        <v>0</v>
      </c>
      <c r="EA731" s="1510"/>
      <c r="EB731" s="1510"/>
      <c r="EC731" s="1510"/>
      <c r="ED731" s="1510"/>
      <c r="EE731" s="1510">
        <f t="shared" si="28"/>
        <v>0</v>
      </c>
      <c r="EF731" s="1510"/>
      <c r="EG731" s="1510"/>
      <c r="EH731" s="1510"/>
      <c r="EI731" s="1510"/>
      <c r="EJ731" s="1510">
        <f t="shared" si="29"/>
        <v>0</v>
      </c>
      <c r="EK731" s="1510"/>
      <c r="EL731" s="1510"/>
      <c r="EM731" s="1510"/>
      <c r="EN731" s="1510"/>
      <c r="EO731" s="1510">
        <f t="shared" si="30"/>
        <v>0</v>
      </c>
      <c r="EP731" s="1510"/>
      <c r="EQ731" s="1510"/>
      <c r="ER731" s="1510"/>
      <c r="ES731" s="1510"/>
      <c r="ET731" s="1510">
        <f t="shared" si="31"/>
        <v>0</v>
      </c>
      <c r="EU731" s="1510"/>
      <c r="EV731" s="1510"/>
      <c r="EW731" s="1510"/>
      <c r="EX731" s="1510"/>
      <c r="EZ731" s="1528" t="str">
        <f t="shared" si="32"/>
        <v/>
      </c>
      <c r="FA731" s="1529"/>
      <c r="FB731" s="1529"/>
      <c r="FC731" s="1529"/>
      <c r="FD731" s="1530"/>
      <c r="FE731" s="1528">
        <f t="shared" si="33"/>
        <v>1640</v>
      </c>
      <c r="FF731" s="1529"/>
      <c r="FG731" s="1529"/>
      <c r="FH731" s="1529"/>
      <c r="FI731" s="1530"/>
      <c r="FJ731" s="1528" t="str">
        <f t="shared" si="34"/>
        <v/>
      </c>
      <c r="FK731" s="1529"/>
      <c r="FL731" s="1529"/>
      <c r="FM731" s="1529"/>
      <c r="FN731" s="1530"/>
      <c r="FO731" s="1528" t="str">
        <f t="shared" si="35"/>
        <v/>
      </c>
      <c r="FP731" s="1529"/>
      <c r="FQ731" s="1529"/>
      <c r="FR731" s="1529"/>
      <c r="FS731" s="1530"/>
      <c r="FT731" s="1528" t="str">
        <f t="shared" si="36"/>
        <v/>
      </c>
      <c r="FU731" s="1529"/>
      <c r="FV731" s="1529"/>
      <c r="FW731" s="1529"/>
      <c r="FX731" s="1530"/>
      <c r="FY731" s="1528" t="str">
        <f t="shared" si="37"/>
        <v/>
      </c>
      <c r="FZ731" s="1529"/>
      <c r="GA731" s="1529"/>
      <c r="GB731" s="1529"/>
      <c r="GC731" s="1530"/>
    </row>
    <row r="732" spans="1:185" ht="12.9" customHeight="1">
      <c r="B732" s="1360" t="s">
        <v>325</v>
      </c>
      <c r="C732" s="1361"/>
      <c r="D732" s="1361"/>
      <c r="E732" s="1361"/>
      <c r="F732" s="1362"/>
      <c r="G732" s="1366">
        <v>70</v>
      </c>
      <c r="H732" s="1367"/>
      <c r="I732" s="1367"/>
      <c r="J732" s="1368"/>
      <c r="K732" s="1398">
        <v>595</v>
      </c>
      <c r="L732" s="1399"/>
      <c r="M732" s="1399"/>
      <c r="N732" s="1400"/>
      <c r="O732" s="1392">
        <v>1968</v>
      </c>
      <c r="P732" s="1393"/>
      <c r="Q732" s="1393"/>
      <c r="R732" s="1393"/>
      <c r="S732" s="1394"/>
      <c r="T732" s="1392"/>
      <c r="U732" s="1393"/>
      <c r="V732" s="1393"/>
      <c r="W732" s="1394"/>
      <c r="X732" s="1421">
        <f t="shared" si="10"/>
        <v>1968</v>
      </c>
      <c r="Y732" s="1422"/>
      <c r="Z732" s="1422"/>
      <c r="AA732" s="1422"/>
      <c r="AB732" s="1423"/>
      <c r="AC732" s="1395">
        <v>0.6</v>
      </c>
      <c r="AD732" s="1396"/>
      <c r="AE732" s="1396"/>
      <c r="AF732" s="1396"/>
      <c r="AG732" s="1397"/>
      <c r="AH732" s="1363">
        <f t="shared" si="38"/>
        <v>0.6</v>
      </c>
      <c r="AI732" s="1364"/>
      <c r="AJ732" s="1365"/>
      <c r="AK732" s="1360" t="s">
        <v>591</v>
      </c>
      <c r="AL732" s="1361"/>
      <c r="AM732" s="1361"/>
      <c r="AN732" s="1361"/>
      <c r="AO732" s="1362"/>
      <c r="AP732" s="3"/>
      <c r="AQ732" s="3"/>
      <c r="AR732" s="3"/>
      <c r="AS732" s="3"/>
      <c r="AY732" s="116"/>
      <c r="AZ732" s="118">
        <f t="shared" si="11"/>
        <v>3280</v>
      </c>
      <c r="BA732" s="3"/>
      <c r="BB732" s="3"/>
      <c r="BC732" s="3"/>
      <c r="BD732" s="3"/>
      <c r="BE732" s="204"/>
      <c r="BF732" s="294">
        <f t="shared" si="12"/>
        <v>70</v>
      </c>
      <c r="BG732" s="297">
        <f t="shared" si="13"/>
        <v>0.38461538461538464</v>
      </c>
      <c r="BH732" s="298">
        <f t="shared" si="14"/>
        <v>0.23076923076923078</v>
      </c>
      <c r="BI732" s="3"/>
      <c r="BJ732" s="3"/>
      <c r="BK732" s="3"/>
      <c r="BL732" s="3"/>
      <c r="BM732" s="3"/>
      <c r="BN732" s="3"/>
      <c r="BS732" s="294">
        <f t="shared" si="15"/>
        <v>70</v>
      </c>
      <c r="BT732" s="297">
        <f t="shared" si="16"/>
        <v>0.38461538461538464</v>
      </c>
      <c r="BU732" s="298">
        <f t="shared" si="17"/>
        <v>0.23076923076923078</v>
      </c>
      <c r="CC732" s="3"/>
      <c r="CE732" s="3"/>
      <c r="CF732" s="3"/>
      <c r="CG732" s="1528">
        <f t="shared" si="39"/>
        <v>0</v>
      </c>
      <c r="CH732" s="1530"/>
      <c r="CI732" s="1531">
        <f t="shared" si="40"/>
        <v>0</v>
      </c>
      <c r="CJ732" s="1533"/>
      <c r="CK732" s="1528">
        <f t="shared" si="18"/>
        <v>0</v>
      </c>
      <c r="CL732" s="1530"/>
      <c r="CM732" s="1531">
        <f t="shared" si="19"/>
        <v>0</v>
      </c>
      <c r="CN732" s="1533"/>
      <c r="CO732" s="3"/>
      <c r="CP732" s="1525">
        <f t="shared" si="20"/>
        <v>0</v>
      </c>
      <c r="CQ732" s="1526"/>
      <c r="CR732" s="1526"/>
      <c r="CS732" s="1526"/>
      <c r="CT732" s="1527"/>
      <c r="CU732" s="1524">
        <f t="shared" si="21"/>
        <v>70</v>
      </c>
      <c r="CV732" s="1524"/>
      <c r="CW732" s="1524"/>
      <c r="CX732" s="1524"/>
      <c r="CY732" s="1524"/>
      <c r="CZ732" s="1524">
        <f t="shared" si="22"/>
        <v>0</v>
      </c>
      <c r="DA732" s="1524"/>
      <c r="DB732" s="1524"/>
      <c r="DC732" s="1524"/>
      <c r="DD732" s="1524"/>
      <c r="DE732" s="1524">
        <f t="shared" si="23"/>
        <v>0</v>
      </c>
      <c r="DF732" s="1524"/>
      <c r="DG732" s="1524"/>
      <c r="DH732" s="1524"/>
      <c r="DI732" s="1524"/>
      <c r="DJ732" s="1524">
        <f t="shared" si="24"/>
        <v>0</v>
      </c>
      <c r="DK732" s="1524"/>
      <c r="DL732" s="1524"/>
      <c r="DM732" s="1524"/>
      <c r="DN732" s="1524"/>
      <c r="DO732" s="1524">
        <f t="shared" si="25"/>
        <v>0</v>
      </c>
      <c r="DP732" s="1524"/>
      <c r="DQ732" s="1524"/>
      <c r="DR732" s="1524"/>
      <c r="DS732" s="1524"/>
      <c r="DT732" s="6"/>
      <c r="DU732" s="1510">
        <f t="shared" si="26"/>
        <v>0</v>
      </c>
      <c r="DV732" s="1510"/>
      <c r="DW732" s="1510"/>
      <c r="DX732" s="1510"/>
      <c r="DY732" s="1510"/>
      <c r="DZ732" s="1510">
        <f t="shared" si="27"/>
        <v>0</v>
      </c>
      <c r="EA732" s="1510"/>
      <c r="EB732" s="1510"/>
      <c r="EC732" s="1510"/>
      <c r="ED732" s="1510"/>
      <c r="EE732" s="1510">
        <f t="shared" si="28"/>
        <v>0</v>
      </c>
      <c r="EF732" s="1510"/>
      <c r="EG732" s="1510"/>
      <c r="EH732" s="1510"/>
      <c r="EI732" s="1510"/>
      <c r="EJ732" s="1510">
        <f t="shared" si="29"/>
        <v>0</v>
      </c>
      <c r="EK732" s="1510"/>
      <c r="EL732" s="1510"/>
      <c r="EM732" s="1510"/>
      <c r="EN732" s="1510"/>
      <c r="EO732" s="1510">
        <f t="shared" si="30"/>
        <v>0</v>
      </c>
      <c r="EP732" s="1510"/>
      <c r="EQ732" s="1510"/>
      <c r="ER732" s="1510"/>
      <c r="ES732" s="1510"/>
      <c r="ET732" s="1510">
        <f t="shared" si="31"/>
        <v>0</v>
      </c>
      <c r="EU732" s="1510"/>
      <c r="EV732" s="1510"/>
      <c r="EW732" s="1510"/>
      <c r="EX732" s="1510"/>
      <c r="EZ732" s="1528" t="str">
        <f t="shared" si="32"/>
        <v/>
      </c>
      <c r="FA732" s="1529"/>
      <c r="FB732" s="1529"/>
      <c r="FC732" s="1529"/>
      <c r="FD732" s="1530"/>
      <c r="FE732" s="1528">
        <f t="shared" si="33"/>
        <v>1968</v>
      </c>
      <c r="FF732" s="1529"/>
      <c r="FG732" s="1529"/>
      <c r="FH732" s="1529"/>
      <c r="FI732" s="1530"/>
      <c r="FJ732" s="1528" t="str">
        <f t="shared" si="34"/>
        <v/>
      </c>
      <c r="FK732" s="1529"/>
      <c r="FL732" s="1529"/>
      <c r="FM732" s="1529"/>
      <c r="FN732" s="1530"/>
      <c r="FO732" s="1528" t="str">
        <f t="shared" si="35"/>
        <v/>
      </c>
      <c r="FP732" s="1529"/>
      <c r="FQ732" s="1529"/>
      <c r="FR732" s="1529"/>
      <c r="FS732" s="1530"/>
      <c r="FT732" s="1528" t="str">
        <f t="shared" si="36"/>
        <v/>
      </c>
      <c r="FU732" s="1529"/>
      <c r="FV732" s="1529"/>
      <c r="FW732" s="1529"/>
      <c r="FX732" s="1530"/>
      <c r="FY732" s="1528" t="str">
        <f t="shared" si="37"/>
        <v/>
      </c>
      <c r="FZ732" s="1529"/>
      <c r="GA732" s="1529"/>
      <c r="GB732" s="1529"/>
      <c r="GC732" s="1530"/>
    </row>
    <row r="733" spans="1:185" ht="12.9" customHeight="1">
      <c r="B733" s="1360" t="s">
        <v>325</v>
      </c>
      <c r="C733" s="1361"/>
      <c r="D733" s="1361"/>
      <c r="E733" s="1361"/>
      <c r="F733" s="1362"/>
      <c r="G733" s="1366">
        <v>14</v>
      </c>
      <c r="H733" s="1367"/>
      <c r="I733" s="1367"/>
      <c r="J733" s="1368"/>
      <c r="K733" s="1398">
        <v>595</v>
      </c>
      <c r="L733" s="1399"/>
      <c r="M733" s="1399"/>
      <c r="N733" s="1400"/>
      <c r="O733" s="1392">
        <v>2625</v>
      </c>
      <c r="P733" s="1393"/>
      <c r="Q733" s="1393"/>
      <c r="R733" s="1393"/>
      <c r="S733" s="1394"/>
      <c r="T733" s="1392"/>
      <c r="U733" s="1393"/>
      <c r="V733" s="1393"/>
      <c r="W733" s="1394"/>
      <c r="X733" s="1421">
        <f t="shared" si="10"/>
        <v>2625</v>
      </c>
      <c r="Y733" s="1422"/>
      <c r="Z733" s="1422"/>
      <c r="AA733" s="1422"/>
      <c r="AB733" s="1423"/>
      <c r="AC733" s="1395">
        <v>0.8</v>
      </c>
      <c r="AD733" s="1396"/>
      <c r="AE733" s="1396"/>
      <c r="AF733" s="1396"/>
      <c r="AG733" s="1397"/>
      <c r="AH733" s="1363">
        <f t="shared" si="38"/>
        <v>0.80030487804878048</v>
      </c>
      <c r="AI733" s="1364"/>
      <c r="AJ733" s="1365"/>
      <c r="AK733" s="1360" t="s">
        <v>591</v>
      </c>
      <c r="AL733" s="1361"/>
      <c r="AM733" s="1361"/>
      <c r="AN733" s="1361"/>
      <c r="AO733" s="1362"/>
      <c r="AP733" s="3"/>
      <c r="AQ733" s="3"/>
      <c r="AR733" s="3"/>
      <c r="AS733" s="3"/>
      <c r="AY733" s="1075"/>
      <c r="AZ733" s="118">
        <f t="shared" si="11"/>
        <v>3280</v>
      </c>
      <c r="BA733" s="3"/>
      <c r="BB733" s="3"/>
      <c r="BC733" s="3"/>
      <c r="BD733" s="3"/>
      <c r="BE733" s="204"/>
      <c r="BF733" s="294">
        <f t="shared" si="12"/>
        <v>14</v>
      </c>
      <c r="BG733" s="297">
        <f t="shared" si="13"/>
        <v>7.6923076923076927E-2</v>
      </c>
      <c r="BH733" s="298">
        <f t="shared" si="14"/>
        <v>6.1538461538461542E-2</v>
      </c>
      <c r="BI733" s="3"/>
      <c r="BJ733" s="3"/>
      <c r="BK733" s="3"/>
      <c r="BL733" s="3"/>
      <c r="BM733" s="3"/>
      <c r="BN733" s="3"/>
      <c r="BS733" s="294">
        <f t="shared" si="15"/>
        <v>14</v>
      </c>
      <c r="BT733" s="297">
        <f t="shared" si="16"/>
        <v>7.6923076923076927E-2</v>
      </c>
      <c r="BU733" s="298">
        <f t="shared" si="17"/>
        <v>6.1561913696060039E-2</v>
      </c>
      <c r="BV733" s="292"/>
      <c r="BW733" s="3"/>
      <c r="BX733" s="3"/>
      <c r="BY733" s="3"/>
      <c r="BZ733" s="3"/>
      <c r="CA733" s="3"/>
      <c r="CB733" s="3"/>
      <c r="CC733" s="3"/>
      <c r="CE733" s="3"/>
      <c r="CF733" s="3"/>
      <c r="CG733" s="1528">
        <f t="shared" si="39"/>
        <v>0</v>
      </c>
      <c r="CH733" s="1530"/>
      <c r="CI733" s="1531">
        <f t="shared" si="40"/>
        <v>0</v>
      </c>
      <c r="CJ733" s="1533"/>
      <c r="CK733" s="1528">
        <f t="shared" si="18"/>
        <v>0</v>
      </c>
      <c r="CL733" s="1530"/>
      <c r="CM733" s="1531">
        <f t="shared" si="19"/>
        <v>0</v>
      </c>
      <c r="CN733" s="1533"/>
      <c r="CO733" s="3"/>
      <c r="CP733" s="1525">
        <f t="shared" si="20"/>
        <v>0</v>
      </c>
      <c r="CQ733" s="1526"/>
      <c r="CR733" s="1526"/>
      <c r="CS733" s="1526"/>
      <c r="CT733" s="1527"/>
      <c r="CU733" s="1524">
        <f t="shared" si="21"/>
        <v>14</v>
      </c>
      <c r="CV733" s="1524"/>
      <c r="CW733" s="1524"/>
      <c r="CX733" s="1524"/>
      <c r="CY733" s="1524"/>
      <c r="CZ733" s="1524">
        <f t="shared" si="22"/>
        <v>0</v>
      </c>
      <c r="DA733" s="1524"/>
      <c r="DB733" s="1524"/>
      <c r="DC733" s="1524"/>
      <c r="DD733" s="1524"/>
      <c r="DE733" s="1524">
        <f t="shared" si="23"/>
        <v>0</v>
      </c>
      <c r="DF733" s="1524"/>
      <c r="DG733" s="1524"/>
      <c r="DH733" s="1524"/>
      <c r="DI733" s="1524"/>
      <c r="DJ733" s="1524">
        <f t="shared" si="24"/>
        <v>0</v>
      </c>
      <c r="DK733" s="1524"/>
      <c r="DL733" s="1524"/>
      <c r="DM733" s="1524"/>
      <c r="DN733" s="1524"/>
      <c r="DO733" s="1524">
        <f t="shared" si="25"/>
        <v>0</v>
      </c>
      <c r="DP733" s="1524"/>
      <c r="DQ733" s="1524"/>
      <c r="DR733" s="1524"/>
      <c r="DS733" s="1524"/>
      <c r="DT733" s="6"/>
      <c r="DU733" s="1510">
        <f t="shared" si="26"/>
        <v>0</v>
      </c>
      <c r="DV733" s="1510"/>
      <c r="DW733" s="1510"/>
      <c r="DX733" s="1510"/>
      <c r="DY733" s="1510"/>
      <c r="DZ733" s="1510">
        <f t="shared" si="27"/>
        <v>0</v>
      </c>
      <c r="EA733" s="1510"/>
      <c r="EB733" s="1510"/>
      <c r="EC733" s="1510"/>
      <c r="ED733" s="1510"/>
      <c r="EE733" s="1510">
        <f t="shared" si="28"/>
        <v>0</v>
      </c>
      <c r="EF733" s="1510"/>
      <c r="EG733" s="1510"/>
      <c r="EH733" s="1510"/>
      <c r="EI733" s="1510"/>
      <c r="EJ733" s="1510">
        <f t="shared" si="29"/>
        <v>0</v>
      </c>
      <c r="EK733" s="1510"/>
      <c r="EL733" s="1510"/>
      <c r="EM733" s="1510"/>
      <c r="EN733" s="1510"/>
      <c r="EO733" s="1510">
        <f t="shared" si="30"/>
        <v>0</v>
      </c>
      <c r="EP733" s="1510"/>
      <c r="EQ733" s="1510"/>
      <c r="ER733" s="1510"/>
      <c r="ES733" s="1510"/>
      <c r="ET733" s="1510">
        <f t="shared" si="31"/>
        <v>0</v>
      </c>
      <c r="EU733" s="1510"/>
      <c r="EV733" s="1510"/>
      <c r="EW733" s="1510"/>
      <c r="EX733" s="1510"/>
      <c r="EZ733" s="1528" t="str">
        <f t="shared" si="32"/>
        <v/>
      </c>
      <c r="FA733" s="1529"/>
      <c r="FB733" s="1529"/>
      <c r="FC733" s="1529"/>
      <c r="FD733" s="1530"/>
      <c r="FE733" s="1528">
        <f t="shared" si="33"/>
        <v>2625</v>
      </c>
      <c r="FF733" s="1529"/>
      <c r="FG733" s="1529"/>
      <c r="FH733" s="1529"/>
      <c r="FI733" s="1530"/>
      <c r="FJ733" s="1528" t="str">
        <f t="shared" si="34"/>
        <v/>
      </c>
      <c r="FK733" s="1529"/>
      <c r="FL733" s="1529"/>
      <c r="FM733" s="1529"/>
      <c r="FN733" s="1530"/>
      <c r="FO733" s="1528" t="str">
        <f t="shared" si="35"/>
        <v/>
      </c>
      <c r="FP733" s="1529"/>
      <c r="FQ733" s="1529"/>
      <c r="FR733" s="1529"/>
      <c r="FS733" s="1530"/>
      <c r="FT733" s="1528" t="str">
        <f t="shared" si="36"/>
        <v/>
      </c>
      <c r="FU733" s="1529"/>
      <c r="FV733" s="1529"/>
      <c r="FW733" s="1529"/>
      <c r="FX733" s="1530"/>
      <c r="FY733" s="1528" t="str">
        <f t="shared" si="37"/>
        <v/>
      </c>
      <c r="FZ733" s="1529"/>
      <c r="GA733" s="1529"/>
      <c r="GB733" s="1529"/>
      <c r="GC733" s="1530"/>
    </row>
    <row r="734" spans="1:185" ht="12.9" customHeight="1">
      <c r="B734" s="1360" t="s">
        <v>163</v>
      </c>
      <c r="C734" s="1361"/>
      <c r="D734" s="1361"/>
      <c r="E734" s="1361"/>
      <c r="F734" s="1362"/>
      <c r="G734" s="1366">
        <v>6</v>
      </c>
      <c r="H734" s="1367"/>
      <c r="I734" s="1367"/>
      <c r="J734" s="1368"/>
      <c r="K734" s="1398">
        <v>866</v>
      </c>
      <c r="L734" s="1399"/>
      <c r="M734" s="1399"/>
      <c r="N734" s="1400"/>
      <c r="O734" s="1392">
        <v>1181</v>
      </c>
      <c r="P734" s="1393"/>
      <c r="Q734" s="1393"/>
      <c r="R734" s="1393"/>
      <c r="S734" s="1394"/>
      <c r="T734" s="1392"/>
      <c r="U734" s="1393"/>
      <c r="V734" s="1393"/>
      <c r="W734" s="1394"/>
      <c r="X734" s="1421">
        <f t="shared" si="10"/>
        <v>1181</v>
      </c>
      <c r="Y734" s="1422"/>
      <c r="Z734" s="1422"/>
      <c r="AA734" s="1422"/>
      <c r="AB734" s="1423"/>
      <c r="AC734" s="1395">
        <v>0.3</v>
      </c>
      <c r="AD734" s="1396"/>
      <c r="AE734" s="1396"/>
      <c r="AF734" s="1396"/>
      <c r="AG734" s="1397"/>
      <c r="AH734" s="1363">
        <f t="shared" si="38"/>
        <v>0.30005081300813008</v>
      </c>
      <c r="AI734" s="1364"/>
      <c r="AJ734" s="1365"/>
      <c r="AK734" s="1360" t="s">
        <v>591</v>
      </c>
      <c r="AL734" s="1361"/>
      <c r="AM734" s="1361"/>
      <c r="AN734" s="1361"/>
      <c r="AO734" s="1362"/>
      <c r="AP734" s="3"/>
      <c r="AQ734" s="3"/>
      <c r="AR734" s="3"/>
      <c r="AS734" s="3"/>
      <c r="AY734" s="1075"/>
      <c r="AZ734" s="118">
        <f t="shared" si="11"/>
        <v>3936</v>
      </c>
      <c r="BA734" s="3"/>
      <c r="BB734" s="3"/>
      <c r="BC734" s="3"/>
      <c r="BD734" s="3"/>
      <c r="BE734" s="204"/>
      <c r="BF734" s="294">
        <f t="shared" si="12"/>
        <v>6</v>
      </c>
      <c r="BG734" s="297">
        <f t="shared" si="13"/>
        <v>3.2967032967032968E-2</v>
      </c>
      <c r="BH734" s="298">
        <f t="shared" si="14"/>
        <v>9.8901098901098897E-3</v>
      </c>
      <c r="BI734" s="3"/>
      <c r="BJ734" s="3"/>
      <c r="BK734" s="3"/>
      <c r="BL734" s="3"/>
      <c r="BM734" s="3"/>
      <c r="BN734" s="3"/>
      <c r="BS734" s="294">
        <f t="shared" si="15"/>
        <v>6</v>
      </c>
      <c r="BT734" s="297">
        <f t="shared" si="16"/>
        <v>3.2967032967032968E-2</v>
      </c>
      <c r="BU734" s="298">
        <f t="shared" si="17"/>
        <v>9.891785044224069E-3</v>
      </c>
      <c r="BV734" s="3"/>
      <c r="BW734" s="3"/>
      <c r="BX734" s="3"/>
      <c r="BY734" s="3"/>
      <c r="BZ734" s="3"/>
      <c r="CA734" s="3"/>
      <c r="CB734" s="3"/>
      <c r="CC734" s="3"/>
      <c r="CE734" s="3"/>
      <c r="CF734" s="3"/>
      <c r="CG734" s="1528">
        <f t="shared" si="39"/>
        <v>0</v>
      </c>
      <c r="CH734" s="1530"/>
      <c r="CI734" s="1531">
        <f t="shared" si="40"/>
        <v>0</v>
      </c>
      <c r="CJ734" s="1533"/>
      <c r="CK734" s="1528">
        <f t="shared" si="18"/>
        <v>1</v>
      </c>
      <c r="CL734" s="1530"/>
      <c r="CM734" s="1531">
        <f t="shared" si="19"/>
        <v>6</v>
      </c>
      <c r="CN734" s="1533"/>
      <c r="CO734" s="3"/>
      <c r="CP734" s="1525">
        <f t="shared" si="20"/>
        <v>0</v>
      </c>
      <c r="CQ734" s="1526"/>
      <c r="CR734" s="1526"/>
      <c r="CS734" s="1526"/>
      <c r="CT734" s="1527"/>
      <c r="CU734" s="1524">
        <f t="shared" si="21"/>
        <v>0</v>
      </c>
      <c r="CV734" s="1524"/>
      <c r="CW734" s="1524"/>
      <c r="CX734" s="1524"/>
      <c r="CY734" s="1524"/>
      <c r="CZ734" s="1524">
        <f t="shared" si="22"/>
        <v>6</v>
      </c>
      <c r="DA734" s="1524"/>
      <c r="DB734" s="1524"/>
      <c r="DC734" s="1524"/>
      <c r="DD734" s="1524"/>
      <c r="DE734" s="1524">
        <f t="shared" si="23"/>
        <v>0</v>
      </c>
      <c r="DF734" s="1524"/>
      <c r="DG734" s="1524"/>
      <c r="DH734" s="1524"/>
      <c r="DI734" s="1524"/>
      <c r="DJ734" s="1524">
        <f t="shared" si="24"/>
        <v>0</v>
      </c>
      <c r="DK734" s="1524"/>
      <c r="DL734" s="1524"/>
      <c r="DM734" s="1524"/>
      <c r="DN734" s="1524"/>
      <c r="DO734" s="1524">
        <f t="shared" si="25"/>
        <v>0</v>
      </c>
      <c r="DP734" s="1524"/>
      <c r="DQ734" s="1524"/>
      <c r="DR734" s="1524"/>
      <c r="DS734" s="1524"/>
      <c r="DT734" s="6"/>
      <c r="DU734" s="1510">
        <f t="shared" si="26"/>
        <v>0</v>
      </c>
      <c r="DV734" s="1510"/>
      <c r="DW734" s="1510"/>
      <c r="DX734" s="1510"/>
      <c r="DY734" s="1510"/>
      <c r="DZ734" s="1510">
        <f t="shared" si="27"/>
        <v>0</v>
      </c>
      <c r="EA734" s="1510"/>
      <c r="EB734" s="1510"/>
      <c r="EC734" s="1510"/>
      <c r="ED734" s="1510"/>
      <c r="EE734" s="1510">
        <f t="shared" si="28"/>
        <v>6</v>
      </c>
      <c r="EF734" s="1510"/>
      <c r="EG734" s="1510"/>
      <c r="EH734" s="1510"/>
      <c r="EI734" s="1510"/>
      <c r="EJ734" s="1510">
        <f t="shared" si="29"/>
        <v>0</v>
      </c>
      <c r="EK734" s="1510"/>
      <c r="EL734" s="1510"/>
      <c r="EM734" s="1510"/>
      <c r="EN734" s="1510"/>
      <c r="EO734" s="1510">
        <f t="shared" si="30"/>
        <v>0</v>
      </c>
      <c r="EP734" s="1510"/>
      <c r="EQ734" s="1510"/>
      <c r="ER734" s="1510"/>
      <c r="ES734" s="1510"/>
      <c r="ET734" s="1510">
        <f t="shared" si="31"/>
        <v>0</v>
      </c>
      <c r="EU734" s="1510"/>
      <c r="EV734" s="1510"/>
      <c r="EW734" s="1510"/>
      <c r="EX734" s="1510"/>
      <c r="EY734" s="4"/>
      <c r="EZ734" s="1528" t="str">
        <f t="shared" si="32"/>
        <v/>
      </c>
      <c r="FA734" s="1529"/>
      <c r="FB734" s="1529"/>
      <c r="FC734" s="1529"/>
      <c r="FD734" s="1530"/>
      <c r="FE734" s="1528" t="str">
        <f t="shared" si="33"/>
        <v/>
      </c>
      <c r="FF734" s="1529"/>
      <c r="FG734" s="1529"/>
      <c r="FH734" s="1529"/>
      <c r="FI734" s="1530"/>
      <c r="FJ734" s="1528">
        <f t="shared" si="34"/>
        <v>1181</v>
      </c>
      <c r="FK734" s="1529"/>
      <c r="FL734" s="1529"/>
      <c r="FM734" s="1529"/>
      <c r="FN734" s="1530"/>
      <c r="FO734" s="1528" t="str">
        <f t="shared" si="35"/>
        <v/>
      </c>
      <c r="FP734" s="1529"/>
      <c r="FQ734" s="1529"/>
      <c r="FR734" s="1529"/>
      <c r="FS734" s="1530"/>
      <c r="FT734" s="1528" t="str">
        <f t="shared" si="36"/>
        <v/>
      </c>
      <c r="FU734" s="1529"/>
      <c r="FV734" s="1529"/>
      <c r="FW734" s="1529"/>
      <c r="FX734" s="1530"/>
      <c r="FY734" s="1528" t="str">
        <f t="shared" si="37"/>
        <v/>
      </c>
      <c r="FZ734" s="1529"/>
      <c r="GA734" s="1529"/>
      <c r="GB734" s="1529"/>
      <c r="GC734" s="1530"/>
    </row>
    <row r="735" spans="1:185" ht="12.9" customHeight="1">
      <c r="A735" s="4"/>
      <c r="B735" s="1360" t="s">
        <v>163</v>
      </c>
      <c r="C735" s="1361"/>
      <c r="D735" s="1361"/>
      <c r="E735" s="1361"/>
      <c r="F735" s="1362"/>
      <c r="G735" s="1366">
        <v>8</v>
      </c>
      <c r="H735" s="1367"/>
      <c r="I735" s="1367"/>
      <c r="J735" s="1368"/>
      <c r="K735" s="1398">
        <v>866</v>
      </c>
      <c r="L735" s="1399"/>
      <c r="M735" s="1399"/>
      <c r="N735" s="1400"/>
      <c r="O735" s="1392">
        <v>1968</v>
      </c>
      <c r="P735" s="1393"/>
      <c r="Q735" s="1393"/>
      <c r="R735" s="1393"/>
      <c r="S735" s="1394"/>
      <c r="T735" s="1392"/>
      <c r="U735" s="1393"/>
      <c r="V735" s="1393"/>
      <c r="W735" s="1394"/>
      <c r="X735" s="1421">
        <f t="shared" si="10"/>
        <v>1968</v>
      </c>
      <c r="Y735" s="1422"/>
      <c r="Z735" s="1422"/>
      <c r="AA735" s="1422"/>
      <c r="AB735" s="1423"/>
      <c r="AC735" s="1395">
        <v>0.5</v>
      </c>
      <c r="AD735" s="1396"/>
      <c r="AE735" s="1396"/>
      <c r="AF735" s="1396"/>
      <c r="AG735" s="1397"/>
      <c r="AH735" s="1363">
        <f t="shared" si="38"/>
        <v>0.5</v>
      </c>
      <c r="AI735" s="1364"/>
      <c r="AJ735" s="1365"/>
      <c r="AK735" s="1360" t="s">
        <v>591</v>
      </c>
      <c r="AL735" s="1361"/>
      <c r="AM735" s="1361"/>
      <c r="AN735" s="1361"/>
      <c r="AO735" s="1362"/>
      <c r="AP735" s="3"/>
      <c r="AQ735" s="3"/>
      <c r="AR735" s="3"/>
      <c r="AS735" s="3"/>
      <c r="AY735" s="1075"/>
      <c r="AZ735" s="118">
        <f t="shared" si="11"/>
        <v>3936</v>
      </c>
      <c r="BA735" s="3"/>
      <c r="BB735" s="3"/>
      <c r="BC735" s="3"/>
      <c r="BD735" s="3"/>
      <c r="BE735" s="204"/>
      <c r="BF735" s="294">
        <f t="shared" si="12"/>
        <v>8</v>
      </c>
      <c r="BG735" s="297">
        <f t="shared" si="13"/>
        <v>4.3956043956043959E-2</v>
      </c>
      <c r="BH735" s="298">
        <f t="shared" si="14"/>
        <v>2.197802197802198E-2</v>
      </c>
      <c r="BI735" s="3"/>
      <c r="BJ735" s="3"/>
      <c r="BK735" s="3"/>
      <c r="BL735" s="3"/>
      <c r="BM735" s="3"/>
      <c r="BN735" s="3"/>
      <c r="BS735" s="294">
        <f t="shared" si="15"/>
        <v>8</v>
      </c>
      <c r="BT735" s="297">
        <f t="shared" si="16"/>
        <v>4.3956043956043959E-2</v>
      </c>
      <c r="BU735" s="298">
        <f t="shared" si="17"/>
        <v>2.197802197802198E-2</v>
      </c>
      <c r="BV735" s="3"/>
      <c r="BW735" s="3"/>
      <c r="BX735" s="3"/>
      <c r="BY735" s="3"/>
      <c r="BZ735" s="3"/>
      <c r="CA735" s="3"/>
      <c r="CB735" s="3"/>
      <c r="CC735" s="3"/>
      <c r="CE735" s="3"/>
      <c r="CF735" s="3"/>
      <c r="CG735" s="1528">
        <f t="shared" si="39"/>
        <v>1</v>
      </c>
      <c r="CH735" s="1530"/>
      <c r="CI735" s="1531">
        <f t="shared" si="40"/>
        <v>8</v>
      </c>
      <c r="CJ735" s="1533"/>
      <c r="CK735" s="1528">
        <f t="shared" si="18"/>
        <v>0</v>
      </c>
      <c r="CL735" s="1530"/>
      <c r="CM735" s="1531">
        <f t="shared" si="19"/>
        <v>0</v>
      </c>
      <c r="CN735" s="1533"/>
      <c r="CO735" s="3"/>
      <c r="CP735" s="1525">
        <f t="shared" si="20"/>
        <v>0</v>
      </c>
      <c r="CQ735" s="1526"/>
      <c r="CR735" s="1526"/>
      <c r="CS735" s="1526"/>
      <c r="CT735" s="1527"/>
      <c r="CU735" s="1524">
        <f t="shared" si="21"/>
        <v>0</v>
      </c>
      <c r="CV735" s="1524"/>
      <c r="CW735" s="1524"/>
      <c r="CX735" s="1524"/>
      <c r="CY735" s="1524"/>
      <c r="CZ735" s="1524">
        <f t="shared" si="22"/>
        <v>8</v>
      </c>
      <c r="DA735" s="1524"/>
      <c r="DB735" s="1524"/>
      <c r="DC735" s="1524"/>
      <c r="DD735" s="1524"/>
      <c r="DE735" s="1524">
        <f t="shared" si="23"/>
        <v>0</v>
      </c>
      <c r="DF735" s="1524"/>
      <c r="DG735" s="1524"/>
      <c r="DH735" s="1524"/>
      <c r="DI735" s="1524"/>
      <c r="DJ735" s="1524">
        <f t="shared" si="24"/>
        <v>0</v>
      </c>
      <c r="DK735" s="1524"/>
      <c r="DL735" s="1524"/>
      <c r="DM735" s="1524"/>
      <c r="DN735" s="1524"/>
      <c r="DO735" s="1524">
        <f t="shared" si="25"/>
        <v>0</v>
      </c>
      <c r="DP735" s="1524"/>
      <c r="DQ735" s="1524"/>
      <c r="DR735" s="1524"/>
      <c r="DS735" s="1524"/>
      <c r="DT735" s="6"/>
      <c r="DU735" s="1510">
        <f t="shared" si="26"/>
        <v>0</v>
      </c>
      <c r="DV735" s="1510"/>
      <c r="DW735" s="1510"/>
      <c r="DX735" s="1510"/>
      <c r="DY735" s="1510"/>
      <c r="DZ735" s="1510">
        <f t="shared" si="27"/>
        <v>0</v>
      </c>
      <c r="EA735" s="1510"/>
      <c r="EB735" s="1510"/>
      <c r="EC735" s="1510"/>
      <c r="ED735" s="1510"/>
      <c r="EE735" s="1510">
        <f t="shared" si="28"/>
        <v>0</v>
      </c>
      <c r="EF735" s="1510"/>
      <c r="EG735" s="1510"/>
      <c r="EH735" s="1510"/>
      <c r="EI735" s="1510"/>
      <c r="EJ735" s="1510">
        <f t="shared" si="29"/>
        <v>0</v>
      </c>
      <c r="EK735" s="1510"/>
      <c r="EL735" s="1510"/>
      <c r="EM735" s="1510"/>
      <c r="EN735" s="1510"/>
      <c r="EO735" s="1510">
        <f t="shared" si="30"/>
        <v>0</v>
      </c>
      <c r="EP735" s="1510"/>
      <c r="EQ735" s="1510"/>
      <c r="ER735" s="1510"/>
      <c r="ES735" s="1510"/>
      <c r="ET735" s="1510">
        <f t="shared" si="31"/>
        <v>0</v>
      </c>
      <c r="EU735" s="1510"/>
      <c r="EV735" s="1510"/>
      <c r="EW735" s="1510"/>
      <c r="EX735" s="1510"/>
      <c r="EY735" s="4"/>
      <c r="EZ735" s="1528" t="str">
        <f t="shared" si="32"/>
        <v/>
      </c>
      <c r="FA735" s="1529"/>
      <c r="FB735" s="1529"/>
      <c r="FC735" s="1529"/>
      <c r="FD735" s="1530"/>
      <c r="FE735" s="1528" t="str">
        <f t="shared" si="33"/>
        <v/>
      </c>
      <c r="FF735" s="1529"/>
      <c r="FG735" s="1529"/>
      <c r="FH735" s="1529"/>
      <c r="FI735" s="1530"/>
      <c r="FJ735" s="1528">
        <f t="shared" si="34"/>
        <v>1968</v>
      </c>
      <c r="FK735" s="1529"/>
      <c r="FL735" s="1529"/>
      <c r="FM735" s="1529"/>
      <c r="FN735" s="1530"/>
      <c r="FO735" s="1528" t="str">
        <f t="shared" si="35"/>
        <v/>
      </c>
      <c r="FP735" s="1529"/>
      <c r="FQ735" s="1529"/>
      <c r="FR735" s="1529"/>
      <c r="FS735" s="1530"/>
      <c r="FT735" s="1528" t="str">
        <f t="shared" si="36"/>
        <v/>
      </c>
      <c r="FU735" s="1529"/>
      <c r="FV735" s="1529"/>
      <c r="FW735" s="1529"/>
      <c r="FX735" s="1530"/>
      <c r="FY735" s="1528" t="str">
        <f t="shared" si="37"/>
        <v/>
      </c>
      <c r="FZ735" s="1529"/>
      <c r="GA735" s="1529"/>
      <c r="GB735" s="1529"/>
      <c r="GC735" s="1530"/>
    </row>
    <row r="736" spans="1:185" ht="12.9" customHeight="1">
      <c r="A736" s="4"/>
      <c r="B736" s="1360" t="s">
        <v>163</v>
      </c>
      <c r="C736" s="1361"/>
      <c r="D736" s="1361"/>
      <c r="E736" s="1361"/>
      <c r="F736" s="1362"/>
      <c r="G736" s="1366">
        <v>26</v>
      </c>
      <c r="H736" s="1367"/>
      <c r="I736" s="1367"/>
      <c r="J736" s="1368"/>
      <c r="K736" s="1398">
        <v>866</v>
      </c>
      <c r="L736" s="1399"/>
      <c r="M736" s="1399"/>
      <c r="N736" s="1400"/>
      <c r="O736" s="1392">
        <v>2362</v>
      </c>
      <c r="P736" s="1393"/>
      <c r="Q736" s="1393"/>
      <c r="R736" s="1393"/>
      <c r="S736" s="1394"/>
      <c r="T736" s="1392"/>
      <c r="U736" s="1393"/>
      <c r="V736" s="1393"/>
      <c r="W736" s="1394"/>
      <c r="X736" s="1421">
        <f t="shared" si="10"/>
        <v>2362</v>
      </c>
      <c r="Y736" s="1422"/>
      <c r="Z736" s="1422"/>
      <c r="AA736" s="1422"/>
      <c r="AB736" s="1423"/>
      <c r="AC736" s="1395">
        <v>0.6</v>
      </c>
      <c r="AD736" s="1396"/>
      <c r="AE736" s="1396"/>
      <c r="AF736" s="1396"/>
      <c r="AG736" s="1397"/>
      <c r="AH736" s="1363">
        <f t="shared" si="38"/>
        <v>0.60010162601626016</v>
      </c>
      <c r="AI736" s="1364"/>
      <c r="AJ736" s="1365"/>
      <c r="AK736" s="1360" t="s">
        <v>591</v>
      </c>
      <c r="AL736" s="1361"/>
      <c r="AM736" s="1361"/>
      <c r="AN736" s="1361"/>
      <c r="AO736" s="1362"/>
      <c r="AP736" s="3"/>
      <c r="AQ736" s="3"/>
      <c r="AR736" s="3"/>
      <c r="AS736" s="3"/>
      <c r="AY736" s="1075"/>
      <c r="AZ736" s="118">
        <f t="shared" si="11"/>
        <v>3936</v>
      </c>
      <c r="BA736" s="3"/>
      <c r="BB736" s="3"/>
      <c r="BC736" s="3"/>
      <c r="BD736" s="3"/>
      <c r="BE736" s="204"/>
      <c r="BF736" s="294">
        <f t="shared" si="12"/>
        <v>26</v>
      </c>
      <c r="BG736" s="297">
        <f t="shared" si="13"/>
        <v>0.14285714285714285</v>
      </c>
      <c r="BH736" s="298">
        <f t="shared" si="14"/>
        <v>8.5714285714285701E-2</v>
      </c>
      <c r="BI736" s="3"/>
      <c r="BJ736" s="3"/>
      <c r="BK736" s="3"/>
      <c r="BL736" s="3"/>
      <c r="BM736" s="3"/>
      <c r="BN736" s="3"/>
      <c r="BS736" s="294">
        <f t="shared" si="15"/>
        <v>26</v>
      </c>
      <c r="BT736" s="297">
        <f t="shared" si="16"/>
        <v>0.14285714285714285</v>
      </c>
      <c r="BU736" s="298">
        <f t="shared" si="17"/>
        <v>8.5728803716608584E-2</v>
      </c>
      <c r="BV736" s="3"/>
      <c r="BW736" s="3"/>
      <c r="BX736" s="3"/>
      <c r="BY736" s="3"/>
      <c r="BZ736" s="3"/>
      <c r="CA736" s="3"/>
      <c r="CB736" s="3"/>
      <c r="CC736" s="3"/>
      <c r="CE736" s="3"/>
      <c r="CF736" s="3"/>
      <c r="CG736" s="1528">
        <f t="shared" si="39"/>
        <v>0</v>
      </c>
      <c r="CH736" s="1530"/>
      <c r="CI736" s="1531">
        <f t="shared" si="40"/>
        <v>0</v>
      </c>
      <c r="CJ736" s="1533"/>
      <c r="CK736" s="1528">
        <f t="shared" si="18"/>
        <v>0</v>
      </c>
      <c r="CL736" s="1530"/>
      <c r="CM736" s="1531">
        <f t="shared" si="19"/>
        <v>0</v>
      </c>
      <c r="CN736" s="1533"/>
      <c r="CO736" s="3"/>
      <c r="CP736" s="1525">
        <f t="shared" si="20"/>
        <v>0</v>
      </c>
      <c r="CQ736" s="1526"/>
      <c r="CR736" s="1526"/>
      <c r="CS736" s="1526"/>
      <c r="CT736" s="1527"/>
      <c r="CU736" s="1524">
        <f t="shared" si="21"/>
        <v>0</v>
      </c>
      <c r="CV736" s="1524"/>
      <c r="CW736" s="1524"/>
      <c r="CX736" s="1524"/>
      <c r="CY736" s="1524"/>
      <c r="CZ736" s="1524">
        <f t="shared" si="22"/>
        <v>26</v>
      </c>
      <c r="DA736" s="1524"/>
      <c r="DB736" s="1524"/>
      <c r="DC736" s="1524"/>
      <c r="DD736" s="1524"/>
      <c r="DE736" s="1524">
        <f t="shared" si="23"/>
        <v>0</v>
      </c>
      <c r="DF736" s="1524"/>
      <c r="DG736" s="1524"/>
      <c r="DH736" s="1524"/>
      <c r="DI736" s="1524"/>
      <c r="DJ736" s="1524">
        <f t="shared" si="24"/>
        <v>0</v>
      </c>
      <c r="DK736" s="1524"/>
      <c r="DL736" s="1524"/>
      <c r="DM736" s="1524"/>
      <c r="DN736" s="1524"/>
      <c r="DO736" s="1524">
        <f t="shared" si="25"/>
        <v>0</v>
      </c>
      <c r="DP736" s="1524"/>
      <c r="DQ736" s="1524"/>
      <c r="DR736" s="1524"/>
      <c r="DS736" s="1524"/>
      <c r="DT736" s="6"/>
      <c r="DU736" s="1510">
        <f t="shared" si="26"/>
        <v>0</v>
      </c>
      <c r="DV736" s="1510"/>
      <c r="DW736" s="1510"/>
      <c r="DX736" s="1510"/>
      <c r="DY736" s="1510"/>
      <c r="DZ736" s="1510">
        <f t="shared" si="27"/>
        <v>0</v>
      </c>
      <c r="EA736" s="1510"/>
      <c r="EB736" s="1510"/>
      <c r="EC736" s="1510"/>
      <c r="ED736" s="1510"/>
      <c r="EE736" s="1510">
        <f t="shared" si="28"/>
        <v>0</v>
      </c>
      <c r="EF736" s="1510"/>
      <c r="EG736" s="1510"/>
      <c r="EH736" s="1510"/>
      <c r="EI736" s="1510"/>
      <c r="EJ736" s="1510">
        <f t="shared" si="29"/>
        <v>0</v>
      </c>
      <c r="EK736" s="1510"/>
      <c r="EL736" s="1510"/>
      <c r="EM736" s="1510"/>
      <c r="EN736" s="1510"/>
      <c r="EO736" s="1510">
        <f t="shared" si="30"/>
        <v>0</v>
      </c>
      <c r="EP736" s="1510"/>
      <c r="EQ736" s="1510"/>
      <c r="ER736" s="1510"/>
      <c r="ES736" s="1510"/>
      <c r="ET736" s="1510">
        <f t="shared" si="31"/>
        <v>0</v>
      </c>
      <c r="EU736" s="1510"/>
      <c r="EV736" s="1510"/>
      <c r="EW736" s="1510"/>
      <c r="EX736" s="1510"/>
      <c r="EY736" s="4"/>
      <c r="EZ736" s="1528" t="str">
        <f t="shared" si="32"/>
        <v/>
      </c>
      <c r="FA736" s="1529"/>
      <c r="FB736" s="1529"/>
      <c r="FC736" s="1529"/>
      <c r="FD736" s="1530"/>
      <c r="FE736" s="1528" t="str">
        <f t="shared" si="33"/>
        <v/>
      </c>
      <c r="FF736" s="1529"/>
      <c r="FG736" s="1529"/>
      <c r="FH736" s="1529"/>
      <c r="FI736" s="1530"/>
      <c r="FJ736" s="1528">
        <f t="shared" si="34"/>
        <v>2362</v>
      </c>
      <c r="FK736" s="1529"/>
      <c r="FL736" s="1529"/>
      <c r="FM736" s="1529"/>
      <c r="FN736" s="1530"/>
      <c r="FO736" s="1528" t="str">
        <f t="shared" si="35"/>
        <v/>
      </c>
      <c r="FP736" s="1529"/>
      <c r="FQ736" s="1529"/>
      <c r="FR736" s="1529"/>
      <c r="FS736" s="1530"/>
      <c r="FT736" s="1528" t="str">
        <f t="shared" si="36"/>
        <v/>
      </c>
      <c r="FU736" s="1529"/>
      <c r="FV736" s="1529"/>
      <c r="FW736" s="1529"/>
      <c r="FX736" s="1530"/>
      <c r="FY736" s="1528" t="str">
        <f t="shared" si="37"/>
        <v/>
      </c>
      <c r="FZ736" s="1529"/>
      <c r="GA736" s="1529"/>
      <c r="GB736" s="1529"/>
      <c r="GC736" s="1530"/>
    </row>
    <row r="737" spans="1:185" ht="12.9" customHeight="1">
      <c r="A737" s="4"/>
      <c r="B737" s="1360" t="s">
        <v>163</v>
      </c>
      <c r="C737" s="1361"/>
      <c r="D737" s="1361"/>
      <c r="E737" s="1361"/>
      <c r="F737" s="1362"/>
      <c r="G737" s="1366">
        <v>4</v>
      </c>
      <c r="H737" s="1367"/>
      <c r="I737" s="1367"/>
      <c r="J737" s="1368"/>
      <c r="K737" s="1398">
        <v>866</v>
      </c>
      <c r="L737" s="1399"/>
      <c r="M737" s="1399"/>
      <c r="N737" s="1400"/>
      <c r="O737" s="1392">
        <v>3150</v>
      </c>
      <c r="P737" s="1393"/>
      <c r="Q737" s="1393"/>
      <c r="R737" s="1393"/>
      <c r="S737" s="1394"/>
      <c r="T737" s="1392"/>
      <c r="U737" s="1393"/>
      <c r="V737" s="1393"/>
      <c r="W737" s="1394"/>
      <c r="X737" s="1421">
        <f t="shared" si="10"/>
        <v>3150</v>
      </c>
      <c r="Y737" s="1422"/>
      <c r="Z737" s="1422"/>
      <c r="AA737" s="1422"/>
      <c r="AB737" s="1423"/>
      <c r="AC737" s="1395">
        <v>0.8</v>
      </c>
      <c r="AD737" s="1396"/>
      <c r="AE737" s="1396"/>
      <c r="AF737" s="1396"/>
      <c r="AG737" s="1397"/>
      <c r="AH737" s="1363">
        <f t="shared" si="38"/>
        <v>0.80030487804878048</v>
      </c>
      <c r="AI737" s="1364"/>
      <c r="AJ737" s="1365"/>
      <c r="AK737" s="1360" t="s">
        <v>591</v>
      </c>
      <c r="AL737" s="1361"/>
      <c r="AM737" s="1361"/>
      <c r="AN737" s="1361"/>
      <c r="AO737" s="1362"/>
      <c r="AP737" s="3"/>
      <c r="AQ737" s="3"/>
      <c r="AR737" s="3"/>
      <c r="AS737" s="3"/>
      <c r="AY737" s="1075"/>
      <c r="AZ737" s="118">
        <f t="shared" si="11"/>
        <v>3936</v>
      </c>
      <c r="BA737" s="3"/>
      <c r="BB737" s="3"/>
      <c r="BC737" s="3"/>
      <c r="BD737" s="3"/>
      <c r="BE737" s="204"/>
      <c r="BF737" s="294">
        <f t="shared" si="12"/>
        <v>4</v>
      </c>
      <c r="BG737" s="297">
        <f t="shared" si="13"/>
        <v>2.197802197802198E-2</v>
      </c>
      <c r="BH737" s="298">
        <f t="shared" si="14"/>
        <v>1.7582417582417586E-2</v>
      </c>
      <c r="BI737" s="3"/>
      <c r="BJ737" s="3"/>
      <c r="BK737" s="3"/>
      <c r="BL737" s="3"/>
      <c r="BM737" s="3"/>
      <c r="BN737" s="3"/>
      <c r="BS737" s="294">
        <f t="shared" si="15"/>
        <v>4</v>
      </c>
      <c r="BT737" s="297">
        <f t="shared" si="16"/>
        <v>2.197802197802198E-2</v>
      </c>
      <c r="BU737" s="298">
        <f t="shared" si="17"/>
        <v>1.7589118198874296E-2</v>
      </c>
      <c r="BV737" s="3"/>
      <c r="BW737" s="3"/>
      <c r="BX737" s="3"/>
      <c r="BY737" s="3"/>
      <c r="BZ737" s="3"/>
      <c r="CA737" s="3"/>
      <c r="CB737" s="3"/>
      <c r="CC737" s="3"/>
      <c r="CE737" s="3"/>
      <c r="CF737" s="3"/>
      <c r="CG737" s="1528">
        <f t="shared" si="39"/>
        <v>0</v>
      </c>
      <c r="CH737" s="1530"/>
      <c r="CI737" s="1531">
        <f t="shared" si="40"/>
        <v>0</v>
      </c>
      <c r="CJ737" s="1533"/>
      <c r="CK737" s="1528">
        <f t="shared" si="18"/>
        <v>0</v>
      </c>
      <c r="CL737" s="1530"/>
      <c r="CM737" s="1531">
        <f t="shared" si="19"/>
        <v>0</v>
      </c>
      <c r="CN737" s="1533"/>
      <c r="CO737" s="3"/>
      <c r="CP737" s="1525">
        <f t="shared" si="20"/>
        <v>0</v>
      </c>
      <c r="CQ737" s="1526"/>
      <c r="CR737" s="1526"/>
      <c r="CS737" s="1526"/>
      <c r="CT737" s="1527"/>
      <c r="CU737" s="1524">
        <f t="shared" si="21"/>
        <v>0</v>
      </c>
      <c r="CV737" s="1524"/>
      <c r="CW737" s="1524"/>
      <c r="CX737" s="1524"/>
      <c r="CY737" s="1524"/>
      <c r="CZ737" s="1524">
        <f t="shared" si="22"/>
        <v>4</v>
      </c>
      <c r="DA737" s="1524"/>
      <c r="DB737" s="1524"/>
      <c r="DC737" s="1524"/>
      <c r="DD737" s="1524"/>
      <c r="DE737" s="1524">
        <f t="shared" si="23"/>
        <v>0</v>
      </c>
      <c r="DF737" s="1524"/>
      <c r="DG737" s="1524"/>
      <c r="DH737" s="1524"/>
      <c r="DI737" s="1524"/>
      <c r="DJ737" s="1524">
        <f t="shared" si="24"/>
        <v>0</v>
      </c>
      <c r="DK737" s="1524"/>
      <c r="DL737" s="1524"/>
      <c r="DM737" s="1524"/>
      <c r="DN737" s="1524"/>
      <c r="DO737" s="1524">
        <f t="shared" si="25"/>
        <v>0</v>
      </c>
      <c r="DP737" s="1524"/>
      <c r="DQ737" s="1524"/>
      <c r="DR737" s="1524"/>
      <c r="DS737" s="1524"/>
      <c r="DT737" s="6"/>
      <c r="DU737" s="1510">
        <f t="shared" si="26"/>
        <v>0</v>
      </c>
      <c r="DV737" s="1510"/>
      <c r="DW737" s="1510"/>
      <c r="DX737" s="1510"/>
      <c r="DY737" s="1510"/>
      <c r="DZ737" s="1510">
        <f t="shared" si="27"/>
        <v>0</v>
      </c>
      <c r="EA737" s="1510"/>
      <c r="EB737" s="1510"/>
      <c r="EC737" s="1510"/>
      <c r="ED737" s="1510"/>
      <c r="EE737" s="1510">
        <f t="shared" si="28"/>
        <v>0</v>
      </c>
      <c r="EF737" s="1510"/>
      <c r="EG737" s="1510"/>
      <c r="EH737" s="1510"/>
      <c r="EI737" s="1510"/>
      <c r="EJ737" s="1510">
        <f t="shared" si="29"/>
        <v>0</v>
      </c>
      <c r="EK737" s="1510"/>
      <c r="EL737" s="1510"/>
      <c r="EM737" s="1510"/>
      <c r="EN737" s="1510"/>
      <c r="EO737" s="1510">
        <f t="shared" si="30"/>
        <v>0</v>
      </c>
      <c r="EP737" s="1510"/>
      <c r="EQ737" s="1510"/>
      <c r="ER737" s="1510"/>
      <c r="ES737" s="1510"/>
      <c r="ET737" s="1510">
        <f t="shared" si="31"/>
        <v>0</v>
      </c>
      <c r="EU737" s="1510"/>
      <c r="EV737" s="1510"/>
      <c r="EW737" s="1510"/>
      <c r="EX737" s="1510"/>
      <c r="EZ737" s="1528" t="str">
        <f t="shared" si="32"/>
        <v/>
      </c>
      <c r="FA737" s="1529"/>
      <c r="FB737" s="1529"/>
      <c r="FC737" s="1529"/>
      <c r="FD737" s="1530"/>
      <c r="FE737" s="1528" t="str">
        <f t="shared" si="33"/>
        <v/>
      </c>
      <c r="FF737" s="1529"/>
      <c r="FG737" s="1529"/>
      <c r="FH737" s="1529"/>
      <c r="FI737" s="1530"/>
      <c r="FJ737" s="1528">
        <f t="shared" si="34"/>
        <v>3150</v>
      </c>
      <c r="FK737" s="1529"/>
      <c r="FL737" s="1529"/>
      <c r="FM737" s="1529"/>
      <c r="FN737" s="1530"/>
      <c r="FO737" s="1528" t="str">
        <f t="shared" si="35"/>
        <v/>
      </c>
      <c r="FP737" s="1529"/>
      <c r="FQ737" s="1529"/>
      <c r="FR737" s="1529"/>
      <c r="FS737" s="1530"/>
      <c r="FT737" s="1528" t="str">
        <f t="shared" si="36"/>
        <v/>
      </c>
      <c r="FU737" s="1529"/>
      <c r="FV737" s="1529"/>
      <c r="FW737" s="1529"/>
      <c r="FX737" s="1530"/>
      <c r="FY737" s="1528" t="str">
        <f t="shared" si="37"/>
        <v/>
      </c>
      <c r="FZ737" s="1529"/>
      <c r="GA737" s="1529"/>
      <c r="GB737" s="1529"/>
      <c r="GC737" s="1530"/>
    </row>
    <row r="738" spans="1:185" ht="12.9" customHeight="1">
      <c r="B738" s="1360"/>
      <c r="C738" s="1361"/>
      <c r="D738" s="1361"/>
      <c r="E738" s="1361"/>
      <c r="F738" s="1362"/>
      <c r="G738" s="1366"/>
      <c r="H738" s="1367"/>
      <c r="I738" s="1367"/>
      <c r="J738" s="1368"/>
      <c r="K738" s="1398"/>
      <c r="L738" s="1399"/>
      <c r="M738" s="1399"/>
      <c r="N738" s="1400"/>
      <c r="O738" s="1392"/>
      <c r="P738" s="1393"/>
      <c r="Q738" s="1393"/>
      <c r="R738" s="1393"/>
      <c r="S738" s="1394"/>
      <c r="T738" s="1392"/>
      <c r="U738" s="1393"/>
      <c r="V738" s="1393"/>
      <c r="W738" s="1394"/>
      <c r="X738" s="1421">
        <f t="shared" si="10"/>
        <v>0</v>
      </c>
      <c r="Y738" s="1422"/>
      <c r="Z738" s="1422"/>
      <c r="AA738" s="1422"/>
      <c r="AB738" s="1423"/>
      <c r="AC738" s="1395"/>
      <c r="AD738" s="1396"/>
      <c r="AE738" s="1396"/>
      <c r="AF738" s="1396"/>
      <c r="AG738" s="1397"/>
      <c r="AH738" s="1363" t="str">
        <f t="shared" si="38"/>
        <v/>
      </c>
      <c r="AI738" s="1364"/>
      <c r="AJ738" s="1365"/>
      <c r="AK738" s="1360" t="s">
        <v>591</v>
      </c>
      <c r="AL738" s="1361"/>
      <c r="AM738" s="1361"/>
      <c r="AN738" s="1361"/>
      <c r="AO738" s="1362"/>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28">
        <f t="shared" si="39"/>
        <v>0</v>
      </c>
      <c r="CH738" s="1530"/>
      <c r="CI738" s="1531">
        <f t="shared" si="40"/>
        <v>0</v>
      </c>
      <c r="CJ738" s="1533"/>
      <c r="CK738" s="1528">
        <f t="shared" si="18"/>
        <v>0</v>
      </c>
      <c r="CL738" s="1530"/>
      <c r="CM738" s="1531">
        <f t="shared" si="19"/>
        <v>0</v>
      </c>
      <c r="CN738" s="1533"/>
      <c r="CO738" s="3"/>
      <c r="CP738" s="1525">
        <f t="shared" si="20"/>
        <v>0</v>
      </c>
      <c r="CQ738" s="1526"/>
      <c r="CR738" s="1526"/>
      <c r="CS738" s="1526"/>
      <c r="CT738" s="1527"/>
      <c r="CU738" s="1524">
        <f t="shared" si="21"/>
        <v>0</v>
      </c>
      <c r="CV738" s="1524"/>
      <c r="CW738" s="1524"/>
      <c r="CX738" s="1524"/>
      <c r="CY738" s="1524"/>
      <c r="CZ738" s="1524">
        <f t="shared" si="22"/>
        <v>0</v>
      </c>
      <c r="DA738" s="1524"/>
      <c r="DB738" s="1524"/>
      <c r="DC738" s="1524"/>
      <c r="DD738" s="1524"/>
      <c r="DE738" s="1524">
        <f t="shared" si="23"/>
        <v>0</v>
      </c>
      <c r="DF738" s="1524"/>
      <c r="DG738" s="1524"/>
      <c r="DH738" s="1524"/>
      <c r="DI738" s="1524"/>
      <c r="DJ738" s="1524">
        <f t="shared" si="24"/>
        <v>0</v>
      </c>
      <c r="DK738" s="1524"/>
      <c r="DL738" s="1524"/>
      <c r="DM738" s="1524"/>
      <c r="DN738" s="1524"/>
      <c r="DO738" s="1524">
        <f t="shared" si="25"/>
        <v>0</v>
      </c>
      <c r="DP738" s="1524"/>
      <c r="DQ738" s="1524"/>
      <c r="DR738" s="1524"/>
      <c r="DS738" s="1524"/>
      <c r="DT738" s="6"/>
      <c r="DU738" s="1510">
        <f t="shared" si="26"/>
        <v>0</v>
      </c>
      <c r="DV738" s="1510"/>
      <c r="DW738" s="1510"/>
      <c r="DX738" s="1510"/>
      <c r="DY738" s="1510"/>
      <c r="DZ738" s="1510">
        <f t="shared" si="27"/>
        <v>0</v>
      </c>
      <c r="EA738" s="1510"/>
      <c r="EB738" s="1510"/>
      <c r="EC738" s="1510"/>
      <c r="ED738" s="1510"/>
      <c r="EE738" s="1510">
        <f t="shared" si="28"/>
        <v>0</v>
      </c>
      <c r="EF738" s="1510"/>
      <c r="EG738" s="1510"/>
      <c r="EH738" s="1510"/>
      <c r="EI738" s="1510"/>
      <c r="EJ738" s="1510">
        <f t="shared" si="29"/>
        <v>0</v>
      </c>
      <c r="EK738" s="1510"/>
      <c r="EL738" s="1510"/>
      <c r="EM738" s="1510"/>
      <c r="EN738" s="1510"/>
      <c r="EO738" s="1510">
        <f t="shared" si="30"/>
        <v>0</v>
      </c>
      <c r="EP738" s="1510"/>
      <c r="EQ738" s="1510"/>
      <c r="ER738" s="1510"/>
      <c r="ES738" s="1510"/>
      <c r="ET738" s="1510">
        <f t="shared" si="31"/>
        <v>0</v>
      </c>
      <c r="EU738" s="1510"/>
      <c r="EV738" s="1510"/>
      <c r="EW738" s="1510"/>
      <c r="EX738" s="1510"/>
      <c r="EZ738" s="1528" t="str">
        <f t="shared" si="32"/>
        <v/>
      </c>
      <c r="FA738" s="1529"/>
      <c r="FB738" s="1529"/>
      <c r="FC738" s="1529"/>
      <c r="FD738" s="1530"/>
      <c r="FE738" s="1528" t="str">
        <f t="shared" si="33"/>
        <v/>
      </c>
      <c r="FF738" s="1529"/>
      <c r="FG738" s="1529"/>
      <c r="FH738" s="1529"/>
      <c r="FI738" s="1530"/>
      <c r="FJ738" s="1528" t="str">
        <f t="shared" si="34"/>
        <v/>
      </c>
      <c r="FK738" s="1529"/>
      <c r="FL738" s="1529"/>
      <c r="FM738" s="1529"/>
      <c r="FN738" s="1530"/>
      <c r="FO738" s="1528" t="str">
        <f t="shared" si="35"/>
        <v/>
      </c>
      <c r="FP738" s="1529"/>
      <c r="FQ738" s="1529"/>
      <c r="FR738" s="1529"/>
      <c r="FS738" s="1530"/>
      <c r="FT738" s="1528" t="str">
        <f t="shared" si="36"/>
        <v/>
      </c>
      <c r="FU738" s="1529"/>
      <c r="FV738" s="1529"/>
      <c r="FW738" s="1529"/>
      <c r="FX738" s="1530"/>
      <c r="FY738" s="1528" t="str">
        <f t="shared" si="37"/>
        <v/>
      </c>
      <c r="FZ738" s="1529"/>
      <c r="GA738" s="1529"/>
      <c r="GB738" s="1529"/>
      <c r="GC738" s="1530"/>
    </row>
    <row r="739" spans="1:185" ht="12.9" customHeight="1">
      <c r="B739" s="1360"/>
      <c r="C739" s="1361"/>
      <c r="D739" s="1361"/>
      <c r="E739" s="1361"/>
      <c r="F739" s="1362"/>
      <c r="G739" s="1366"/>
      <c r="H739" s="1367"/>
      <c r="I739" s="1367"/>
      <c r="J739" s="1368"/>
      <c r="K739" s="1398"/>
      <c r="L739" s="1399"/>
      <c r="M739" s="1399"/>
      <c r="N739" s="1400"/>
      <c r="O739" s="1392"/>
      <c r="P739" s="1393"/>
      <c r="Q739" s="1393"/>
      <c r="R739" s="1393"/>
      <c r="S739" s="1394"/>
      <c r="T739" s="1392"/>
      <c r="U739" s="1393"/>
      <c r="V739" s="1393"/>
      <c r="W739" s="1394"/>
      <c r="X739" s="1421">
        <f t="shared" si="10"/>
        <v>0</v>
      </c>
      <c r="Y739" s="1422"/>
      <c r="Z739" s="1422"/>
      <c r="AA739" s="1422"/>
      <c r="AB739" s="1423"/>
      <c r="AC739" s="1395"/>
      <c r="AD739" s="1396"/>
      <c r="AE739" s="1396"/>
      <c r="AF739" s="1396"/>
      <c r="AG739" s="1397"/>
      <c r="AH739" s="1363" t="str">
        <f t="shared" si="38"/>
        <v/>
      </c>
      <c r="AI739" s="1364"/>
      <c r="AJ739" s="1365"/>
      <c r="AK739" s="1360" t="s">
        <v>591</v>
      </c>
      <c r="AL739" s="1361"/>
      <c r="AM739" s="1361"/>
      <c r="AN739" s="1361"/>
      <c r="AO739" s="1362"/>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28">
        <f t="shared" si="39"/>
        <v>0</v>
      </c>
      <c r="CH739" s="1530"/>
      <c r="CI739" s="1531">
        <f t="shared" si="40"/>
        <v>0</v>
      </c>
      <c r="CJ739" s="1533"/>
      <c r="CK739" s="1528">
        <f t="shared" si="18"/>
        <v>0</v>
      </c>
      <c r="CL739" s="1530"/>
      <c r="CM739" s="1531">
        <f t="shared" si="19"/>
        <v>0</v>
      </c>
      <c r="CN739" s="1533"/>
      <c r="CO739" s="3"/>
      <c r="CP739" s="1525">
        <f t="shared" si="20"/>
        <v>0</v>
      </c>
      <c r="CQ739" s="1526"/>
      <c r="CR739" s="1526"/>
      <c r="CS739" s="1526"/>
      <c r="CT739" s="1527"/>
      <c r="CU739" s="1524">
        <f t="shared" si="21"/>
        <v>0</v>
      </c>
      <c r="CV739" s="1524"/>
      <c r="CW739" s="1524"/>
      <c r="CX739" s="1524"/>
      <c r="CY739" s="1524"/>
      <c r="CZ739" s="1524">
        <f t="shared" si="22"/>
        <v>0</v>
      </c>
      <c r="DA739" s="1524"/>
      <c r="DB739" s="1524"/>
      <c r="DC739" s="1524"/>
      <c r="DD739" s="1524"/>
      <c r="DE739" s="1524">
        <f t="shared" si="23"/>
        <v>0</v>
      </c>
      <c r="DF739" s="1524"/>
      <c r="DG739" s="1524"/>
      <c r="DH739" s="1524"/>
      <c r="DI739" s="1524"/>
      <c r="DJ739" s="1524">
        <f t="shared" si="24"/>
        <v>0</v>
      </c>
      <c r="DK739" s="1524"/>
      <c r="DL739" s="1524"/>
      <c r="DM739" s="1524"/>
      <c r="DN739" s="1524"/>
      <c r="DO739" s="1524">
        <f t="shared" si="25"/>
        <v>0</v>
      </c>
      <c r="DP739" s="1524"/>
      <c r="DQ739" s="1524"/>
      <c r="DR739" s="1524"/>
      <c r="DS739" s="1524"/>
      <c r="DT739" s="6"/>
      <c r="DU739" s="1510">
        <f t="shared" si="26"/>
        <v>0</v>
      </c>
      <c r="DV739" s="1510"/>
      <c r="DW739" s="1510"/>
      <c r="DX739" s="1510"/>
      <c r="DY739" s="1510"/>
      <c r="DZ739" s="1510">
        <f t="shared" si="27"/>
        <v>0</v>
      </c>
      <c r="EA739" s="1510"/>
      <c r="EB739" s="1510"/>
      <c r="EC739" s="1510"/>
      <c r="ED739" s="1510"/>
      <c r="EE739" s="1510">
        <f t="shared" si="28"/>
        <v>0</v>
      </c>
      <c r="EF739" s="1510"/>
      <c r="EG739" s="1510"/>
      <c r="EH739" s="1510"/>
      <c r="EI739" s="1510"/>
      <c r="EJ739" s="1510">
        <f t="shared" si="29"/>
        <v>0</v>
      </c>
      <c r="EK739" s="1510"/>
      <c r="EL739" s="1510"/>
      <c r="EM739" s="1510"/>
      <c r="EN739" s="1510"/>
      <c r="EO739" s="1510">
        <f t="shared" si="30"/>
        <v>0</v>
      </c>
      <c r="EP739" s="1510"/>
      <c r="EQ739" s="1510"/>
      <c r="ER739" s="1510"/>
      <c r="ES739" s="1510"/>
      <c r="ET739" s="1510">
        <f t="shared" si="31"/>
        <v>0</v>
      </c>
      <c r="EU739" s="1510"/>
      <c r="EV739" s="1510"/>
      <c r="EW739" s="1510"/>
      <c r="EX739" s="1510"/>
      <c r="EZ739" s="1528" t="str">
        <f t="shared" si="32"/>
        <v/>
      </c>
      <c r="FA739" s="1529"/>
      <c r="FB739" s="1529"/>
      <c r="FC739" s="1529"/>
      <c r="FD739" s="1530"/>
      <c r="FE739" s="1528" t="str">
        <f t="shared" si="33"/>
        <v/>
      </c>
      <c r="FF739" s="1529"/>
      <c r="FG739" s="1529"/>
      <c r="FH739" s="1529"/>
      <c r="FI739" s="1530"/>
      <c r="FJ739" s="1528" t="str">
        <f t="shared" si="34"/>
        <v/>
      </c>
      <c r="FK739" s="1529"/>
      <c r="FL739" s="1529"/>
      <c r="FM739" s="1529"/>
      <c r="FN739" s="1530"/>
      <c r="FO739" s="1528" t="str">
        <f t="shared" si="35"/>
        <v/>
      </c>
      <c r="FP739" s="1529"/>
      <c r="FQ739" s="1529"/>
      <c r="FR739" s="1529"/>
      <c r="FS739" s="1530"/>
      <c r="FT739" s="1528" t="str">
        <f t="shared" si="36"/>
        <v/>
      </c>
      <c r="FU739" s="1529"/>
      <c r="FV739" s="1529"/>
      <c r="FW739" s="1529"/>
      <c r="FX739" s="1530"/>
      <c r="FY739" s="1528" t="str">
        <f t="shared" si="37"/>
        <v/>
      </c>
      <c r="FZ739" s="1529"/>
      <c r="GA739" s="1529"/>
      <c r="GB739" s="1529"/>
      <c r="GC739" s="1530"/>
    </row>
    <row r="740" spans="1:185" ht="12.9" customHeight="1">
      <c r="B740" s="1360"/>
      <c r="C740" s="1361"/>
      <c r="D740" s="1361"/>
      <c r="E740" s="1361"/>
      <c r="F740" s="1362"/>
      <c r="G740" s="1366"/>
      <c r="H740" s="1367"/>
      <c r="I740" s="1367"/>
      <c r="J740" s="1368"/>
      <c r="K740" s="1398"/>
      <c r="L740" s="1399"/>
      <c r="M740" s="1399"/>
      <c r="N740" s="1400"/>
      <c r="O740" s="1392"/>
      <c r="P740" s="1393"/>
      <c r="Q740" s="1393"/>
      <c r="R740" s="1393"/>
      <c r="S740" s="1394"/>
      <c r="T740" s="1392"/>
      <c r="U740" s="1393"/>
      <c r="V740" s="1393"/>
      <c r="W740" s="1394"/>
      <c r="X740" s="1421">
        <f t="shared" si="10"/>
        <v>0</v>
      </c>
      <c r="Y740" s="1422"/>
      <c r="Z740" s="1422"/>
      <c r="AA740" s="1422"/>
      <c r="AB740" s="1423"/>
      <c r="AC740" s="1395"/>
      <c r="AD740" s="1396"/>
      <c r="AE740" s="1396"/>
      <c r="AF740" s="1396"/>
      <c r="AG740" s="1397"/>
      <c r="AH740" s="1363" t="str">
        <f t="shared" si="38"/>
        <v/>
      </c>
      <c r="AI740" s="1364"/>
      <c r="AJ740" s="1365"/>
      <c r="AK740" s="1360" t="s">
        <v>591</v>
      </c>
      <c r="AL740" s="1361"/>
      <c r="AM740" s="1361"/>
      <c r="AN740" s="1361"/>
      <c r="AO740" s="1362"/>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28">
        <f t="shared" si="39"/>
        <v>0</v>
      </c>
      <c r="CH740" s="1530"/>
      <c r="CI740" s="1531">
        <f t="shared" si="40"/>
        <v>0</v>
      </c>
      <c r="CJ740" s="1533"/>
      <c r="CK740" s="1528">
        <f t="shared" si="18"/>
        <v>0</v>
      </c>
      <c r="CL740" s="1530"/>
      <c r="CM740" s="1531">
        <f t="shared" si="19"/>
        <v>0</v>
      </c>
      <c r="CN740" s="1533"/>
      <c r="CO740" s="3"/>
      <c r="CP740" s="1525">
        <f t="shared" si="20"/>
        <v>0</v>
      </c>
      <c r="CQ740" s="1526"/>
      <c r="CR740" s="1526"/>
      <c r="CS740" s="1526"/>
      <c r="CT740" s="1527"/>
      <c r="CU740" s="1524">
        <f t="shared" si="21"/>
        <v>0</v>
      </c>
      <c r="CV740" s="1524"/>
      <c r="CW740" s="1524"/>
      <c r="CX740" s="1524"/>
      <c r="CY740" s="1524"/>
      <c r="CZ740" s="1524">
        <f t="shared" si="22"/>
        <v>0</v>
      </c>
      <c r="DA740" s="1524"/>
      <c r="DB740" s="1524"/>
      <c r="DC740" s="1524"/>
      <c r="DD740" s="1524"/>
      <c r="DE740" s="1524">
        <f t="shared" si="23"/>
        <v>0</v>
      </c>
      <c r="DF740" s="1524"/>
      <c r="DG740" s="1524"/>
      <c r="DH740" s="1524"/>
      <c r="DI740" s="1524"/>
      <c r="DJ740" s="1524">
        <f t="shared" si="24"/>
        <v>0</v>
      </c>
      <c r="DK740" s="1524"/>
      <c r="DL740" s="1524"/>
      <c r="DM740" s="1524"/>
      <c r="DN740" s="1524"/>
      <c r="DO740" s="1524">
        <f t="shared" si="25"/>
        <v>0</v>
      </c>
      <c r="DP740" s="1524"/>
      <c r="DQ740" s="1524"/>
      <c r="DR740" s="1524"/>
      <c r="DS740" s="1524"/>
      <c r="DT740" s="6"/>
      <c r="DU740" s="1510">
        <f t="shared" si="26"/>
        <v>0</v>
      </c>
      <c r="DV740" s="1510"/>
      <c r="DW740" s="1510"/>
      <c r="DX740" s="1510"/>
      <c r="DY740" s="1510"/>
      <c r="DZ740" s="1510">
        <f t="shared" si="27"/>
        <v>0</v>
      </c>
      <c r="EA740" s="1510"/>
      <c r="EB740" s="1510"/>
      <c r="EC740" s="1510"/>
      <c r="ED740" s="1510"/>
      <c r="EE740" s="1510">
        <f t="shared" si="28"/>
        <v>0</v>
      </c>
      <c r="EF740" s="1510"/>
      <c r="EG740" s="1510"/>
      <c r="EH740" s="1510"/>
      <c r="EI740" s="1510"/>
      <c r="EJ740" s="1510">
        <f t="shared" si="29"/>
        <v>0</v>
      </c>
      <c r="EK740" s="1510"/>
      <c r="EL740" s="1510"/>
      <c r="EM740" s="1510"/>
      <c r="EN740" s="1510"/>
      <c r="EO740" s="1510">
        <f t="shared" si="30"/>
        <v>0</v>
      </c>
      <c r="EP740" s="1510"/>
      <c r="EQ740" s="1510"/>
      <c r="ER740" s="1510"/>
      <c r="ES740" s="1510"/>
      <c r="ET740" s="1510">
        <f t="shared" si="31"/>
        <v>0</v>
      </c>
      <c r="EU740" s="1510"/>
      <c r="EV740" s="1510"/>
      <c r="EW740" s="1510"/>
      <c r="EX740" s="1510"/>
      <c r="EZ740" s="1528" t="str">
        <f t="shared" si="32"/>
        <v/>
      </c>
      <c r="FA740" s="1529"/>
      <c r="FB740" s="1529"/>
      <c r="FC740" s="1529"/>
      <c r="FD740" s="1530"/>
      <c r="FE740" s="1528" t="str">
        <f t="shared" si="33"/>
        <v/>
      </c>
      <c r="FF740" s="1529"/>
      <c r="FG740" s="1529"/>
      <c r="FH740" s="1529"/>
      <c r="FI740" s="1530"/>
      <c r="FJ740" s="1528" t="str">
        <f t="shared" si="34"/>
        <v/>
      </c>
      <c r="FK740" s="1529"/>
      <c r="FL740" s="1529"/>
      <c r="FM740" s="1529"/>
      <c r="FN740" s="1530"/>
      <c r="FO740" s="1528" t="str">
        <f t="shared" si="35"/>
        <v/>
      </c>
      <c r="FP740" s="1529"/>
      <c r="FQ740" s="1529"/>
      <c r="FR740" s="1529"/>
      <c r="FS740" s="1530"/>
      <c r="FT740" s="1528" t="str">
        <f t="shared" si="36"/>
        <v/>
      </c>
      <c r="FU740" s="1529"/>
      <c r="FV740" s="1529"/>
      <c r="FW740" s="1529"/>
      <c r="FX740" s="1530"/>
      <c r="FY740" s="1528" t="str">
        <f t="shared" si="37"/>
        <v/>
      </c>
      <c r="FZ740" s="1529"/>
      <c r="GA740" s="1529"/>
      <c r="GB740" s="1529"/>
      <c r="GC740" s="1530"/>
    </row>
    <row r="741" spans="1:185" ht="12.9" customHeight="1">
      <c r="B741" s="1360"/>
      <c r="C741" s="1361"/>
      <c r="D741" s="1361"/>
      <c r="E741" s="1361"/>
      <c r="F741" s="1362"/>
      <c r="G741" s="1366"/>
      <c r="H741" s="1367"/>
      <c r="I741" s="1367"/>
      <c r="J741" s="1368"/>
      <c r="K741" s="1398"/>
      <c r="L741" s="1399"/>
      <c r="M741" s="1399"/>
      <c r="N741" s="1400"/>
      <c r="O741" s="1392"/>
      <c r="P741" s="1393"/>
      <c r="Q741" s="1393"/>
      <c r="R741" s="1393"/>
      <c r="S741" s="1394"/>
      <c r="T741" s="1392"/>
      <c r="U741" s="1393"/>
      <c r="V741" s="1393"/>
      <c r="W741" s="1394"/>
      <c r="X741" s="1421">
        <f t="shared" si="10"/>
        <v>0</v>
      </c>
      <c r="Y741" s="1422"/>
      <c r="Z741" s="1422"/>
      <c r="AA741" s="1422"/>
      <c r="AB741" s="1423"/>
      <c r="AC741" s="1395"/>
      <c r="AD741" s="1396"/>
      <c r="AE741" s="1396"/>
      <c r="AF741" s="1396"/>
      <c r="AG741" s="1397"/>
      <c r="AH741" s="1363" t="str">
        <f t="shared" si="38"/>
        <v/>
      </c>
      <c r="AI741" s="1364"/>
      <c r="AJ741" s="1365"/>
      <c r="AK741" s="1360" t="s">
        <v>591</v>
      </c>
      <c r="AL741" s="1361"/>
      <c r="AM741" s="1361"/>
      <c r="AN741" s="1361"/>
      <c r="AO741" s="1362"/>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28">
        <f t="shared" si="39"/>
        <v>0</v>
      </c>
      <c r="CH741" s="1530"/>
      <c r="CI741" s="1531">
        <f t="shared" si="40"/>
        <v>0</v>
      </c>
      <c r="CJ741" s="1533"/>
      <c r="CK741" s="1528">
        <f t="shared" si="18"/>
        <v>0</v>
      </c>
      <c r="CL741" s="1530"/>
      <c r="CM741" s="1531">
        <f t="shared" si="19"/>
        <v>0</v>
      </c>
      <c r="CN741" s="1533"/>
      <c r="CO741" s="3"/>
      <c r="CP741" s="1525">
        <f t="shared" si="20"/>
        <v>0</v>
      </c>
      <c r="CQ741" s="1526"/>
      <c r="CR741" s="1526"/>
      <c r="CS741" s="1526"/>
      <c r="CT741" s="1527"/>
      <c r="CU741" s="1524">
        <f t="shared" si="21"/>
        <v>0</v>
      </c>
      <c r="CV741" s="1524"/>
      <c r="CW741" s="1524"/>
      <c r="CX741" s="1524"/>
      <c r="CY741" s="1524"/>
      <c r="CZ741" s="1524">
        <f t="shared" si="22"/>
        <v>0</v>
      </c>
      <c r="DA741" s="1524"/>
      <c r="DB741" s="1524"/>
      <c r="DC741" s="1524"/>
      <c r="DD741" s="1524"/>
      <c r="DE741" s="1524">
        <f t="shared" si="23"/>
        <v>0</v>
      </c>
      <c r="DF741" s="1524"/>
      <c r="DG741" s="1524"/>
      <c r="DH741" s="1524"/>
      <c r="DI741" s="1524"/>
      <c r="DJ741" s="1524">
        <f t="shared" si="24"/>
        <v>0</v>
      </c>
      <c r="DK741" s="1524"/>
      <c r="DL741" s="1524"/>
      <c r="DM741" s="1524"/>
      <c r="DN741" s="1524"/>
      <c r="DO741" s="1524">
        <f t="shared" si="25"/>
        <v>0</v>
      </c>
      <c r="DP741" s="1524"/>
      <c r="DQ741" s="1524"/>
      <c r="DR741" s="1524"/>
      <c r="DS741" s="1524"/>
      <c r="DT741" s="6"/>
      <c r="DU741" s="1510">
        <f t="shared" si="26"/>
        <v>0</v>
      </c>
      <c r="DV741" s="1510"/>
      <c r="DW741" s="1510"/>
      <c r="DX741" s="1510"/>
      <c r="DY741" s="1510"/>
      <c r="DZ741" s="1510">
        <f t="shared" si="27"/>
        <v>0</v>
      </c>
      <c r="EA741" s="1510"/>
      <c r="EB741" s="1510"/>
      <c r="EC741" s="1510"/>
      <c r="ED741" s="1510"/>
      <c r="EE741" s="1510">
        <f t="shared" si="28"/>
        <v>0</v>
      </c>
      <c r="EF741" s="1510"/>
      <c r="EG741" s="1510"/>
      <c r="EH741" s="1510"/>
      <c r="EI741" s="1510"/>
      <c r="EJ741" s="1510">
        <f t="shared" si="29"/>
        <v>0</v>
      </c>
      <c r="EK741" s="1510"/>
      <c r="EL741" s="1510"/>
      <c r="EM741" s="1510"/>
      <c r="EN741" s="1510"/>
      <c r="EO741" s="1510">
        <f t="shared" si="30"/>
        <v>0</v>
      </c>
      <c r="EP741" s="1510"/>
      <c r="EQ741" s="1510"/>
      <c r="ER741" s="1510"/>
      <c r="ES741" s="1510"/>
      <c r="ET741" s="1510">
        <f t="shared" si="31"/>
        <v>0</v>
      </c>
      <c r="EU741" s="1510"/>
      <c r="EV741" s="1510"/>
      <c r="EW741" s="1510"/>
      <c r="EX741" s="1510"/>
      <c r="EZ741" s="1528" t="str">
        <f t="shared" si="32"/>
        <v/>
      </c>
      <c r="FA741" s="1529"/>
      <c r="FB741" s="1529"/>
      <c r="FC741" s="1529"/>
      <c r="FD741" s="1530"/>
      <c r="FE741" s="1528" t="str">
        <f t="shared" si="33"/>
        <v/>
      </c>
      <c r="FF741" s="1529"/>
      <c r="FG741" s="1529"/>
      <c r="FH741" s="1529"/>
      <c r="FI741" s="1530"/>
      <c r="FJ741" s="1528" t="str">
        <f t="shared" si="34"/>
        <v/>
      </c>
      <c r="FK741" s="1529"/>
      <c r="FL741" s="1529"/>
      <c r="FM741" s="1529"/>
      <c r="FN741" s="1530"/>
      <c r="FO741" s="1528" t="str">
        <f t="shared" si="35"/>
        <v/>
      </c>
      <c r="FP741" s="1529"/>
      <c r="FQ741" s="1529"/>
      <c r="FR741" s="1529"/>
      <c r="FS741" s="1530"/>
      <c r="FT741" s="1528" t="str">
        <f t="shared" si="36"/>
        <v/>
      </c>
      <c r="FU741" s="1529"/>
      <c r="FV741" s="1529"/>
      <c r="FW741" s="1529"/>
      <c r="FX741" s="1530"/>
      <c r="FY741" s="1528" t="str">
        <f t="shared" si="37"/>
        <v/>
      </c>
      <c r="FZ741" s="1529"/>
      <c r="GA741" s="1529"/>
      <c r="GB741" s="1529"/>
      <c r="GC741" s="1530"/>
    </row>
    <row r="742" spans="1:185" ht="12.9" customHeight="1">
      <c r="B742" s="1360"/>
      <c r="C742" s="1361"/>
      <c r="D742" s="1361"/>
      <c r="E742" s="1361"/>
      <c r="F742" s="1362"/>
      <c r="G742" s="1366"/>
      <c r="H742" s="1367"/>
      <c r="I742" s="1367"/>
      <c r="J742" s="1368"/>
      <c r="K742" s="1398"/>
      <c r="L742" s="1399"/>
      <c r="M742" s="1399"/>
      <c r="N742" s="1400"/>
      <c r="O742" s="1392"/>
      <c r="P742" s="1393"/>
      <c r="Q742" s="1393"/>
      <c r="R742" s="1393"/>
      <c r="S742" s="1394"/>
      <c r="T742" s="1392"/>
      <c r="U742" s="1393"/>
      <c r="V742" s="1393"/>
      <c r="W742" s="1394"/>
      <c r="X742" s="1421">
        <f t="shared" si="10"/>
        <v>0</v>
      </c>
      <c r="Y742" s="1422"/>
      <c r="Z742" s="1422"/>
      <c r="AA742" s="1422"/>
      <c r="AB742" s="1423"/>
      <c r="AC742" s="1395"/>
      <c r="AD742" s="1396"/>
      <c r="AE742" s="1396"/>
      <c r="AF742" s="1396"/>
      <c r="AG742" s="1397"/>
      <c r="AH742" s="1363" t="str">
        <f t="shared" si="38"/>
        <v/>
      </c>
      <c r="AI742" s="1364"/>
      <c r="AJ742" s="1365"/>
      <c r="AK742" s="1360" t="s">
        <v>591</v>
      </c>
      <c r="AL742" s="1361"/>
      <c r="AM742" s="1361"/>
      <c r="AN742" s="1361"/>
      <c r="AO742" s="1362"/>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28">
        <f t="shared" si="39"/>
        <v>0</v>
      </c>
      <c r="CH742" s="1530"/>
      <c r="CI742" s="1531">
        <f t="shared" si="40"/>
        <v>0</v>
      </c>
      <c r="CJ742" s="1533"/>
      <c r="CK742" s="1528">
        <f t="shared" si="18"/>
        <v>0</v>
      </c>
      <c r="CL742" s="1530"/>
      <c r="CM742" s="1531">
        <f t="shared" si="19"/>
        <v>0</v>
      </c>
      <c r="CN742" s="1533"/>
      <c r="CO742" s="3"/>
      <c r="CP742" s="1525">
        <f t="shared" si="20"/>
        <v>0</v>
      </c>
      <c r="CQ742" s="1526"/>
      <c r="CR742" s="1526"/>
      <c r="CS742" s="1526"/>
      <c r="CT742" s="1527"/>
      <c r="CU742" s="1524">
        <f t="shared" si="21"/>
        <v>0</v>
      </c>
      <c r="CV742" s="1524"/>
      <c r="CW742" s="1524"/>
      <c r="CX742" s="1524"/>
      <c r="CY742" s="1524"/>
      <c r="CZ742" s="1524">
        <f t="shared" si="22"/>
        <v>0</v>
      </c>
      <c r="DA742" s="1524"/>
      <c r="DB742" s="1524"/>
      <c r="DC742" s="1524"/>
      <c r="DD742" s="1524"/>
      <c r="DE742" s="1524">
        <f t="shared" si="23"/>
        <v>0</v>
      </c>
      <c r="DF742" s="1524"/>
      <c r="DG742" s="1524"/>
      <c r="DH742" s="1524"/>
      <c r="DI742" s="1524"/>
      <c r="DJ742" s="1524">
        <f t="shared" si="24"/>
        <v>0</v>
      </c>
      <c r="DK742" s="1524"/>
      <c r="DL742" s="1524"/>
      <c r="DM742" s="1524"/>
      <c r="DN742" s="1524"/>
      <c r="DO742" s="1524">
        <f t="shared" si="25"/>
        <v>0</v>
      </c>
      <c r="DP742" s="1524"/>
      <c r="DQ742" s="1524"/>
      <c r="DR742" s="1524"/>
      <c r="DS742" s="1524"/>
      <c r="DT742" s="6"/>
      <c r="DU742" s="1510">
        <f t="shared" si="26"/>
        <v>0</v>
      </c>
      <c r="DV742" s="1510"/>
      <c r="DW742" s="1510"/>
      <c r="DX742" s="1510"/>
      <c r="DY742" s="1510"/>
      <c r="DZ742" s="1510">
        <f t="shared" si="27"/>
        <v>0</v>
      </c>
      <c r="EA742" s="1510"/>
      <c r="EB742" s="1510"/>
      <c r="EC742" s="1510"/>
      <c r="ED742" s="1510"/>
      <c r="EE742" s="1510">
        <f t="shared" si="28"/>
        <v>0</v>
      </c>
      <c r="EF742" s="1510"/>
      <c r="EG742" s="1510"/>
      <c r="EH742" s="1510"/>
      <c r="EI742" s="1510"/>
      <c r="EJ742" s="1510">
        <f t="shared" si="29"/>
        <v>0</v>
      </c>
      <c r="EK742" s="1510"/>
      <c r="EL742" s="1510"/>
      <c r="EM742" s="1510"/>
      <c r="EN742" s="1510"/>
      <c r="EO742" s="1510">
        <f t="shared" si="30"/>
        <v>0</v>
      </c>
      <c r="EP742" s="1510"/>
      <c r="EQ742" s="1510"/>
      <c r="ER742" s="1510"/>
      <c r="ES742" s="1510"/>
      <c r="ET742" s="1510">
        <f t="shared" si="31"/>
        <v>0</v>
      </c>
      <c r="EU742" s="1510"/>
      <c r="EV742" s="1510"/>
      <c r="EW742" s="1510"/>
      <c r="EX742" s="1510"/>
      <c r="EZ742" s="1528" t="str">
        <f t="shared" si="32"/>
        <v/>
      </c>
      <c r="FA742" s="1529"/>
      <c r="FB742" s="1529"/>
      <c r="FC742" s="1529"/>
      <c r="FD742" s="1530"/>
      <c r="FE742" s="1528" t="str">
        <f t="shared" si="33"/>
        <v/>
      </c>
      <c r="FF742" s="1529"/>
      <c r="FG742" s="1529"/>
      <c r="FH742" s="1529"/>
      <c r="FI742" s="1530"/>
      <c r="FJ742" s="1528" t="str">
        <f t="shared" si="34"/>
        <v/>
      </c>
      <c r="FK742" s="1529"/>
      <c r="FL742" s="1529"/>
      <c r="FM742" s="1529"/>
      <c r="FN742" s="1530"/>
      <c r="FO742" s="1528" t="str">
        <f t="shared" si="35"/>
        <v/>
      </c>
      <c r="FP742" s="1529"/>
      <c r="FQ742" s="1529"/>
      <c r="FR742" s="1529"/>
      <c r="FS742" s="1530"/>
      <c r="FT742" s="1528" t="str">
        <f t="shared" si="36"/>
        <v/>
      </c>
      <c r="FU742" s="1529"/>
      <c r="FV742" s="1529"/>
      <c r="FW742" s="1529"/>
      <c r="FX742" s="1530"/>
      <c r="FY742" s="1528" t="str">
        <f t="shared" si="37"/>
        <v/>
      </c>
      <c r="FZ742" s="1529"/>
      <c r="GA742" s="1529"/>
      <c r="GB742" s="1529"/>
      <c r="GC742" s="1530"/>
    </row>
    <row r="743" spans="1:185" ht="12.9" customHeight="1">
      <c r="B743" s="1360"/>
      <c r="C743" s="1361"/>
      <c r="D743" s="1361"/>
      <c r="E743" s="1361"/>
      <c r="F743" s="1362"/>
      <c r="G743" s="1366"/>
      <c r="H743" s="1367"/>
      <c r="I743" s="1367"/>
      <c r="J743" s="1368"/>
      <c r="K743" s="1398"/>
      <c r="L743" s="1399"/>
      <c r="M743" s="1399"/>
      <c r="N743" s="1400"/>
      <c r="O743" s="1392"/>
      <c r="P743" s="1393"/>
      <c r="Q743" s="1393"/>
      <c r="R743" s="1393"/>
      <c r="S743" s="1394"/>
      <c r="T743" s="1392"/>
      <c r="U743" s="1393"/>
      <c r="V743" s="1393"/>
      <c r="W743" s="1394"/>
      <c r="X743" s="1421">
        <f t="shared" si="10"/>
        <v>0</v>
      </c>
      <c r="Y743" s="1422"/>
      <c r="Z743" s="1422"/>
      <c r="AA743" s="1422"/>
      <c r="AB743" s="1423"/>
      <c r="AC743" s="1395"/>
      <c r="AD743" s="1396"/>
      <c r="AE743" s="1396"/>
      <c r="AF743" s="1396"/>
      <c r="AG743" s="1397"/>
      <c r="AH743" s="1363" t="str">
        <f t="shared" si="38"/>
        <v/>
      </c>
      <c r="AI743" s="1364"/>
      <c r="AJ743" s="1365"/>
      <c r="AK743" s="1360" t="s">
        <v>591</v>
      </c>
      <c r="AL743" s="1361"/>
      <c r="AM743" s="1361"/>
      <c r="AN743" s="1361"/>
      <c r="AO743" s="1362"/>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28">
        <f t="shared" si="39"/>
        <v>0</v>
      </c>
      <c r="CH743" s="1530"/>
      <c r="CI743" s="1531">
        <f t="shared" si="40"/>
        <v>0</v>
      </c>
      <c r="CJ743" s="1533"/>
      <c r="CK743" s="1528">
        <f t="shared" si="18"/>
        <v>0</v>
      </c>
      <c r="CL743" s="1530"/>
      <c r="CM743" s="1531">
        <f t="shared" si="19"/>
        <v>0</v>
      </c>
      <c r="CN743" s="1533"/>
      <c r="CO743" s="3"/>
      <c r="CP743" s="1525">
        <f t="shared" si="20"/>
        <v>0</v>
      </c>
      <c r="CQ743" s="1526"/>
      <c r="CR743" s="1526"/>
      <c r="CS743" s="1526"/>
      <c r="CT743" s="1527"/>
      <c r="CU743" s="1524">
        <f t="shared" si="21"/>
        <v>0</v>
      </c>
      <c r="CV743" s="1524"/>
      <c r="CW743" s="1524"/>
      <c r="CX743" s="1524"/>
      <c r="CY743" s="1524"/>
      <c r="CZ743" s="1524">
        <f t="shared" si="22"/>
        <v>0</v>
      </c>
      <c r="DA743" s="1524"/>
      <c r="DB743" s="1524"/>
      <c r="DC743" s="1524"/>
      <c r="DD743" s="1524"/>
      <c r="DE743" s="1524">
        <f t="shared" si="23"/>
        <v>0</v>
      </c>
      <c r="DF743" s="1524"/>
      <c r="DG743" s="1524"/>
      <c r="DH743" s="1524"/>
      <c r="DI743" s="1524"/>
      <c r="DJ743" s="1524">
        <f t="shared" si="24"/>
        <v>0</v>
      </c>
      <c r="DK743" s="1524"/>
      <c r="DL743" s="1524"/>
      <c r="DM743" s="1524"/>
      <c r="DN743" s="1524"/>
      <c r="DO743" s="1524">
        <f t="shared" si="25"/>
        <v>0</v>
      </c>
      <c r="DP743" s="1524"/>
      <c r="DQ743" s="1524"/>
      <c r="DR743" s="1524"/>
      <c r="DS743" s="1524"/>
      <c r="DT743" s="6"/>
      <c r="DU743" s="1510">
        <f t="shared" si="26"/>
        <v>0</v>
      </c>
      <c r="DV743" s="1510"/>
      <c r="DW743" s="1510"/>
      <c r="DX743" s="1510"/>
      <c r="DY743" s="1510"/>
      <c r="DZ743" s="1510">
        <f t="shared" si="27"/>
        <v>0</v>
      </c>
      <c r="EA743" s="1510"/>
      <c r="EB743" s="1510"/>
      <c r="EC743" s="1510"/>
      <c r="ED743" s="1510"/>
      <c r="EE743" s="1510">
        <f t="shared" si="28"/>
        <v>0</v>
      </c>
      <c r="EF743" s="1510"/>
      <c r="EG743" s="1510"/>
      <c r="EH743" s="1510"/>
      <c r="EI743" s="1510"/>
      <c r="EJ743" s="1510">
        <f t="shared" si="29"/>
        <v>0</v>
      </c>
      <c r="EK743" s="1510"/>
      <c r="EL743" s="1510"/>
      <c r="EM743" s="1510"/>
      <c r="EN743" s="1510"/>
      <c r="EO743" s="1510">
        <f t="shared" si="30"/>
        <v>0</v>
      </c>
      <c r="EP743" s="1510"/>
      <c r="EQ743" s="1510"/>
      <c r="ER743" s="1510"/>
      <c r="ES743" s="1510"/>
      <c r="ET743" s="1510">
        <f t="shared" si="31"/>
        <v>0</v>
      </c>
      <c r="EU743" s="1510"/>
      <c r="EV743" s="1510"/>
      <c r="EW743" s="1510"/>
      <c r="EX743" s="1510"/>
      <c r="EZ743" s="1528" t="str">
        <f t="shared" si="32"/>
        <v/>
      </c>
      <c r="FA743" s="1529"/>
      <c r="FB743" s="1529"/>
      <c r="FC743" s="1529"/>
      <c r="FD743" s="1530"/>
      <c r="FE743" s="1528" t="str">
        <f t="shared" si="33"/>
        <v/>
      </c>
      <c r="FF743" s="1529"/>
      <c r="FG743" s="1529"/>
      <c r="FH743" s="1529"/>
      <c r="FI743" s="1530"/>
      <c r="FJ743" s="1528" t="str">
        <f t="shared" si="34"/>
        <v/>
      </c>
      <c r="FK743" s="1529"/>
      <c r="FL743" s="1529"/>
      <c r="FM743" s="1529"/>
      <c r="FN743" s="1530"/>
      <c r="FO743" s="1528" t="str">
        <f t="shared" si="35"/>
        <v/>
      </c>
      <c r="FP743" s="1529"/>
      <c r="FQ743" s="1529"/>
      <c r="FR743" s="1529"/>
      <c r="FS743" s="1530"/>
      <c r="FT743" s="1528" t="str">
        <f t="shared" si="36"/>
        <v/>
      </c>
      <c r="FU743" s="1529"/>
      <c r="FV743" s="1529"/>
      <c r="FW743" s="1529"/>
      <c r="FX743" s="1530"/>
      <c r="FY743" s="1528" t="str">
        <f t="shared" si="37"/>
        <v/>
      </c>
      <c r="FZ743" s="1529"/>
      <c r="GA743" s="1529"/>
      <c r="GB743" s="1529"/>
      <c r="GC743" s="1530"/>
    </row>
    <row r="744" spans="1:185" ht="12.9" customHeight="1">
      <c r="B744" s="1360"/>
      <c r="C744" s="1361"/>
      <c r="D744" s="1361"/>
      <c r="E744" s="1361"/>
      <c r="F744" s="1362"/>
      <c r="G744" s="1366"/>
      <c r="H744" s="1367"/>
      <c r="I744" s="1367"/>
      <c r="J744" s="1368"/>
      <c r="K744" s="1398"/>
      <c r="L744" s="1399"/>
      <c r="M744" s="1399"/>
      <c r="N744" s="1400"/>
      <c r="O744" s="1392"/>
      <c r="P744" s="1393"/>
      <c r="Q744" s="1393"/>
      <c r="R744" s="1393"/>
      <c r="S744" s="1394"/>
      <c r="T744" s="1392"/>
      <c r="U744" s="1393"/>
      <c r="V744" s="1393"/>
      <c r="W744" s="1394"/>
      <c r="X744" s="1421">
        <f t="shared" si="10"/>
        <v>0</v>
      </c>
      <c r="Y744" s="1422"/>
      <c r="Z744" s="1422"/>
      <c r="AA744" s="1422"/>
      <c r="AB744" s="1423"/>
      <c r="AC744" s="1395"/>
      <c r="AD744" s="1396"/>
      <c r="AE744" s="1396"/>
      <c r="AF744" s="1396"/>
      <c r="AG744" s="1397"/>
      <c r="AH744" s="1363" t="str">
        <f t="shared" si="38"/>
        <v/>
      </c>
      <c r="AI744" s="1364"/>
      <c r="AJ744" s="1365"/>
      <c r="AK744" s="1360" t="s">
        <v>591</v>
      </c>
      <c r="AL744" s="1361"/>
      <c r="AM744" s="1361"/>
      <c r="AN744" s="1361"/>
      <c r="AO744" s="1362"/>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28">
        <f t="shared" si="39"/>
        <v>0</v>
      </c>
      <c r="CH744" s="1530"/>
      <c r="CI744" s="1531">
        <f t="shared" si="40"/>
        <v>0</v>
      </c>
      <c r="CJ744" s="1533"/>
      <c r="CK744" s="1528">
        <f t="shared" si="18"/>
        <v>0</v>
      </c>
      <c r="CL744" s="1530"/>
      <c r="CM744" s="1531">
        <f t="shared" si="19"/>
        <v>0</v>
      </c>
      <c r="CN744" s="1533"/>
      <c r="CO744" s="3"/>
      <c r="CP744" s="1525">
        <f t="shared" si="20"/>
        <v>0</v>
      </c>
      <c r="CQ744" s="1526"/>
      <c r="CR744" s="1526"/>
      <c r="CS744" s="1526"/>
      <c r="CT744" s="1527"/>
      <c r="CU744" s="1524">
        <f t="shared" si="21"/>
        <v>0</v>
      </c>
      <c r="CV744" s="1524"/>
      <c r="CW744" s="1524"/>
      <c r="CX744" s="1524"/>
      <c r="CY744" s="1524"/>
      <c r="CZ744" s="1524">
        <f t="shared" si="22"/>
        <v>0</v>
      </c>
      <c r="DA744" s="1524"/>
      <c r="DB744" s="1524"/>
      <c r="DC744" s="1524"/>
      <c r="DD744" s="1524"/>
      <c r="DE744" s="1524">
        <f t="shared" si="23"/>
        <v>0</v>
      </c>
      <c r="DF744" s="1524"/>
      <c r="DG744" s="1524"/>
      <c r="DH744" s="1524"/>
      <c r="DI744" s="1524"/>
      <c r="DJ744" s="1524">
        <f t="shared" si="24"/>
        <v>0</v>
      </c>
      <c r="DK744" s="1524"/>
      <c r="DL744" s="1524"/>
      <c r="DM744" s="1524"/>
      <c r="DN744" s="1524"/>
      <c r="DO744" s="1524">
        <f t="shared" si="25"/>
        <v>0</v>
      </c>
      <c r="DP744" s="1524"/>
      <c r="DQ744" s="1524"/>
      <c r="DR744" s="1524"/>
      <c r="DS744" s="1524"/>
      <c r="DT744" s="6"/>
      <c r="DU744" s="1510">
        <f t="shared" si="26"/>
        <v>0</v>
      </c>
      <c r="DV744" s="1510"/>
      <c r="DW744" s="1510"/>
      <c r="DX744" s="1510"/>
      <c r="DY744" s="1510"/>
      <c r="DZ744" s="1510">
        <f t="shared" si="27"/>
        <v>0</v>
      </c>
      <c r="EA744" s="1510"/>
      <c r="EB744" s="1510"/>
      <c r="EC744" s="1510"/>
      <c r="ED744" s="1510"/>
      <c r="EE744" s="1510">
        <f t="shared" si="28"/>
        <v>0</v>
      </c>
      <c r="EF744" s="1510"/>
      <c r="EG744" s="1510"/>
      <c r="EH744" s="1510"/>
      <c r="EI744" s="1510"/>
      <c r="EJ744" s="1510">
        <f t="shared" si="29"/>
        <v>0</v>
      </c>
      <c r="EK744" s="1510"/>
      <c r="EL744" s="1510"/>
      <c r="EM744" s="1510"/>
      <c r="EN744" s="1510"/>
      <c r="EO744" s="1510">
        <f t="shared" si="30"/>
        <v>0</v>
      </c>
      <c r="EP744" s="1510"/>
      <c r="EQ744" s="1510"/>
      <c r="ER744" s="1510"/>
      <c r="ES744" s="1510"/>
      <c r="ET744" s="1510">
        <f t="shared" si="31"/>
        <v>0</v>
      </c>
      <c r="EU744" s="1510"/>
      <c r="EV744" s="1510"/>
      <c r="EW744" s="1510"/>
      <c r="EX744" s="1510"/>
      <c r="EZ744" s="1528" t="str">
        <f t="shared" si="32"/>
        <v/>
      </c>
      <c r="FA744" s="1529"/>
      <c r="FB744" s="1529"/>
      <c r="FC744" s="1529"/>
      <c r="FD744" s="1530"/>
      <c r="FE744" s="1528" t="str">
        <f t="shared" si="33"/>
        <v/>
      </c>
      <c r="FF744" s="1529"/>
      <c r="FG744" s="1529"/>
      <c r="FH744" s="1529"/>
      <c r="FI744" s="1530"/>
      <c r="FJ744" s="1528" t="str">
        <f t="shared" si="34"/>
        <v/>
      </c>
      <c r="FK744" s="1529"/>
      <c r="FL744" s="1529"/>
      <c r="FM744" s="1529"/>
      <c r="FN744" s="1530"/>
      <c r="FO744" s="1528" t="str">
        <f t="shared" si="35"/>
        <v/>
      </c>
      <c r="FP744" s="1529"/>
      <c r="FQ744" s="1529"/>
      <c r="FR744" s="1529"/>
      <c r="FS744" s="1530"/>
      <c r="FT744" s="1528" t="str">
        <f t="shared" si="36"/>
        <v/>
      </c>
      <c r="FU744" s="1529"/>
      <c r="FV744" s="1529"/>
      <c r="FW744" s="1529"/>
      <c r="FX744" s="1530"/>
      <c r="FY744" s="1528" t="str">
        <f t="shared" si="37"/>
        <v/>
      </c>
      <c r="FZ744" s="1529"/>
      <c r="GA744" s="1529"/>
      <c r="GB744" s="1529"/>
      <c r="GC744" s="1530"/>
    </row>
    <row r="745" spans="1:185" ht="12.9" customHeight="1">
      <c r="B745" s="1360"/>
      <c r="C745" s="1361"/>
      <c r="D745" s="1361"/>
      <c r="E745" s="1361"/>
      <c r="F745" s="1362"/>
      <c r="G745" s="1366"/>
      <c r="H745" s="1367"/>
      <c r="I745" s="1367"/>
      <c r="J745" s="1368"/>
      <c r="K745" s="1398"/>
      <c r="L745" s="1399"/>
      <c r="M745" s="1399"/>
      <c r="N745" s="1400"/>
      <c r="O745" s="1392"/>
      <c r="P745" s="1393"/>
      <c r="Q745" s="1393"/>
      <c r="R745" s="1393"/>
      <c r="S745" s="1394"/>
      <c r="T745" s="1392"/>
      <c r="U745" s="1393"/>
      <c r="V745" s="1393"/>
      <c r="W745" s="1394"/>
      <c r="X745" s="1421">
        <f t="shared" si="10"/>
        <v>0</v>
      </c>
      <c r="Y745" s="1422"/>
      <c r="Z745" s="1422"/>
      <c r="AA745" s="1422"/>
      <c r="AB745" s="1423"/>
      <c r="AC745" s="1395"/>
      <c r="AD745" s="1396"/>
      <c r="AE745" s="1396"/>
      <c r="AF745" s="1396"/>
      <c r="AG745" s="1397"/>
      <c r="AH745" s="1363" t="str">
        <f t="shared" si="38"/>
        <v/>
      </c>
      <c r="AI745" s="1364"/>
      <c r="AJ745" s="1365"/>
      <c r="AK745" s="1360" t="s">
        <v>591</v>
      </c>
      <c r="AL745" s="1361"/>
      <c r="AM745" s="1361"/>
      <c r="AN745" s="1361"/>
      <c r="AO745" s="1362"/>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28">
        <f t="shared" si="39"/>
        <v>0</v>
      </c>
      <c r="CH745" s="1530"/>
      <c r="CI745" s="1531">
        <f t="shared" si="40"/>
        <v>0</v>
      </c>
      <c r="CJ745" s="1533"/>
      <c r="CK745" s="1528">
        <f t="shared" si="18"/>
        <v>0</v>
      </c>
      <c r="CL745" s="1530"/>
      <c r="CM745" s="1531">
        <f t="shared" si="19"/>
        <v>0</v>
      </c>
      <c r="CN745" s="1533"/>
      <c r="CO745" s="3"/>
      <c r="CP745" s="1525">
        <f t="shared" si="20"/>
        <v>0</v>
      </c>
      <c r="CQ745" s="1526"/>
      <c r="CR745" s="1526"/>
      <c r="CS745" s="1526"/>
      <c r="CT745" s="1527"/>
      <c r="CU745" s="1524">
        <f t="shared" si="21"/>
        <v>0</v>
      </c>
      <c r="CV745" s="1524"/>
      <c r="CW745" s="1524"/>
      <c r="CX745" s="1524"/>
      <c r="CY745" s="1524"/>
      <c r="CZ745" s="1524">
        <f t="shared" si="22"/>
        <v>0</v>
      </c>
      <c r="DA745" s="1524"/>
      <c r="DB745" s="1524"/>
      <c r="DC745" s="1524"/>
      <c r="DD745" s="1524"/>
      <c r="DE745" s="1524">
        <f t="shared" si="23"/>
        <v>0</v>
      </c>
      <c r="DF745" s="1524"/>
      <c r="DG745" s="1524"/>
      <c r="DH745" s="1524"/>
      <c r="DI745" s="1524"/>
      <c r="DJ745" s="1524">
        <f t="shared" si="24"/>
        <v>0</v>
      </c>
      <c r="DK745" s="1524"/>
      <c r="DL745" s="1524"/>
      <c r="DM745" s="1524"/>
      <c r="DN745" s="1524"/>
      <c r="DO745" s="1524">
        <f t="shared" si="25"/>
        <v>0</v>
      </c>
      <c r="DP745" s="1524"/>
      <c r="DQ745" s="1524"/>
      <c r="DR745" s="1524"/>
      <c r="DS745" s="1524"/>
      <c r="DT745" s="6"/>
      <c r="DU745" s="1510">
        <f t="shared" si="26"/>
        <v>0</v>
      </c>
      <c r="DV745" s="1510"/>
      <c r="DW745" s="1510"/>
      <c r="DX745" s="1510"/>
      <c r="DY745" s="1510"/>
      <c r="DZ745" s="1510">
        <f t="shared" si="27"/>
        <v>0</v>
      </c>
      <c r="EA745" s="1510"/>
      <c r="EB745" s="1510"/>
      <c r="EC745" s="1510"/>
      <c r="ED745" s="1510"/>
      <c r="EE745" s="1510">
        <f t="shared" si="28"/>
        <v>0</v>
      </c>
      <c r="EF745" s="1510"/>
      <c r="EG745" s="1510"/>
      <c r="EH745" s="1510"/>
      <c r="EI745" s="1510"/>
      <c r="EJ745" s="1510">
        <f t="shared" si="29"/>
        <v>0</v>
      </c>
      <c r="EK745" s="1510"/>
      <c r="EL745" s="1510"/>
      <c r="EM745" s="1510"/>
      <c r="EN745" s="1510"/>
      <c r="EO745" s="1510">
        <f t="shared" si="30"/>
        <v>0</v>
      </c>
      <c r="EP745" s="1510"/>
      <c r="EQ745" s="1510"/>
      <c r="ER745" s="1510"/>
      <c r="ES745" s="1510"/>
      <c r="ET745" s="1510">
        <f t="shared" si="31"/>
        <v>0</v>
      </c>
      <c r="EU745" s="1510"/>
      <c r="EV745" s="1510"/>
      <c r="EW745" s="1510"/>
      <c r="EX745" s="1510"/>
      <c r="EZ745" s="1528" t="str">
        <f t="shared" si="32"/>
        <v/>
      </c>
      <c r="FA745" s="1529"/>
      <c r="FB745" s="1529"/>
      <c r="FC745" s="1529"/>
      <c r="FD745" s="1530"/>
      <c r="FE745" s="1528" t="str">
        <f t="shared" si="33"/>
        <v/>
      </c>
      <c r="FF745" s="1529"/>
      <c r="FG745" s="1529"/>
      <c r="FH745" s="1529"/>
      <c r="FI745" s="1530"/>
      <c r="FJ745" s="1528" t="str">
        <f t="shared" si="34"/>
        <v/>
      </c>
      <c r="FK745" s="1529"/>
      <c r="FL745" s="1529"/>
      <c r="FM745" s="1529"/>
      <c r="FN745" s="1530"/>
      <c r="FO745" s="1528" t="str">
        <f t="shared" si="35"/>
        <v/>
      </c>
      <c r="FP745" s="1529"/>
      <c r="FQ745" s="1529"/>
      <c r="FR745" s="1529"/>
      <c r="FS745" s="1530"/>
      <c r="FT745" s="1528" t="str">
        <f t="shared" si="36"/>
        <v/>
      </c>
      <c r="FU745" s="1529"/>
      <c r="FV745" s="1529"/>
      <c r="FW745" s="1529"/>
      <c r="FX745" s="1530"/>
      <c r="FY745" s="1528" t="str">
        <f t="shared" si="37"/>
        <v/>
      </c>
      <c r="FZ745" s="1529"/>
      <c r="GA745" s="1529"/>
      <c r="GB745" s="1529"/>
      <c r="GC745" s="1530"/>
    </row>
    <row r="746" spans="1:185" ht="12.9" customHeight="1">
      <c r="B746" s="1360"/>
      <c r="C746" s="1361"/>
      <c r="D746" s="1361"/>
      <c r="E746" s="1361"/>
      <c r="F746" s="1362"/>
      <c r="G746" s="1366"/>
      <c r="H746" s="1367"/>
      <c r="I746" s="1367"/>
      <c r="J746" s="1368"/>
      <c r="K746" s="1398"/>
      <c r="L746" s="1399"/>
      <c r="M746" s="1399"/>
      <c r="N746" s="1400"/>
      <c r="O746" s="1392"/>
      <c r="P746" s="1393"/>
      <c r="Q746" s="1393"/>
      <c r="R746" s="1393"/>
      <c r="S746" s="1394"/>
      <c r="T746" s="1392"/>
      <c r="U746" s="1393"/>
      <c r="V746" s="1393"/>
      <c r="W746" s="1394"/>
      <c r="X746" s="1421">
        <f t="shared" si="10"/>
        <v>0</v>
      </c>
      <c r="Y746" s="1422"/>
      <c r="Z746" s="1422"/>
      <c r="AA746" s="1422"/>
      <c r="AB746" s="1423"/>
      <c r="AC746" s="1395"/>
      <c r="AD746" s="1396"/>
      <c r="AE746" s="1396"/>
      <c r="AF746" s="1396"/>
      <c r="AG746" s="1397"/>
      <c r="AH746" s="1363" t="str">
        <f t="shared" si="38"/>
        <v/>
      </c>
      <c r="AI746" s="1364"/>
      <c r="AJ746" s="1365"/>
      <c r="AK746" s="1360" t="s">
        <v>591</v>
      </c>
      <c r="AL746" s="1361"/>
      <c r="AM746" s="1361"/>
      <c r="AN746" s="1361"/>
      <c r="AO746" s="1362"/>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28">
        <f t="shared" si="39"/>
        <v>0</v>
      </c>
      <c r="CH746" s="1530"/>
      <c r="CI746" s="1531">
        <f t="shared" si="40"/>
        <v>0</v>
      </c>
      <c r="CJ746" s="1533"/>
      <c r="CK746" s="1528">
        <f t="shared" si="18"/>
        <v>0</v>
      </c>
      <c r="CL746" s="1530"/>
      <c r="CM746" s="1531">
        <f t="shared" si="19"/>
        <v>0</v>
      </c>
      <c r="CN746" s="1533"/>
      <c r="CO746" s="3"/>
      <c r="CP746" s="1525">
        <f t="shared" si="20"/>
        <v>0</v>
      </c>
      <c r="CQ746" s="1526"/>
      <c r="CR746" s="1526"/>
      <c r="CS746" s="1526"/>
      <c r="CT746" s="1527"/>
      <c r="CU746" s="1524">
        <f t="shared" si="21"/>
        <v>0</v>
      </c>
      <c r="CV746" s="1524"/>
      <c r="CW746" s="1524"/>
      <c r="CX746" s="1524"/>
      <c r="CY746" s="1524"/>
      <c r="CZ746" s="1524">
        <f t="shared" si="22"/>
        <v>0</v>
      </c>
      <c r="DA746" s="1524"/>
      <c r="DB746" s="1524"/>
      <c r="DC746" s="1524"/>
      <c r="DD746" s="1524"/>
      <c r="DE746" s="1524">
        <f t="shared" si="23"/>
        <v>0</v>
      </c>
      <c r="DF746" s="1524"/>
      <c r="DG746" s="1524"/>
      <c r="DH746" s="1524"/>
      <c r="DI746" s="1524"/>
      <c r="DJ746" s="1524">
        <f t="shared" si="24"/>
        <v>0</v>
      </c>
      <c r="DK746" s="1524"/>
      <c r="DL746" s="1524"/>
      <c r="DM746" s="1524"/>
      <c r="DN746" s="1524"/>
      <c r="DO746" s="1524">
        <f t="shared" si="25"/>
        <v>0</v>
      </c>
      <c r="DP746" s="1524"/>
      <c r="DQ746" s="1524"/>
      <c r="DR746" s="1524"/>
      <c r="DS746" s="1524"/>
      <c r="DT746" s="6"/>
      <c r="DU746" s="1510">
        <f t="shared" si="26"/>
        <v>0</v>
      </c>
      <c r="DV746" s="1510"/>
      <c r="DW746" s="1510"/>
      <c r="DX746" s="1510"/>
      <c r="DY746" s="1510"/>
      <c r="DZ746" s="1510">
        <f t="shared" si="27"/>
        <v>0</v>
      </c>
      <c r="EA746" s="1510"/>
      <c r="EB746" s="1510"/>
      <c r="EC746" s="1510"/>
      <c r="ED746" s="1510"/>
      <c r="EE746" s="1510">
        <f t="shared" si="28"/>
        <v>0</v>
      </c>
      <c r="EF746" s="1510"/>
      <c r="EG746" s="1510"/>
      <c r="EH746" s="1510"/>
      <c r="EI746" s="1510"/>
      <c r="EJ746" s="1510">
        <f t="shared" si="29"/>
        <v>0</v>
      </c>
      <c r="EK746" s="1510"/>
      <c r="EL746" s="1510"/>
      <c r="EM746" s="1510"/>
      <c r="EN746" s="1510"/>
      <c r="EO746" s="1510">
        <f t="shared" si="30"/>
        <v>0</v>
      </c>
      <c r="EP746" s="1510"/>
      <c r="EQ746" s="1510"/>
      <c r="ER746" s="1510"/>
      <c r="ES746" s="1510"/>
      <c r="ET746" s="1510">
        <f t="shared" si="31"/>
        <v>0</v>
      </c>
      <c r="EU746" s="1510"/>
      <c r="EV746" s="1510"/>
      <c r="EW746" s="1510"/>
      <c r="EX746" s="1510"/>
      <c r="EZ746" s="1528" t="str">
        <f t="shared" si="32"/>
        <v/>
      </c>
      <c r="FA746" s="1529"/>
      <c r="FB746" s="1529"/>
      <c r="FC746" s="1529"/>
      <c r="FD746" s="1530"/>
      <c r="FE746" s="1528" t="str">
        <f t="shared" si="33"/>
        <v/>
      </c>
      <c r="FF746" s="1529"/>
      <c r="FG746" s="1529"/>
      <c r="FH746" s="1529"/>
      <c r="FI746" s="1530"/>
      <c r="FJ746" s="1528" t="str">
        <f t="shared" si="34"/>
        <v/>
      </c>
      <c r="FK746" s="1529"/>
      <c r="FL746" s="1529"/>
      <c r="FM746" s="1529"/>
      <c r="FN746" s="1530"/>
      <c r="FO746" s="1528" t="str">
        <f t="shared" si="35"/>
        <v/>
      </c>
      <c r="FP746" s="1529"/>
      <c r="FQ746" s="1529"/>
      <c r="FR746" s="1529"/>
      <c r="FS746" s="1530"/>
      <c r="FT746" s="1528" t="str">
        <f t="shared" si="36"/>
        <v/>
      </c>
      <c r="FU746" s="1529"/>
      <c r="FV746" s="1529"/>
      <c r="FW746" s="1529"/>
      <c r="FX746" s="1530"/>
      <c r="FY746" s="1528" t="str">
        <f t="shared" si="37"/>
        <v/>
      </c>
      <c r="FZ746" s="1529"/>
      <c r="GA746" s="1529"/>
      <c r="GB746" s="1529"/>
      <c r="GC746" s="1530"/>
    </row>
    <row r="747" spans="1:185" ht="12.9" customHeight="1">
      <c r="B747" s="1360"/>
      <c r="C747" s="1361"/>
      <c r="D747" s="1361"/>
      <c r="E747" s="1361"/>
      <c r="F747" s="1362"/>
      <c r="G747" s="1366"/>
      <c r="H747" s="1367"/>
      <c r="I747" s="1367"/>
      <c r="J747" s="1368"/>
      <c r="K747" s="1398"/>
      <c r="L747" s="1399"/>
      <c r="M747" s="1399"/>
      <c r="N747" s="1400"/>
      <c r="O747" s="1392"/>
      <c r="P747" s="1393"/>
      <c r="Q747" s="1393"/>
      <c r="R747" s="1393"/>
      <c r="S747" s="1394"/>
      <c r="T747" s="1392"/>
      <c r="U747" s="1393"/>
      <c r="V747" s="1393"/>
      <c r="W747" s="1394"/>
      <c r="X747" s="1421">
        <f t="shared" si="10"/>
        <v>0</v>
      </c>
      <c r="Y747" s="1422"/>
      <c r="Z747" s="1422"/>
      <c r="AA747" s="1422"/>
      <c r="AB747" s="1423"/>
      <c r="AC747" s="1395"/>
      <c r="AD747" s="1396"/>
      <c r="AE747" s="1396"/>
      <c r="AF747" s="1396"/>
      <c r="AG747" s="1397"/>
      <c r="AH747" s="1363" t="str">
        <f t="shared" si="38"/>
        <v/>
      </c>
      <c r="AI747" s="1364"/>
      <c r="AJ747" s="1365"/>
      <c r="AK747" s="1360" t="s">
        <v>591</v>
      </c>
      <c r="AL747" s="1361"/>
      <c r="AM747" s="1361"/>
      <c r="AN747" s="1361"/>
      <c r="AO747" s="1362"/>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28">
        <f t="shared" si="39"/>
        <v>0</v>
      </c>
      <c r="CH747" s="1530"/>
      <c r="CI747" s="1531">
        <f t="shared" si="40"/>
        <v>0</v>
      </c>
      <c r="CJ747" s="1533"/>
      <c r="CK747" s="1528">
        <f t="shared" si="18"/>
        <v>0</v>
      </c>
      <c r="CL747" s="1530"/>
      <c r="CM747" s="1531">
        <f t="shared" si="19"/>
        <v>0</v>
      </c>
      <c r="CN747" s="1533"/>
      <c r="CO747" s="3"/>
      <c r="CP747" s="1525">
        <f t="shared" si="20"/>
        <v>0</v>
      </c>
      <c r="CQ747" s="1526"/>
      <c r="CR747" s="1526"/>
      <c r="CS747" s="1526"/>
      <c r="CT747" s="1527"/>
      <c r="CU747" s="1524">
        <f t="shared" si="21"/>
        <v>0</v>
      </c>
      <c r="CV747" s="1524"/>
      <c r="CW747" s="1524"/>
      <c r="CX747" s="1524"/>
      <c r="CY747" s="1524"/>
      <c r="CZ747" s="1524">
        <f t="shared" si="22"/>
        <v>0</v>
      </c>
      <c r="DA747" s="1524"/>
      <c r="DB747" s="1524"/>
      <c r="DC747" s="1524"/>
      <c r="DD747" s="1524"/>
      <c r="DE747" s="1524">
        <f t="shared" si="23"/>
        <v>0</v>
      </c>
      <c r="DF747" s="1524"/>
      <c r="DG747" s="1524"/>
      <c r="DH747" s="1524"/>
      <c r="DI747" s="1524"/>
      <c r="DJ747" s="1524">
        <f t="shared" si="24"/>
        <v>0</v>
      </c>
      <c r="DK747" s="1524"/>
      <c r="DL747" s="1524"/>
      <c r="DM747" s="1524"/>
      <c r="DN747" s="1524"/>
      <c r="DO747" s="1524">
        <f t="shared" si="25"/>
        <v>0</v>
      </c>
      <c r="DP747" s="1524"/>
      <c r="DQ747" s="1524"/>
      <c r="DR747" s="1524"/>
      <c r="DS747" s="1524"/>
      <c r="DT747" s="6"/>
      <c r="DU747" s="1510">
        <f t="shared" si="26"/>
        <v>0</v>
      </c>
      <c r="DV747" s="1510"/>
      <c r="DW747" s="1510"/>
      <c r="DX747" s="1510"/>
      <c r="DY747" s="1510"/>
      <c r="DZ747" s="1510">
        <f t="shared" si="27"/>
        <v>0</v>
      </c>
      <c r="EA747" s="1510"/>
      <c r="EB747" s="1510"/>
      <c r="EC747" s="1510"/>
      <c r="ED747" s="1510"/>
      <c r="EE747" s="1510">
        <f t="shared" si="28"/>
        <v>0</v>
      </c>
      <c r="EF747" s="1510"/>
      <c r="EG747" s="1510"/>
      <c r="EH747" s="1510"/>
      <c r="EI747" s="1510"/>
      <c r="EJ747" s="1510">
        <f t="shared" si="29"/>
        <v>0</v>
      </c>
      <c r="EK747" s="1510"/>
      <c r="EL747" s="1510"/>
      <c r="EM747" s="1510"/>
      <c r="EN747" s="1510"/>
      <c r="EO747" s="1510">
        <f t="shared" si="30"/>
        <v>0</v>
      </c>
      <c r="EP747" s="1510"/>
      <c r="EQ747" s="1510"/>
      <c r="ER747" s="1510"/>
      <c r="ES747" s="1510"/>
      <c r="ET747" s="1510">
        <f t="shared" si="31"/>
        <v>0</v>
      </c>
      <c r="EU747" s="1510"/>
      <c r="EV747" s="1510"/>
      <c r="EW747" s="1510"/>
      <c r="EX747" s="1510"/>
      <c r="EZ747" s="1528" t="str">
        <f t="shared" si="32"/>
        <v/>
      </c>
      <c r="FA747" s="1529"/>
      <c r="FB747" s="1529"/>
      <c r="FC747" s="1529"/>
      <c r="FD747" s="1530"/>
      <c r="FE747" s="1528" t="str">
        <f t="shared" si="33"/>
        <v/>
      </c>
      <c r="FF747" s="1529"/>
      <c r="FG747" s="1529"/>
      <c r="FH747" s="1529"/>
      <c r="FI747" s="1530"/>
      <c r="FJ747" s="1528" t="str">
        <f t="shared" si="34"/>
        <v/>
      </c>
      <c r="FK747" s="1529"/>
      <c r="FL747" s="1529"/>
      <c r="FM747" s="1529"/>
      <c r="FN747" s="1530"/>
      <c r="FO747" s="1528" t="str">
        <f t="shared" si="35"/>
        <v/>
      </c>
      <c r="FP747" s="1529"/>
      <c r="FQ747" s="1529"/>
      <c r="FR747" s="1529"/>
      <c r="FS747" s="1530"/>
      <c r="FT747" s="1528" t="str">
        <f t="shared" si="36"/>
        <v/>
      </c>
      <c r="FU747" s="1529"/>
      <c r="FV747" s="1529"/>
      <c r="FW747" s="1529"/>
      <c r="FX747" s="1530"/>
      <c r="FY747" s="1528" t="str">
        <f t="shared" si="37"/>
        <v/>
      </c>
      <c r="FZ747" s="1529"/>
      <c r="GA747" s="1529"/>
      <c r="GB747" s="1529"/>
      <c r="GC747" s="1530"/>
    </row>
    <row r="748" spans="1:185" ht="12.9" customHeight="1">
      <c r="B748" s="1360"/>
      <c r="C748" s="1361"/>
      <c r="D748" s="1361"/>
      <c r="E748" s="1361"/>
      <c r="F748" s="1362"/>
      <c r="G748" s="1366"/>
      <c r="H748" s="1367"/>
      <c r="I748" s="1367"/>
      <c r="J748" s="1368"/>
      <c r="K748" s="1398"/>
      <c r="L748" s="1399"/>
      <c r="M748" s="1399"/>
      <c r="N748" s="1400"/>
      <c r="O748" s="1392"/>
      <c r="P748" s="1393"/>
      <c r="Q748" s="1393"/>
      <c r="R748" s="1393"/>
      <c r="S748" s="1394"/>
      <c r="T748" s="1392"/>
      <c r="U748" s="1393"/>
      <c r="V748" s="1393"/>
      <c r="W748" s="1394"/>
      <c r="X748" s="1421">
        <f t="shared" si="10"/>
        <v>0</v>
      </c>
      <c r="Y748" s="1422"/>
      <c r="Z748" s="1422"/>
      <c r="AA748" s="1422"/>
      <c r="AB748" s="1423"/>
      <c r="AC748" s="1395"/>
      <c r="AD748" s="1396"/>
      <c r="AE748" s="1396"/>
      <c r="AF748" s="1396"/>
      <c r="AG748" s="1397"/>
      <c r="AH748" s="1363" t="str">
        <f t="shared" si="38"/>
        <v/>
      </c>
      <c r="AI748" s="1364"/>
      <c r="AJ748" s="1365"/>
      <c r="AK748" s="1360" t="s">
        <v>591</v>
      </c>
      <c r="AL748" s="1361"/>
      <c r="AM748" s="1361"/>
      <c r="AN748" s="1361"/>
      <c r="AO748" s="1362"/>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28">
        <f t="shared" si="39"/>
        <v>0</v>
      </c>
      <c r="CH748" s="1530"/>
      <c r="CI748" s="1531">
        <f t="shared" si="40"/>
        <v>0</v>
      </c>
      <c r="CJ748" s="1533"/>
      <c r="CK748" s="1528">
        <f t="shared" si="18"/>
        <v>0</v>
      </c>
      <c r="CL748" s="1530"/>
      <c r="CM748" s="1531">
        <f t="shared" si="19"/>
        <v>0</v>
      </c>
      <c r="CN748" s="1533"/>
      <c r="CO748" s="3"/>
      <c r="CP748" s="1525">
        <f t="shared" si="20"/>
        <v>0</v>
      </c>
      <c r="CQ748" s="1526"/>
      <c r="CR748" s="1526"/>
      <c r="CS748" s="1526"/>
      <c r="CT748" s="1527"/>
      <c r="CU748" s="1524">
        <f t="shared" si="21"/>
        <v>0</v>
      </c>
      <c r="CV748" s="1524"/>
      <c r="CW748" s="1524"/>
      <c r="CX748" s="1524"/>
      <c r="CY748" s="1524"/>
      <c r="CZ748" s="1524">
        <f t="shared" si="22"/>
        <v>0</v>
      </c>
      <c r="DA748" s="1524"/>
      <c r="DB748" s="1524"/>
      <c r="DC748" s="1524"/>
      <c r="DD748" s="1524"/>
      <c r="DE748" s="1524">
        <f t="shared" si="23"/>
        <v>0</v>
      </c>
      <c r="DF748" s="1524"/>
      <c r="DG748" s="1524"/>
      <c r="DH748" s="1524"/>
      <c r="DI748" s="1524"/>
      <c r="DJ748" s="1524">
        <f t="shared" si="24"/>
        <v>0</v>
      </c>
      <c r="DK748" s="1524"/>
      <c r="DL748" s="1524"/>
      <c r="DM748" s="1524"/>
      <c r="DN748" s="1524"/>
      <c r="DO748" s="1524">
        <f t="shared" si="25"/>
        <v>0</v>
      </c>
      <c r="DP748" s="1524"/>
      <c r="DQ748" s="1524"/>
      <c r="DR748" s="1524"/>
      <c r="DS748" s="1524"/>
      <c r="DT748" s="6"/>
      <c r="DU748" s="1510">
        <f t="shared" si="26"/>
        <v>0</v>
      </c>
      <c r="DV748" s="1510"/>
      <c r="DW748" s="1510"/>
      <c r="DX748" s="1510"/>
      <c r="DY748" s="1510"/>
      <c r="DZ748" s="1510">
        <f t="shared" si="27"/>
        <v>0</v>
      </c>
      <c r="EA748" s="1510"/>
      <c r="EB748" s="1510"/>
      <c r="EC748" s="1510"/>
      <c r="ED748" s="1510"/>
      <c r="EE748" s="1510">
        <f t="shared" si="28"/>
        <v>0</v>
      </c>
      <c r="EF748" s="1510"/>
      <c r="EG748" s="1510"/>
      <c r="EH748" s="1510"/>
      <c r="EI748" s="1510"/>
      <c r="EJ748" s="1510">
        <f t="shared" si="29"/>
        <v>0</v>
      </c>
      <c r="EK748" s="1510"/>
      <c r="EL748" s="1510"/>
      <c r="EM748" s="1510"/>
      <c r="EN748" s="1510"/>
      <c r="EO748" s="1510">
        <f t="shared" si="30"/>
        <v>0</v>
      </c>
      <c r="EP748" s="1510"/>
      <c r="EQ748" s="1510"/>
      <c r="ER748" s="1510"/>
      <c r="ES748" s="1510"/>
      <c r="ET748" s="1510">
        <f t="shared" si="31"/>
        <v>0</v>
      </c>
      <c r="EU748" s="1510"/>
      <c r="EV748" s="1510"/>
      <c r="EW748" s="1510"/>
      <c r="EX748" s="1510"/>
      <c r="EZ748" s="1528" t="str">
        <f t="shared" si="32"/>
        <v/>
      </c>
      <c r="FA748" s="1529"/>
      <c r="FB748" s="1529"/>
      <c r="FC748" s="1529"/>
      <c r="FD748" s="1530"/>
      <c r="FE748" s="1528" t="str">
        <f t="shared" si="33"/>
        <v/>
      </c>
      <c r="FF748" s="1529"/>
      <c r="FG748" s="1529"/>
      <c r="FH748" s="1529"/>
      <c r="FI748" s="1530"/>
      <c r="FJ748" s="1528" t="str">
        <f t="shared" si="34"/>
        <v/>
      </c>
      <c r="FK748" s="1529"/>
      <c r="FL748" s="1529"/>
      <c r="FM748" s="1529"/>
      <c r="FN748" s="1530"/>
      <c r="FO748" s="1528" t="str">
        <f t="shared" si="35"/>
        <v/>
      </c>
      <c r="FP748" s="1529"/>
      <c r="FQ748" s="1529"/>
      <c r="FR748" s="1529"/>
      <c r="FS748" s="1530"/>
      <c r="FT748" s="1528" t="str">
        <f t="shared" si="36"/>
        <v/>
      </c>
      <c r="FU748" s="1529"/>
      <c r="FV748" s="1529"/>
      <c r="FW748" s="1529"/>
      <c r="FX748" s="1530"/>
      <c r="FY748" s="1528" t="str">
        <f t="shared" si="37"/>
        <v/>
      </c>
      <c r="FZ748" s="1529"/>
      <c r="GA748" s="1529"/>
      <c r="GB748" s="1529"/>
      <c r="GC748" s="1530"/>
    </row>
    <row r="749" spans="1:185" ht="12.9" customHeight="1">
      <c r="B749" s="1360"/>
      <c r="C749" s="1361"/>
      <c r="D749" s="1361"/>
      <c r="E749" s="1361"/>
      <c r="F749" s="1362"/>
      <c r="G749" s="1366"/>
      <c r="H749" s="1367"/>
      <c r="I749" s="1367"/>
      <c r="J749" s="1368"/>
      <c r="K749" s="1398"/>
      <c r="L749" s="1399"/>
      <c r="M749" s="1399"/>
      <c r="N749" s="1400"/>
      <c r="O749" s="1392"/>
      <c r="P749" s="1393"/>
      <c r="Q749" s="1393"/>
      <c r="R749" s="1393"/>
      <c r="S749" s="1394"/>
      <c r="T749" s="1392"/>
      <c r="U749" s="1393"/>
      <c r="V749" s="1393"/>
      <c r="W749" s="1394"/>
      <c r="X749" s="1421">
        <f t="shared" si="10"/>
        <v>0</v>
      </c>
      <c r="Y749" s="1422"/>
      <c r="Z749" s="1422"/>
      <c r="AA749" s="1422"/>
      <c r="AB749" s="1423"/>
      <c r="AC749" s="1395"/>
      <c r="AD749" s="1396"/>
      <c r="AE749" s="1396"/>
      <c r="AF749" s="1396"/>
      <c r="AG749" s="1397"/>
      <c r="AH749" s="1363" t="str">
        <f t="shared" si="38"/>
        <v/>
      </c>
      <c r="AI749" s="1364"/>
      <c r="AJ749" s="1365"/>
      <c r="AK749" s="1360" t="s">
        <v>591</v>
      </c>
      <c r="AL749" s="1361"/>
      <c r="AM749" s="1361"/>
      <c r="AN749" s="1361"/>
      <c r="AO749" s="1362"/>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28">
        <f t="shared" si="39"/>
        <v>0</v>
      </c>
      <c r="CH749" s="1530"/>
      <c r="CI749" s="1531">
        <f t="shared" si="40"/>
        <v>0</v>
      </c>
      <c r="CJ749" s="1533"/>
      <c r="CK749" s="1528">
        <f t="shared" si="18"/>
        <v>0</v>
      </c>
      <c r="CL749" s="1530"/>
      <c r="CM749" s="1531">
        <f t="shared" si="19"/>
        <v>0</v>
      </c>
      <c r="CN749" s="1533"/>
      <c r="CO749" s="3"/>
      <c r="CP749" s="1525">
        <f t="shared" si="20"/>
        <v>0</v>
      </c>
      <c r="CQ749" s="1526"/>
      <c r="CR749" s="1526"/>
      <c r="CS749" s="1526"/>
      <c r="CT749" s="1527"/>
      <c r="CU749" s="1524">
        <f t="shared" si="21"/>
        <v>0</v>
      </c>
      <c r="CV749" s="1524"/>
      <c r="CW749" s="1524"/>
      <c r="CX749" s="1524"/>
      <c r="CY749" s="1524"/>
      <c r="CZ749" s="1524">
        <f t="shared" si="22"/>
        <v>0</v>
      </c>
      <c r="DA749" s="1524"/>
      <c r="DB749" s="1524"/>
      <c r="DC749" s="1524"/>
      <c r="DD749" s="1524"/>
      <c r="DE749" s="1524">
        <f t="shared" si="23"/>
        <v>0</v>
      </c>
      <c r="DF749" s="1524"/>
      <c r="DG749" s="1524"/>
      <c r="DH749" s="1524"/>
      <c r="DI749" s="1524"/>
      <c r="DJ749" s="1524">
        <f t="shared" si="24"/>
        <v>0</v>
      </c>
      <c r="DK749" s="1524"/>
      <c r="DL749" s="1524"/>
      <c r="DM749" s="1524"/>
      <c r="DN749" s="1524"/>
      <c r="DO749" s="1524">
        <f t="shared" si="25"/>
        <v>0</v>
      </c>
      <c r="DP749" s="1524"/>
      <c r="DQ749" s="1524"/>
      <c r="DR749" s="1524"/>
      <c r="DS749" s="1524"/>
      <c r="DT749" s="6"/>
      <c r="DU749" s="1510">
        <f t="shared" si="26"/>
        <v>0</v>
      </c>
      <c r="DV749" s="1510"/>
      <c r="DW749" s="1510"/>
      <c r="DX749" s="1510"/>
      <c r="DY749" s="1510"/>
      <c r="DZ749" s="1510">
        <f t="shared" si="27"/>
        <v>0</v>
      </c>
      <c r="EA749" s="1510"/>
      <c r="EB749" s="1510"/>
      <c r="EC749" s="1510"/>
      <c r="ED749" s="1510"/>
      <c r="EE749" s="1510">
        <f t="shared" si="28"/>
        <v>0</v>
      </c>
      <c r="EF749" s="1510"/>
      <c r="EG749" s="1510"/>
      <c r="EH749" s="1510"/>
      <c r="EI749" s="1510"/>
      <c r="EJ749" s="1510">
        <f t="shared" si="29"/>
        <v>0</v>
      </c>
      <c r="EK749" s="1510"/>
      <c r="EL749" s="1510"/>
      <c r="EM749" s="1510"/>
      <c r="EN749" s="1510"/>
      <c r="EO749" s="1510">
        <f t="shared" si="30"/>
        <v>0</v>
      </c>
      <c r="EP749" s="1510"/>
      <c r="EQ749" s="1510"/>
      <c r="ER749" s="1510"/>
      <c r="ES749" s="1510"/>
      <c r="ET749" s="1510">
        <f t="shared" si="31"/>
        <v>0</v>
      </c>
      <c r="EU749" s="1510"/>
      <c r="EV749" s="1510"/>
      <c r="EW749" s="1510"/>
      <c r="EX749" s="1510"/>
      <c r="EZ749" s="1528" t="str">
        <f t="shared" si="32"/>
        <v/>
      </c>
      <c r="FA749" s="1529"/>
      <c r="FB749" s="1529"/>
      <c r="FC749" s="1529"/>
      <c r="FD749" s="1530"/>
      <c r="FE749" s="1528" t="str">
        <f t="shared" si="33"/>
        <v/>
      </c>
      <c r="FF749" s="1529"/>
      <c r="FG749" s="1529"/>
      <c r="FH749" s="1529"/>
      <c r="FI749" s="1530"/>
      <c r="FJ749" s="1528" t="str">
        <f t="shared" si="34"/>
        <v/>
      </c>
      <c r="FK749" s="1529"/>
      <c r="FL749" s="1529"/>
      <c r="FM749" s="1529"/>
      <c r="FN749" s="1530"/>
      <c r="FO749" s="1528" t="str">
        <f t="shared" si="35"/>
        <v/>
      </c>
      <c r="FP749" s="1529"/>
      <c r="FQ749" s="1529"/>
      <c r="FR749" s="1529"/>
      <c r="FS749" s="1530"/>
      <c r="FT749" s="1528" t="str">
        <f t="shared" si="36"/>
        <v/>
      </c>
      <c r="FU749" s="1529"/>
      <c r="FV749" s="1529"/>
      <c r="FW749" s="1529"/>
      <c r="FX749" s="1530"/>
      <c r="FY749" s="1528" t="str">
        <f t="shared" si="37"/>
        <v/>
      </c>
      <c r="FZ749" s="1529"/>
      <c r="GA749" s="1529"/>
      <c r="GB749" s="1529"/>
      <c r="GC749" s="1530"/>
    </row>
    <row r="750" spans="1:185" ht="12.9" customHeight="1">
      <c r="B750" s="1360"/>
      <c r="C750" s="1361"/>
      <c r="D750" s="1361"/>
      <c r="E750" s="1361"/>
      <c r="F750" s="1362"/>
      <c r="G750" s="1366"/>
      <c r="H750" s="1367"/>
      <c r="I750" s="1367"/>
      <c r="J750" s="1368"/>
      <c r="K750" s="1398"/>
      <c r="L750" s="1399"/>
      <c r="M750" s="1399"/>
      <c r="N750" s="1400"/>
      <c r="O750" s="1392"/>
      <c r="P750" s="1393"/>
      <c r="Q750" s="1393"/>
      <c r="R750" s="1393"/>
      <c r="S750" s="1394"/>
      <c r="T750" s="1392"/>
      <c r="U750" s="1393"/>
      <c r="V750" s="1393"/>
      <c r="W750" s="1394"/>
      <c r="X750" s="1421">
        <f t="shared" ref="X750:X759" si="41">O750+T750</f>
        <v>0</v>
      </c>
      <c r="Y750" s="1422"/>
      <c r="Z750" s="1422"/>
      <c r="AA750" s="1422"/>
      <c r="AB750" s="1423"/>
      <c r="AC750" s="1395"/>
      <c r="AD750" s="1396"/>
      <c r="AE750" s="1396"/>
      <c r="AF750" s="1396"/>
      <c r="AG750" s="1397"/>
      <c r="AH750" s="1363" t="str">
        <f t="shared" si="38"/>
        <v/>
      </c>
      <c r="AI750" s="1364"/>
      <c r="AJ750" s="1365"/>
      <c r="AK750" s="1360" t="s">
        <v>591</v>
      </c>
      <c r="AL750" s="1361"/>
      <c r="AM750" s="1361"/>
      <c r="AN750" s="1361"/>
      <c r="AO750" s="1362"/>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28">
        <f t="shared" si="39"/>
        <v>0</v>
      </c>
      <c r="CH750" s="1530"/>
      <c r="CI750" s="1531">
        <f t="shared" si="40"/>
        <v>0</v>
      </c>
      <c r="CJ750" s="1533"/>
      <c r="CK750" s="1528">
        <f t="shared" si="18"/>
        <v>0</v>
      </c>
      <c r="CL750" s="1530"/>
      <c r="CM750" s="1531">
        <f t="shared" si="19"/>
        <v>0</v>
      </c>
      <c r="CN750" s="1533"/>
      <c r="CO750" s="3"/>
      <c r="CP750" s="1525">
        <f t="shared" si="20"/>
        <v>0</v>
      </c>
      <c r="CQ750" s="1526"/>
      <c r="CR750" s="1526"/>
      <c r="CS750" s="1526"/>
      <c r="CT750" s="1527"/>
      <c r="CU750" s="1524">
        <f t="shared" si="21"/>
        <v>0</v>
      </c>
      <c r="CV750" s="1524"/>
      <c r="CW750" s="1524"/>
      <c r="CX750" s="1524"/>
      <c r="CY750" s="1524"/>
      <c r="CZ750" s="1524">
        <f t="shared" si="22"/>
        <v>0</v>
      </c>
      <c r="DA750" s="1524"/>
      <c r="DB750" s="1524"/>
      <c r="DC750" s="1524"/>
      <c r="DD750" s="1524"/>
      <c r="DE750" s="1524">
        <f t="shared" si="23"/>
        <v>0</v>
      </c>
      <c r="DF750" s="1524"/>
      <c r="DG750" s="1524"/>
      <c r="DH750" s="1524"/>
      <c r="DI750" s="1524"/>
      <c r="DJ750" s="1524">
        <f t="shared" si="24"/>
        <v>0</v>
      </c>
      <c r="DK750" s="1524"/>
      <c r="DL750" s="1524"/>
      <c r="DM750" s="1524"/>
      <c r="DN750" s="1524"/>
      <c r="DO750" s="1524">
        <f t="shared" si="25"/>
        <v>0</v>
      </c>
      <c r="DP750" s="1524"/>
      <c r="DQ750" s="1524"/>
      <c r="DR750" s="1524"/>
      <c r="DS750" s="1524"/>
      <c r="DT750" s="6"/>
      <c r="DU750" s="1510">
        <f t="shared" si="26"/>
        <v>0</v>
      </c>
      <c r="DV750" s="1510"/>
      <c r="DW750" s="1510"/>
      <c r="DX750" s="1510"/>
      <c r="DY750" s="1510"/>
      <c r="DZ750" s="1510">
        <f t="shared" si="27"/>
        <v>0</v>
      </c>
      <c r="EA750" s="1510"/>
      <c r="EB750" s="1510"/>
      <c r="EC750" s="1510"/>
      <c r="ED750" s="1510"/>
      <c r="EE750" s="1510">
        <f t="shared" si="28"/>
        <v>0</v>
      </c>
      <c r="EF750" s="1510"/>
      <c r="EG750" s="1510"/>
      <c r="EH750" s="1510"/>
      <c r="EI750" s="1510"/>
      <c r="EJ750" s="1510">
        <f t="shared" si="29"/>
        <v>0</v>
      </c>
      <c r="EK750" s="1510"/>
      <c r="EL750" s="1510"/>
      <c r="EM750" s="1510"/>
      <c r="EN750" s="1510"/>
      <c r="EO750" s="1510">
        <f t="shared" si="30"/>
        <v>0</v>
      </c>
      <c r="EP750" s="1510"/>
      <c r="EQ750" s="1510"/>
      <c r="ER750" s="1510"/>
      <c r="ES750" s="1510"/>
      <c r="ET750" s="1510">
        <f t="shared" si="31"/>
        <v>0</v>
      </c>
      <c r="EU750" s="1510"/>
      <c r="EV750" s="1510"/>
      <c r="EW750" s="1510"/>
      <c r="EX750" s="1510"/>
      <c r="EZ750" s="1528" t="str">
        <f t="shared" si="32"/>
        <v/>
      </c>
      <c r="FA750" s="1529"/>
      <c r="FB750" s="1529"/>
      <c r="FC750" s="1529"/>
      <c r="FD750" s="1530"/>
      <c r="FE750" s="1528" t="str">
        <f t="shared" si="33"/>
        <v/>
      </c>
      <c r="FF750" s="1529"/>
      <c r="FG750" s="1529"/>
      <c r="FH750" s="1529"/>
      <c r="FI750" s="1530"/>
      <c r="FJ750" s="1528" t="str">
        <f t="shared" si="34"/>
        <v/>
      </c>
      <c r="FK750" s="1529"/>
      <c r="FL750" s="1529"/>
      <c r="FM750" s="1529"/>
      <c r="FN750" s="1530"/>
      <c r="FO750" s="1528" t="str">
        <f t="shared" si="35"/>
        <v/>
      </c>
      <c r="FP750" s="1529"/>
      <c r="FQ750" s="1529"/>
      <c r="FR750" s="1529"/>
      <c r="FS750" s="1530"/>
      <c r="FT750" s="1528" t="str">
        <f t="shared" si="36"/>
        <v/>
      </c>
      <c r="FU750" s="1529"/>
      <c r="FV750" s="1529"/>
      <c r="FW750" s="1529"/>
      <c r="FX750" s="1530"/>
      <c r="FY750" s="1528" t="str">
        <f t="shared" si="37"/>
        <v/>
      </c>
      <c r="FZ750" s="1529"/>
      <c r="GA750" s="1529"/>
      <c r="GB750" s="1529"/>
      <c r="GC750" s="1530"/>
    </row>
    <row r="751" spans="1:185" s="3" customFormat="1" ht="12.9" customHeight="1">
      <c r="A751"/>
      <c r="B751" s="1360"/>
      <c r="C751" s="1361"/>
      <c r="D751" s="1361"/>
      <c r="E751" s="1361"/>
      <c r="F751" s="1362"/>
      <c r="G751" s="1366"/>
      <c r="H751" s="1367"/>
      <c r="I751" s="1367"/>
      <c r="J751" s="1368"/>
      <c r="K751" s="1398"/>
      <c r="L751" s="1399"/>
      <c r="M751" s="1399"/>
      <c r="N751" s="1400"/>
      <c r="O751" s="1392"/>
      <c r="P751" s="1393"/>
      <c r="Q751" s="1393"/>
      <c r="R751" s="1393"/>
      <c r="S751" s="1394"/>
      <c r="T751" s="1392"/>
      <c r="U751" s="1393"/>
      <c r="V751" s="1393"/>
      <c r="W751" s="1394"/>
      <c r="X751" s="1421">
        <f t="shared" si="41"/>
        <v>0</v>
      </c>
      <c r="Y751" s="1422"/>
      <c r="Z751" s="1422"/>
      <c r="AA751" s="1422"/>
      <c r="AB751" s="1423"/>
      <c r="AC751" s="1395"/>
      <c r="AD751" s="1396"/>
      <c r="AE751" s="1396"/>
      <c r="AF751" s="1396"/>
      <c r="AG751" s="1397"/>
      <c r="AH751" s="1363" t="str">
        <f t="shared" si="38"/>
        <v/>
      </c>
      <c r="AI751" s="1364"/>
      <c r="AJ751" s="1365"/>
      <c r="AK751" s="1360" t="s">
        <v>591</v>
      </c>
      <c r="AL751" s="1361"/>
      <c r="AM751" s="1361"/>
      <c r="AN751" s="1361"/>
      <c r="AO751" s="1362"/>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28">
        <f t="shared" si="39"/>
        <v>0</v>
      </c>
      <c r="CH751" s="1530"/>
      <c r="CI751" s="1531">
        <f t="shared" si="40"/>
        <v>0</v>
      </c>
      <c r="CJ751" s="1533"/>
      <c r="CK751" s="1528">
        <f t="shared" si="18"/>
        <v>0</v>
      </c>
      <c r="CL751" s="1530"/>
      <c r="CM751" s="1531">
        <f t="shared" si="19"/>
        <v>0</v>
      </c>
      <c r="CN751" s="1533"/>
      <c r="CP751" s="1525">
        <f t="shared" si="20"/>
        <v>0</v>
      </c>
      <c r="CQ751" s="1526"/>
      <c r="CR751" s="1526"/>
      <c r="CS751" s="1526"/>
      <c r="CT751" s="1527"/>
      <c r="CU751" s="1524">
        <f t="shared" si="21"/>
        <v>0</v>
      </c>
      <c r="CV751" s="1524"/>
      <c r="CW751" s="1524"/>
      <c r="CX751" s="1524"/>
      <c r="CY751" s="1524"/>
      <c r="CZ751" s="1524">
        <f t="shared" si="22"/>
        <v>0</v>
      </c>
      <c r="DA751" s="1524"/>
      <c r="DB751" s="1524"/>
      <c r="DC751" s="1524"/>
      <c r="DD751" s="1524"/>
      <c r="DE751" s="1524">
        <f t="shared" si="23"/>
        <v>0</v>
      </c>
      <c r="DF751" s="1524"/>
      <c r="DG751" s="1524"/>
      <c r="DH751" s="1524"/>
      <c r="DI751" s="1524"/>
      <c r="DJ751" s="1524">
        <f t="shared" si="24"/>
        <v>0</v>
      </c>
      <c r="DK751" s="1524"/>
      <c r="DL751" s="1524"/>
      <c r="DM751" s="1524"/>
      <c r="DN751" s="1524"/>
      <c r="DO751" s="1524">
        <f t="shared" si="25"/>
        <v>0</v>
      </c>
      <c r="DP751" s="1524"/>
      <c r="DQ751" s="1524"/>
      <c r="DR751" s="1524"/>
      <c r="DS751" s="1524"/>
      <c r="DT751" s="6"/>
      <c r="DU751" s="1510">
        <f t="shared" si="26"/>
        <v>0</v>
      </c>
      <c r="DV751" s="1510"/>
      <c r="DW751" s="1510"/>
      <c r="DX751" s="1510"/>
      <c r="DY751" s="1510"/>
      <c r="DZ751" s="1510">
        <f t="shared" si="27"/>
        <v>0</v>
      </c>
      <c r="EA751" s="1510"/>
      <c r="EB751" s="1510"/>
      <c r="EC751" s="1510"/>
      <c r="ED751" s="1510"/>
      <c r="EE751" s="1510">
        <f t="shared" si="28"/>
        <v>0</v>
      </c>
      <c r="EF751" s="1510"/>
      <c r="EG751" s="1510"/>
      <c r="EH751" s="1510"/>
      <c r="EI751" s="1510"/>
      <c r="EJ751" s="1510">
        <f t="shared" si="29"/>
        <v>0</v>
      </c>
      <c r="EK751" s="1510"/>
      <c r="EL751" s="1510"/>
      <c r="EM751" s="1510"/>
      <c r="EN751" s="1510"/>
      <c r="EO751" s="1510">
        <f t="shared" si="30"/>
        <v>0</v>
      </c>
      <c r="EP751" s="1510"/>
      <c r="EQ751" s="1510"/>
      <c r="ER751" s="1510"/>
      <c r="ES751" s="1510"/>
      <c r="ET751" s="1510">
        <f t="shared" si="31"/>
        <v>0</v>
      </c>
      <c r="EU751" s="1510"/>
      <c r="EV751" s="1510"/>
      <c r="EW751" s="1510"/>
      <c r="EX751" s="1510"/>
      <c r="EY751"/>
      <c r="EZ751" s="1528" t="str">
        <f t="shared" si="32"/>
        <v/>
      </c>
      <c r="FA751" s="1529"/>
      <c r="FB751" s="1529"/>
      <c r="FC751" s="1529"/>
      <c r="FD751" s="1530"/>
      <c r="FE751" s="1528" t="str">
        <f t="shared" si="33"/>
        <v/>
      </c>
      <c r="FF751" s="1529"/>
      <c r="FG751" s="1529"/>
      <c r="FH751" s="1529"/>
      <c r="FI751" s="1530"/>
      <c r="FJ751" s="1528" t="str">
        <f t="shared" si="34"/>
        <v/>
      </c>
      <c r="FK751" s="1529"/>
      <c r="FL751" s="1529"/>
      <c r="FM751" s="1529"/>
      <c r="FN751" s="1530"/>
      <c r="FO751" s="1528" t="str">
        <f t="shared" si="35"/>
        <v/>
      </c>
      <c r="FP751" s="1529"/>
      <c r="FQ751" s="1529"/>
      <c r="FR751" s="1529"/>
      <c r="FS751" s="1530"/>
      <c r="FT751" s="1528" t="str">
        <f t="shared" si="36"/>
        <v/>
      </c>
      <c r="FU751" s="1529"/>
      <c r="FV751" s="1529"/>
      <c r="FW751" s="1529"/>
      <c r="FX751" s="1530"/>
      <c r="FY751" s="1528" t="str">
        <f t="shared" si="37"/>
        <v/>
      </c>
      <c r="FZ751" s="1529"/>
      <c r="GA751" s="1529"/>
      <c r="GB751" s="1529"/>
      <c r="GC751" s="1530"/>
    </row>
    <row r="752" spans="1:185" ht="12.9" customHeight="1">
      <c r="B752" s="1360"/>
      <c r="C752" s="1361"/>
      <c r="D752" s="1361"/>
      <c r="E752" s="1361"/>
      <c r="F752" s="1362"/>
      <c r="G752" s="1366"/>
      <c r="H752" s="1367"/>
      <c r="I752" s="1367"/>
      <c r="J752" s="1368"/>
      <c r="K752" s="1398"/>
      <c r="L752" s="1399"/>
      <c r="M752" s="1399"/>
      <c r="N752" s="1400"/>
      <c r="O752" s="1392"/>
      <c r="P752" s="1393"/>
      <c r="Q752" s="1393"/>
      <c r="R752" s="1393"/>
      <c r="S752" s="1394"/>
      <c r="T752" s="1392"/>
      <c r="U752" s="1393"/>
      <c r="V752" s="1393"/>
      <c r="W752" s="1394"/>
      <c r="X752" s="1421">
        <f t="shared" si="41"/>
        <v>0</v>
      </c>
      <c r="Y752" s="1422"/>
      <c r="Z752" s="1422"/>
      <c r="AA752" s="1422"/>
      <c r="AB752" s="1423"/>
      <c r="AC752" s="1395"/>
      <c r="AD752" s="1396"/>
      <c r="AE752" s="1396"/>
      <c r="AF752" s="1396"/>
      <c r="AG752" s="1397"/>
      <c r="AH752" s="1363" t="str">
        <f t="shared" si="38"/>
        <v/>
      </c>
      <c r="AI752" s="1364"/>
      <c r="AJ752" s="1365"/>
      <c r="AK752" s="1360" t="s">
        <v>591</v>
      </c>
      <c r="AL752" s="1361"/>
      <c r="AM752" s="1361"/>
      <c r="AN752" s="1361"/>
      <c r="AO752" s="1362"/>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28">
        <f t="shared" si="39"/>
        <v>0</v>
      </c>
      <c r="CH752" s="1530"/>
      <c r="CI752" s="1531">
        <f t="shared" si="40"/>
        <v>0</v>
      </c>
      <c r="CJ752" s="1533"/>
      <c r="CK752" s="1528">
        <f t="shared" si="18"/>
        <v>0</v>
      </c>
      <c r="CL752" s="1530"/>
      <c r="CM752" s="1531">
        <f t="shared" si="19"/>
        <v>0</v>
      </c>
      <c r="CN752" s="1533"/>
      <c r="CO752" s="3"/>
      <c r="CP752" s="1525">
        <f t="shared" si="20"/>
        <v>0</v>
      </c>
      <c r="CQ752" s="1526"/>
      <c r="CR752" s="1526"/>
      <c r="CS752" s="1526"/>
      <c r="CT752" s="1527"/>
      <c r="CU752" s="1524">
        <f t="shared" si="21"/>
        <v>0</v>
      </c>
      <c r="CV752" s="1524"/>
      <c r="CW752" s="1524"/>
      <c r="CX752" s="1524"/>
      <c r="CY752" s="1524"/>
      <c r="CZ752" s="1524">
        <f t="shared" si="22"/>
        <v>0</v>
      </c>
      <c r="DA752" s="1524"/>
      <c r="DB752" s="1524"/>
      <c r="DC752" s="1524"/>
      <c r="DD752" s="1524"/>
      <c r="DE752" s="1524">
        <f t="shared" si="23"/>
        <v>0</v>
      </c>
      <c r="DF752" s="1524"/>
      <c r="DG752" s="1524"/>
      <c r="DH752" s="1524"/>
      <c r="DI752" s="1524"/>
      <c r="DJ752" s="1524">
        <f t="shared" si="24"/>
        <v>0</v>
      </c>
      <c r="DK752" s="1524"/>
      <c r="DL752" s="1524"/>
      <c r="DM752" s="1524"/>
      <c r="DN752" s="1524"/>
      <c r="DO752" s="1524">
        <f t="shared" si="25"/>
        <v>0</v>
      </c>
      <c r="DP752" s="1524"/>
      <c r="DQ752" s="1524"/>
      <c r="DR752" s="1524"/>
      <c r="DS752" s="1524"/>
      <c r="DT752" s="6"/>
      <c r="DU752" s="1510">
        <f t="shared" si="26"/>
        <v>0</v>
      </c>
      <c r="DV752" s="1510"/>
      <c r="DW752" s="1510"/>
      <c r="DX752" s="1510"/>
      <c r="DY752" s="1510"/>
      <c r="DZ752" s="1510">
        <f t="shared" si="27"/>
        <v>0</v>
      </c>
      <c r="EA752" s="1510"/>
      <c r="EB752" s="1510"/>
      <c r="EC752" s="1510"/>
      <c r="ED752" s="1510"/>
      <c r="EE752" s="1510">
        <f t="shared" si="28"/>
        <v>0</v>
      </c>
      <c r="EF752" s="1510"/>
      <c r="EG752" s="1510"/>
      <c r="EH752" s="1510"/>
      <c r="EI752" s="1510"/>
      <c r="EJ752" s="1510">
        <f t="shared" si="29"/>
        <v>0</v>
      </c>
      <c r="EK752" s="1510"/>
      <c r="EL752" s="1510"/>
      <c r="EM752" s="1510"/>
      <c r="EN752" s="1510"/>
      <c r="EO752" s="1510">
        <f t="shared" si="30"/>
        <v>0</v>
      </c>
      <c r="EP752" s="1510"/>
      <c r="EQ752" s="1510"/>
      <c r="ER752" s="1510"/>
      <c r="ES752" s="1510"/>
      <c r="ET752" s="1510">
        <f t="shared" si="31"/>
        <v>0</v>
      </c>
      <c r="EU752" s="1510"/>
      <c r="EV752" s="1510"/>
      <c r="EW752" s="1510"/>
      <c r="EX752" s="1510"/>
      <c r="EZ752" s="1528" t="str">
        <f t="shared" si="32"/>
        <v/>
      </c>
      <c r="FA752" s="1529"/>
      <c r="FB752" s="1529"/>
      <c r="FC752" s="1529"/>
      <c r="FD752" s="1530"/>
      <c r="FE752" s="1528" t="str">
        <f t="shared" si="33"/>
        <v/>
      </c>
      <c r="FF752" s="1529"/>
      <c r="FG752" s="1529"/>
      <c r="FH752" s="1529"/>
      <c r="FI752" s="1530"/>
      <c r="FJ752" s="1528" t="str">
        <f t="shared" si="34"/>
        <v/>
      </c>
      <c r="FK752" s="1529"/>
      <c r="FL752" s="1529"/>
      <c r="FM752" s="1529"/>
      <c r="FN752" s="1530"/>
      <c r="FO752" s="1528" t="str">
        <f t="shared" si="35"/>
        <v/>
      </c>
      <c r="FP752" s="1529"/>
      <c r="FQ752" s="1529"/>
      <c r="FR752" s="1529"/>
      <c r="FS752" s="1530"/>
      <c r="FT752" s="1528" t="str">
        <f t="shared" si="36"/>
        <v/>
      </c>
      <c r="FU752" s="1529"/>
      <c r="FV752" s="1529"/>
      <c r="FW752" s="1529"/>
      <c r="FX752" s="1530"/>
      <c r="FY752" s="1528" t="str">
        <f t="shared" si="37"/>
        <v/>
      </c>
      <c r="FZ752" s="1529"/>
      <c r="GA752" s="1529"/>
      <c r="GB752" s="1529"/>
      <c r="GC752" s="1530"/>
    </row>
    <row r="753" spans="1:185" ht="12.9" customHeight="1">
      <c r="B753" s="1360"/>
      <c r="C753" s="1361"/>
      <c r="D753" s="1361"/>
      <c r="E753" s="1361"/>
      <c r="F753" s="1362"/>
      <c r="G753" s="1366"/>
      <c r="H753" s="1367"/>
      <c r="I753" s="1367"/>
      <c r="J753" s="1368"/>
      <c r="K753" s="1398"/>
      <c r="L753" s="1399"/>
      <c r="M753" s="1399"/>
      <c r="N753" s="1400"/>
      <c r="O753" s="1392"/>
      <c r="P753" s="1393"/>
      <c r="Q753" s="1393"/>
      <c r="R753" s="1393"/>
      <c r="S753" s="1394"/>
      <c r="T753" s="1392"/>
      <c r="U753" s="1393"/>
      <c r="V753" s="1393"/>
      <c r="W753" s="1394"/>
      <c r="X753" s="1421">
        <f t="shared" si="41"/>
        <v>0</v>
      </c>
      <c r="Y753" s="1422"/>
      <c r="Z753" s="1422"/>
      <c r="AA753" s="1422"/>
      <c r="AB753" s="1423"/>
      <c r="AC753" s="1395"/>
      <c r="AD753" s="1396"/>
      <c r="AE753" s="1396"/>
      <c r="AF753" s="1396"/>
      <c r="AG753" s="1397"/>
      <c r="AH753" s="1363" t="str">
        <f t="shared" si="38"/>
        <v/>
      </c>
      <c r="AI753" s="1364"/>
      <c r="AJ753" s="1365"/>
      <c r="AK753" s="1360" t="s">
        <v>591</v>
      </c>
      <c r="AL753" s="1361"/>
      <c r="AM753" s="1361"/>
      <c r="AN753" s="1361"/>
      <c r="AO753" s="1362"/>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28">
        <f t="shared" si="39"/>
        <v>0</v>
      </c>
      <c r="CH753" s="1530"/>
      <c r="CI753" s="1531">
        <f t="shared" si="40"/>
        <v>0</v>
      </c>
      <c r="CJ753" s="1533"/>
      <c r="CK753" s="1528">
        <f t="shared" si="18"/>
        <v>0</v>
      </c>
      <c r="CL753" s="1530"/>
      <c r="CM753" s="1531">
        <f t="shared" si="19"/>
        <v>0</v>
      </c>
      <c r="CN753" s="1533"/>
      <c r="CO753" s="3"/>
      <c r="CP753" s="1525">
        <f t="shared" si="20"/>
        <v>0</v>
      </c>
      <c r="CQ753" s="1526"/>
      <c r="CR753" s="1526"/>
      <c r="CS753" s="1526"/>
      <c r="CT753" s="1527"/>
      <c r="CU753" s="1524">
        <f t="shared" si="21"/>
        <v>0</v>
      </c>
      <c r="CV753" s="1524"/>
      <c r="CW753" s="1524"/>
      <c r="CX753" s="1524"/>
      <c r="CY753" s="1524"/>
      <c r="CZ753" s="1524">
        <f t="shared" si="22"/>
        <v>0</v>
      </c>
      <c r="DA753" s="1524"/>
      <c r="DB753" s="1524"/>
      <c r="DC753" s="1524"/>
      <c r="DD753" s="1524"/>
      <c r="DE753" s="1524">
        <f t="shared" si="23"/>
        <v>0</v>
      </c>
      <c r="DF753" s="1524"/>
      <c r="DG753" s="1524"/>
      <c r="DH753" s="1524"/>
      <c r="DI753" s="1524"/>
      <c r="DJ753" s="1524">
        <f t="shared" si="24"/>
        <v>0</v>
      </c>
      <c r="DK753" s="1524"/>
      <c r="DL753" s="1524"/>
      <c r="DM753" s="1524"/>
      <c r="DN753" s="1524"/>
      <c r="DO753" s="1524">
        <f t="shared" si="25"/>
        <v>0</v>
      </c>
      <c r="DP753" s="1524"/>
      <c r="DQ753" s="1524"/>
      <c r="DR753" s="1524"/>
      <c r="DS753" s="1524"/>
      <c r="DT753" s="6"/>
      <c r="DU753" s="1510">
        <f t="shared" si="26"/>
        <v>0</v>
      </c>
      <c r="DV753" s="1510"/>
      <c r="DW753" s="1510"/>
      <c r="DX753" s="1510"/>
      <c r="DY753" s="1510"/>
      <c r="DZ753" s="1510">
        <f t="shared" si="27"/>
        <v>0</v>
      </c>
      <c r="EA753" s="1510"/>
      <c r="EB753" s="1510"/>
      <c r="EC753" s="1510"/>
      <c r="ED753" s="1510"/>
      <c r="EE753" s="1510">
        <f t="shared" si="28"/>
        <v>0</v>
      </c>
      <c r="EF753" s="1510"/>
      <c r="EG753" s="1510"/>
      <c r="EH753" s="1510"/>
      <c r="EI753" s="1510"/>
      <c r="EJ753" s="1510">
        <f t="shared" si="29"/>
        <v>0</v>
      </c>
      <c r="EK753" s="1510"/>
      <c r="EL753" s="1510"/>
      <c r="EM753" s="1510"/>
      <c r="EN753" s="1510"/>
      <c r="EO753" s="1510">
        <f t="shared" si="30"/>
        <v>0</v>
      </c>
      <c r="EP753" s="1510"/>
      <c r="EQ753" s="1510"/>
      <c r="ER753" s="1510"/>
      <c r="ES753" s="1510"/>
      <c r="ET753" s="1510">
        <f t="shared" si="31"/>
        <v>0</v>
      </c>
      <c r="EU753" s="1510"/>
      <c r="EV753" s="1510"/>
      <c r="EW753" s="1510"/>
      <c r="EX753" s="1510"/>
      <c r="EZ753" s="1528" t="str">
        <f t="shared" si="32"/>
        <v/>
      </c>
      <c r="FA753" s="1529"/>
      <c r="FB753" s="1529"/>
      <c r="FC753" s="1529"/>
      <c r="FD753" s="1530"/>
      <c r="FE753" s="1528" t="str">
        <f t="shared" si="33"/>
        <v/>
      </c>
      <c r="FF753" s="1529"/>
      <c r="FG753" s="1529"/>
      <c r="FH753" s="1529"/>
      <c r="FI753" s="1530"/>
      <c r="FJ753" s="1528" t="str">
        <f t="shared" si="34"/>
        <v/>
      </c>
      <c r="FK753" s="1529"/>
      <c r="FL753" s="1529"/>
      <c r="FM753" s="1529"/>
      <c r="FN753" s="1530"/>
      <c r="FO753" s="1528" t="str">
        <f t="shared" si="35"/>
        <v/>
      </c>
      <c r="FP753" s="1529"/>
      <c r="FQ753" s="1529"/>
      <c r="FR753" s="1529"/>
      <c r="FS753" s="1530"/>
      <c r="FT753" s="1528" t="str">
        <f t="shared" si="36"/>
        <v/>
      </c>
      <c r="FU753" s="1529"/>
      <c r="FV753" s="1529"/>
      <c r="FW753" s="1529"/>
      <c r="FX753" s="1530"/>
      <c r="FY753" s="1528" t="str">
        <f t="shared" si="37"/>
        <v/>
      </c>
      <c r="FZ753" s="1529"/>
      <c r="GA753" s="1529"/>
      <c r="GB753" s="1529"/>
      <c r="GC753" s="1530"/>
    </row>
    <row r="754" spans="1:185" ht="12.9" customHeight="1">
      <c r="B754" s="1360"/>
      <c r="C754" s="1361"/>
      <c r="D754" s="1361"/>
      <c r="E754" s="1361"/>
      <c r="F754" s="1362"/>
      <c r="G754" s="1366"/>
      <c r="H754" s="1367"/>
      <c r="I754" s="1367"/>
      <c r="J754" s="1368"/>
      <c r="K754" s="1398"/>
      <c r="L754" s="1399"/>
      <c r="M754" s="1399"/>
      <c r="N754" s="1400"/>
      <c r="O754" s="1392"/>
      <c r="P754" s="1393"/>
      <c r="Q754" s="1393"/>
      <c r="R754" s="1393"/>
      <c r="S754" s="1394"/>
      <c r="T754" s="1392"/>
      <c r="U754" s="1393"/>
      <c r="V754" s="1393"/>
      <c r="W754" s="1394"/>
      <c r="X754" s="1421">
        <f t="shared" si="41"/>
        <v>0</v>
      </c>
      <c r="Y754" s="1422"/>
      <c r="Z754" s="1422"/>
      <c r="AA754" s="1422"/>
      <c r="AB754" s="1423"/>
      <c r="AC754" s="1395"/>
      <c r="AD754" s="1396"/>
      <c r="AE754" s="1396"/>
      <c r="AF754" s="1396"/>
      <c r="AG754" s="1397"/>
      <c r="AH754" s="1363" t="str">
        <f t="shared" si="38"/>
        <v/>
      </c>
      <c r="AI754" s="1364"/>
      <c r="AJ754" s="1365"/>
      <c r="AK754" s="1360" t="s">
        <v>591</v>
      </c>
      <c r="AL754" s="1361"/>
      <c r="AM754" s="1361"/>
      <c r="AN754" s="1361"/>
      <c r="AO754" s="1362"/>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28">
        <f t="shared" si="39"/>
        <v>0</v>
      </c>
      <c r="CH754" s="1530"/>
      <c r="CI754" s="1531">
        <f t="shared" si="40"/>
        <v>0</v>
      </c>
      <c r="CJ754" s="1533"/>
      <c r="CK754" s="1528">
        <f t="shared" si="18"/>
        <v>0</v>
      </c>
      <c r="CL754" s="1530"/>
      <c r="CM754" s="1531">
        <f t="shared" si="19"/>
        <v>0</v>
      </c>
      <c r="CN754" s="1533"/>
      <c r="CO754" s="3"/>
      <c r="CP754" s="1525">
        <f t="shared" si="20"/>
        <v>0</v>
      </c>
      <c r="CQ754" s="1526"/>
      <c r="CR754" s="1526"/>
      <c r="CS754" s="1526"/>
      <c r="CT754" s="1527"/>
      <c r="CU754" s="1524">
        <f t="shared" si="21"/>
        <v>0</v>
      </c>
      <c r="CV754" s="1524"/>
      <c r="CW754" s="1524"/>
      <c r="CX754" s="1524"/>
      <c r="CY754" s="1524"/>
      <c r="CZ754" s="1524">
        <f t="shared" si="22"/>
        <v>0</v>
      </c>
      <c r="DA754" s="1524"/>
      <c r="DB754" s="1524"/>
      <c r="DC754" s="1524"/>
      <c r="DD754" s="1524"/>
      <c r="DE754" s="1524">
        <f t="shared" si="23"/>
        <v>0</v>
      </c>
      <c r="DF754" s="1524"/>
      <c r="DG754" s="1524"/>
      <c r="DH754" s="1524"/>
      <c r="DI754" s="1524"/>
      <c r="DJ754" s="1524">
        <f t="shared" si="24"/>
        <v>0</v>
      </c>
      <c r="DK754" s="1524"/>
      <c r="DL754" s="1524"/>
      <c r="DM754" s="1524"/>
      <c r="DN754" s="1524"/>
      <c r="DO754" s="1524">
        <f t="shared" si="25"/>
        <v>0</v>
      </c>
      <c r="DP754" s="1524"/>
      <c r="DQ754" s="1524"/>
      <c r="DR754" s="1524"/>
      <c r="DS754" s="1524"/>
      <c r="DT754" s="6"/>
      <c r="DU754" s="1510">
        <f t="shared" si="26"/>
        <v>0</v>
      </c>
      <c r="DV754" s="1510"/>
      <c r="DW754" s="1510"/>
      <c r="DX754" s="1510"/>
      <c r="DY754" s="1510"/>
      <c r="DZ754" s="1510">
        <f t="shared" si="27"/>
        <v>0</v>
      </c>
      <c r="EA754" s="1510"/>
      <c r="EB754" s="1510"/>
      <c r="EC754" s="1510"/>
      <c r="ED754" s="1510"/>
      <c r="EE754" s="1510">
        <f t="shared" si="28"/>
        <v>0</v>
      </c>
      <c r="EF754" s="1510"/>
      <c r="EG754" s="1510"/>
      <c r="EH754" s="1510"/>
      <c r="EI754" s="1510"/>
      <c r="EJ754" s="1510">
        <f t="shared" si="29"/>
        <v>0</v>
      </c>
      <c r="EK754" s="1510"/>
      <c r="EL754" s="1510"/>
      <c r="EM754" s="1510"/>
      <c r="EN754" s="1510"/>
      <c r="EO754" s="1510">
        <f t="shared" si="30"/>
        <v>0</v>
      </c>
      <c r="EP754" s="1510"/>
      <c r="EQ754" s="1510"/>
      <c r="ER754" s="1510"/>
      <c r="ES754" s="1510"/>
      <c r="ET754" s="1510">
        <f t="shared" si="31"/>
        <v>0</v>
      </c>
      <c r="EU754" s="1510"/>
      <c r="EV754" s="1510"/>
      <c r="EW754" s="1510"/>
      <c r="EX754" s="1510"/>
      <c r="EZ754" s="1528" t="str">
        <f t="shared" si="32"/>
        <v/>
      </c>
      <c r="FA754" s="1529"/>
      <c r="FB754" s="1529"/>
      <c r="FC754" s="1529"/>
      <c r="FD754" s="1530"/>
      <c r="FE754" s="1528" t="str">
        <f t="shared" si="33"/>
        <v/>
      </c>
      <c r="FF754" s="1529"/>
      <c r="FG754" s="1529"/>
      <c r="FH754" s="1529"/>
      <c r="FI754" s="1530"/>
      <c r="FJ754" s="1528" t="str">
        <f t="shared" si="34"/>
        <v/>
      </c>
      <c r="FK754" s="1529"/>
      <c r="FL754" s="1529"/>
      <c r="FM754" s="1529"/>
      <c r="FN754" s="1530"/>
      <c r="FO754" s="1528" t="str">
        <f t="shared" si="35"/>
        <v/>
      </c>
      <c r="FP754" s="1529"/>
      <c r="FQ754" s="1529"/>
      <c r="FR754" s="1529"/>
      <c r="FS754" s="1530"/>
      <c r="FT754" s="1528" t="str">
        <f t="shared" si="36"/>
        <v/>
      </c>
      <c r="FU754" s="1529"/>
      <c r="FV754" s="1529"/>
      <c r="FW754" s="1529"/>
      <c r="FX754" s="1530"/>
      <c r="FY754" s="1528" t="str">
        <f t="shared" si="37"/>
        <v/>
      </c>
      <c r="FZ754" s="1529"/>
      <c r="GA754" s="1529"/>
      <c r="GB754" s="1529"/>
      <c r="GC754" s="1530"/>
    </row>
    <row r="755" spans="1:185" ht="12.9" customHeight="1">
      <c r="B755" s="1360"/>
      <c r="C755" s="1361"/>
      <c r="D755" s="1361"/>
      <c r="E755" s="1361"/>
      <c r="F755" s="1362"/>
      <c r="G755" s="1366"/>
      <c r="H755" s="1367"/>
      <c r="I755" s="1367"/>
      <c r="J755" s="1368"/>
      <c r="K755" s="1398"/>
      <c r="L755" s="1399"/>
      <c r="M755" s="1399"/>
      <c r="N755" s="1400"/>
      <c r="O755" s="1392"/>
      <c r="P755" s="1393"/>
      <c r="Q755" s="1393"/>
      <c r="R755" s="1393"/>
      <c r="S755" s="1394"/>
      <c r="T755" s="1392"/>
      <c r="U755" s="1393"/>
      <c r="V755" s="1393"/>
      <c r="W755" s="1394"/>
      <c r="X755" s="1421">
        <f t="shared" si="41"/>
        <v>0</v>
      </c>
      <c r="Y755" s="1422"/>
      <c r="Z755" s="1422"/>
      <c r="AA755" s="1422"/>
      <c r="AB755" s="1423"/>
      <c r="AC755" s="1395"/>
      <c r="AD755" s="1396"/>
      <c r="AE755" s="1396"/>
      <c r="AF755" s="1396"/>
      <c r="AG755" s="1397"/>
      <c r="AH755" s="1363" t="str">
        <f t="shared" si="38"/>
        <v/>
      </c>
      <c r="AI755" s="1364"/>
      <c r="AJ755" s="1365"/>
      <c r="AK755" s="1360" t="s">
        <v>591</v>
      </c>
      <c r="AL755" s="1361"/>
      <c r="AM755" s="1361"/>
      <c r="AN755" s="1361"/>
      <c r="AO755" s="1362"/>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28">
        <f t="shared" si="39"/>
        <v>0</v>
      </c>
      <c r="CH755" s="1530"/>
      <c r="CI755" s="1531">
        <f t="shared" si="40"/>
        <v>0</v>
      </c>
      <c r="CJ755" s="1533"/>
      <c r="CK755" s="1528">
        <f t="shared" si="18"/>
        <v>0</v>
      </c>
      <c r="CL755" s="1530"/>
      <c r="CM755" s="1531">
        <f t="shared" si="19"/>
        <v>0</v>
      </c>
      <c r="CN755" s="1533"/>
      <c r="CO755" s="3"/>
      <c r="CP755" s="1525">
        <f t="shared" si="20"/>
        <v>0</v>
      </c>
      <c r="CQ755" s="1526"/>
      <c r="CR755" s="1526"/>
      <c r="CS755" s="1526"/>
      <c r="CT755" s="1527"/>
      <c r="CU755" s="1524">
        <f t="shared" si="21"/>
        <v>0</v>
      </c>
      <c r="CV755" s="1524"/>
      <c r="CW755" s="1524"/>
      <c r="CX755" s="1524"/>
      <c r="CY755" s="1524"/>
      <c r="CZ755" s="1524">
        <f t="shared" si="22"/>
        <v>0</v>
      </c>
      <c r="DA755" s="1524"/>
      <c r="DB755" s="1524"/>
      <c r="DC755" s="1524"/>
      <c r="DD755" s="1524"/>
      <c r="DE755" s="1524">
        <f t="shared" si="23"/>
        <v>0</v>
      </c>
      <c r="DF755" s="1524"/>
      <c r="DG755" s="1524"/>
      <c r="DH755" s="1524"/>
      <c r="DI755" s="1524"/>
      <c r="DJ755" s="1524">
        <f t="shared" si="24"/>
        <v>0</v>
      </c>
      <c r="DK755" s="1524"/>
      <c r="DL755" s="1524"/>
      <c r="DM755" s="1524"/>
      <c r="DN755" s="1524"/>
      <c r="DO755" s="1524">
        <f t="shared" si="25"/>
        <v>0</v>
      </c>
      <c r="DP755" s="1524"/>
      <c r="DQ755" s="1524"/>
      <c r="DR755" s="1524"/>
      <c r="DS755" s="1524"/>
      <c r="DT755" s="6"/>
      <c r="DU755" s="1510">
        <f t="shared" si="26"/>
        <v>0</v>
      </c>
      <c r="DV755" s="1510"/>
      <c r="DW755" s="1510"/>
      <c r="DX755" s="1510"/>
      <c r="DY755" s="1510"/>
      <c r="DZ755" s="1510">
        <f t="shared" si="27"/>
        <v>0</v>
      </c>
      <c r="EA755" s="1510"/>
      <c r="EB755" s="1510"/>
      <c r="EC755" s="1510"/>
      <c r="ED755" s="1510"/>
      <c r="EE755" s="1510">
        <f t="shared" si="28"/>
        <v>0</v>
      </c>
      <c r="EF755" s="1510"/>
      <c r="EG755" s="1510"/>
      <c r="EH755" s="1510"/>
      <c r="EI755" s="1510"/>
      <c r="EJ755" s="1510">
        <f t="shared" si="29"/>
        <v>0</v>
      </c>
      <c r="EK755" s="1510"/>
      <c r="EL755" s="1510"/>
      <c r="EM755" s="1510"/>
      <c r="EN755" s="1510"/>
      <c r="EO755" s="1510">
        <f t="shared" si="30"/>
        <v>0</v>
      </c>
      <c r="EP755" s="1510"/>
      <c r="EQ755" s="1510"/>
      <c r="ER755" s="1510"/>
      <c r="ES755" s="1510"/>
      <c r="ET755" s="1510">
        <f t="shared" si="31"/>
        <v>0</v>
      </c>
      <c r="EU755" s="1510"/>
      <c r="EV755" s="1510"/>
      <c r="EW755" s="1510"/>
      <c r="EX755" s="1510"/>
      <c r="EZ755" s="1528" t="str">
        <f t="shared" si="32"/>
        <v/>
      </c>
      <c r="FA755" s="1529"/>
      <c r="FB755" s="1529"/>
      <c r="FC755" s="1529"/>
      <c r="FD755" s="1530"/>
      <c r="FE755" s="1528" t="str">
        <f t="shared" si="33"/>
        <v/>
      </c>
      <c r="FF755" s="1529"/>
      <c r="FG755" s="1529"/>
      <c r="FH755" s="1529"/>
      <c r="FI755" s="1530"/>
      <c r="FJ755" s="1528" t="str">
        <f t="shared" si="34"/>
        <v/>
      </c>
      <c r="FK755" s="1529"/>
      <c r="FL755" s="1529"/>
      <c r="FM755" s="1529"/>
      <c r="FN755" s="1530"/>
      <c r="FO755" s="1528" t="str">
        <f t="shared" si="35"/>
        <v/>
      </c>
      <c r="FP755" s="1529"/>
      <c r="FQ755" s="1529"/>
      <c r="FR755" s="1529"/>
      <c r="FS755" s="1530"/>
      <c r="FT755" s="1528" t="str">
        <f t="shared" si="36"/>
        <v/>
      </c>
      <c r="FU755" s="1529"/>
      <c r="FV755" s="1529"/>
      <c r="FW755" s="1529"/>
      <c r="FX755" s="1530"/>
      <c r="FY755" s="1528" t="str">
        <f t="shared" si="37"/>
        <v/>
      </c>
      <c r="FZ755" s="1529"/>
      <c r="GA755" s="1529"/>
      <c r="GB755" s="1529"/>
      <c r="GC755" s="1530"/>
    </row>
    <row r="756" spans="1:185" s="3" customFormat="1" ht="12.9" customHeight="1">
      <c r="A756"/>
      <c r="B756" s="1360"/>
      <c r="C756" s="1361"/>
      <c r="D756" s="1361"/>
      <c r="E756" s="1361"/>
      <c r="F756" s="1362"/>
      <c r="G756" s="1366"/>
      <c r="H756" s="1367"/>
      <c r="I756" s="1367"/>
      <c r="J756" s="1368"/>
      <c r="K756" s="1398"/>
      <c r="L756" s="1399"/>
      <c r="M756" s="1399"/>
      <c r="N756" s="1400"/>
      <c r="O756" s="1392"/>
      <c r="P756" s="1393"/>
      <c r="Q756" s="1393"/>
      <c r="R756" s="1393"/>
      <c r="S756" s="1394"/>
      <c r="T756" s="1392"/>
      <c r="U756" s="1393"/>
      <c r="V756" s="1393"/>
      <c r="W756" s="1394"/>
      <c r="X756" s="1421">
        <f t="shared" si="41"/>
        <v>0</v>
      </c>
      <c r="Y756" s="1422"/>
      <c r="Z756" s="1422"/>
      <c r="AA756" s="1422"/>
      <c r="AB756" s="1423"/>
      <c r="AC756" s="1395"/>
      <c r="AD756" s="1396"/>
      <c r="AE756" s="1396"/>
      <c r="AF756" s="1396"/>
      <c r="AG756" s="1397"/>
      <c r="AH756" s="1363" t="str">
        <f t="shared" si="38"/>
        <v/>
      </c>
      <c r="AI756" s="1364"/>
      <c r="AJ756" s="1365"/>
      <c r="AK756" s="1360" t="s">
        <v>591</v>
      </c>
      <c r="AL756" s="1361"/>
      <c r="AM756" s="1361"/>
      <c r="AN756" s="1361"/>
      <c r="AO756" s="1362"/>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28">
        <f t="shared" si="39"/>
        <v>0</v>
      </c>
      <c r="CH756" s="1530"/>
      <c r="CI756" s="1531">
        <f t="shared" si="40"/>
        <v>0</v>
      </c>
      <c r="CJ756" s="1533"/>
      <c r="CK756" s="1528">
        <f t="shared" si="18"/>
        <v>0</v>
      </c>
      <c r="CL756" s="1530"/>
      <c r="CM756" s="1531">
        <f t="shared" si="19"/>
        <v>0</v>
      </c>
      <c r="CN756" s="1533"/>
      <c r="CP756" s="1525">
        <f t="shared" si="20"/>
        <v>0</v>
      </c>
      <c r="CQ756" s="1526"/>
      <c r="CR756" s="1526"/>
      <c r="CS756" s="1526"/>
      <c r="CT756" s="1527"/>
      <c r="CU756" s="1524">
        <f t="shared" si="21"/>
        <v>0</v>
      </c>
      <c r="CV756" s="1524"/>
      <c r="CW756" s="1524"/>
      <c r="CX756" s="1524"/>
      <c r="CY756" s="1524"/>
      <c r="CZ756" s="1524">
        <f t="shared" si="22"/>
        <v>0</v>
      </c>
      <c r="DA756" s="1524"/>
      <c r="DB756" s="1524"/>
      <c r="DC756" s="1524"/>
      <c r="DD756" s="1524"/>
      <c r="DE756" s="1524">
        <f t="shared" si="23"/>
        <v>0</v>
      </c>
      <c r="DF756" s="1524"/>
      <c r="DG756" s="1524"/>
      <c r="DH756" s="1524"/>
      <c r="DI756" s="1524"/>
      <c r="DJ756" s="1524">
        <f t="shared" si="24"/>
        <v>0</v>
      </c>
      <c r="DK756" s="1524"/>
      <c r="DL756" s="1524"/>
      <c r="DM756" s="1524"/>
      <c r="DN756" s="1524"/>
      <c r="DO756" s="1524">
        <f t="shared" si="25"/>
        <v>0</v>
      </c>
      <c r="DP756" s="1524"/>
      <c r="DQ756" s="1524"/>
      <c r="DR756" s="1524"/>
      <c r="DS756" s="1524"/>
      <c r="DT756" s="6"/>
      <c r="DU756" s="1510">
        <f t="shared" si="26"/>
        <v>0</v>
      </c>
      <c r="DV756" s="1510"/>
      <c r="DW756" s="1510"/>
      <c r="DX756" s="1510"/>
      <c r="DY756" s="1510"/>
      <c r="DZ756" s="1510">
        <f t="shared" si="27"/>
        <v>0</v>
      </c>
      <c r="EA756" s="1510"/>
      <c r="EB756" s="1510"/>
      <c r="EC756" s="1510"/>
      <c r="ED756" s="1510"/>
      <c r="EE756" s="1510">
        <f t="shared" si="28"/>
        <v>0</v>
      </c>
      <c r="EF756" s="1510"/>
      <c r="EG756" s="1510"/>
      <c r="EH756" s="1510"/>
      <c r="EI756" s="1510"/>
      <c r="EJ756" s="1510">
        <f t="shared" si="29"/>
        <v>0</v>
      </c>
      <c r="EK756" s="1510"/>
      <c r="EL756" s="1510"/>
      <c r="EM756" s="1510"/>
      <c r="EN756" s="1510"/>
      <c r="EO756" s="1510">
        <f t="shared" si="30"/>
        <v>0</v>
      </c>
      <c r="EP756" s="1510"/>
      <c r="EQ756" s="1510"/>
      <c r="ER756" s="1510"/>
      <c r="ES756" s="1510"/>
      <c r="ET756" s="1510">
        <f t="shared" si="31"/>
        <v>0</v>
      </c>
      <c r="EU756" s="1510"/>
      <c r="EV756" s="1510"/>
      <c r="EW756" s="1510"/>
      <c r="EX756" s="1510"/>
      <c r="EY756"/>
      <c r="EZ756" s="1528" t="str">
        <f t="shared" si="32"/>
        <v/>
      </c>
      <c r="FA756" s="1529"/>
      <c r="FB756" s="1529"/>
      <c r="FC756" s="1529"/>
      <c r="FD756" s="1530"/>
      <c r="FE756" s="1528" t="str">
        <f t="shared" si="33"/>
        <v/>
      </c>
      <c r="FF756" s="1529"/>
      <c r="FG756" s="1529"/>
      <c r="FH756" s="1529"/>
      <c r="FI756" s="1530"/>
      <c r="FJ756" s="1528" t="str">
        <f t="shared" si="34"/>
        <v/>
      </c>
      <c r="FK756" s="1529"/>
      <c r="FL756" s="1529"/>
      <c r="FM756" s="1529"/>
      <c r="FN756" s="1530"/>
      <c r="FO756" s="1528" t="str">
        <f t="shared" si="35"/>
        <v/>
      </c>
      <c r="FP756" s="1529"/>
      <c r="FQ756" s="1529"/>
      <c r="FR756" s="1529"/>
      <c r="FS756" s="1530"/>
      <c r="FT756" s="1528" t="str">
        <f t="shared" si="36"/>
        <v/>
      </c>
      <c r="FU756" s="1529"/>
      <c r="FV756" s="1529"/>
      <c r="FW756" s="1529"/>
      <c r="FX756" s="1530"/>
      <c r="FY756" s="1528" t="str">
        <f t="shared" si="37"/>
        <v/>
      </c>
      <c r="FZ756" s="1529"/>
      <c r="GA756" s="1529"/>
      <c r="GB756" s="1529"/>
      <c r="GC756" s="1530"/>
    </row>
    <row r="757" spans="1:185" s="3" customFormat="1" ht="12.9" customHeight="1">
      <c r="A757"/>
      <c r="B757" s="1360"/>
      <c r="C757" s="1361"/>
      <c r="D757" s="1361"/>
      <c r="E757" s="1361"/>
      <c r="F757" s="1362"/>
      <c r="G757" s="1366"/>
      <c r="H757" s="1367"/>
      <c r="I757" s="1367"/>
      <c r="J757" s="1368"/>
      <c r="K757" s="1398"/>
      <c r="L757" s="1399"/>
      <c r="M757" s="1399"/>
      <c r="N757" s="1400"/>
      <c r="O757" s="1392"/>
      <c r="P757" s="1393"/>
      <c r="Q757" s="1393"/>
      <c r="R757" s="1393"/>
      <c r="S757" s="1394"/>
      <c r="T757" s="1392"/>
      <c r="U757" s="1393"/>
      <c r="V757" s="1393"/>
      <c r="W757" s="1394"/>
      <c r="X757" s="1421">
        <f t="shared" si="41"/>
        <v>0</v>
      </c>
      <c r="Y757" s="1422"/>
      <c r="Z757" s="1422"/>
      <c r="AA757" s="1422"/>
      <c r="AB757" s="1423"/>
      <c r="AC757" s="1395"/>
      <c r="AD757" s="1396"/>
      <c r="AE757" s="1396"/>
      <c r="AF757" s="1396"/>
      <c r="AG757" s="1397"/>
      <c r="AH757" s="1363" t="str">
        <f t="shared" si="38"/>
        <v/>
      </c>
      <c r="AI757" s="1364"/>
      <c r="AJ757" s="1365"/>
      <c r="AK757" s="1360" t="s">
        <v>591</v>
      </c>
      <c r="AL757" s="1361"/>
      <c r="AM757" s="1361"/>
      <c r="AN757" s="1361"/>
      <c r="AO757" s="1362"/>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28">
        <f t="shared" si="39"/>
        <v>0</v>
      </c>
      <c r="CH757" s="1530"/>
      <c r="CI757" s="1531">
        <f t="shared" si="40"/>
        <v>0</v>
      </c>
      <c r="CJ757" s="1533"/>
      <c r="CK757" s="1528">
        <f t="shared" si="18"/>
        <v>0</v>
      </c>
      <c r="CL757" s="1530"/>
      <c r="CM757" s="1531">
        <f t="shared" si="19"/>
        <v>0</v>
      </c>
      <c r="CN757" s="1533"/>
      <c r="CP757" s="1525">
        <f t="shared" si="20"/>
        <v>0</v>
      </c>
      <c r="CQ757" s="1526"/>
      <c r="CR757" s="1526"/>
      <c r="CS757" s="1526"/>
      <c r="CT757" s="1527"/>
      <c r="CU757" s="1524">
        <f t="shared" si="21"/>
        <v>0</v>
      </c>
      <c r="CV757" s="1524"/>
      <c r="CW757" s="1524"/>
      <c r="CX757" s="1524"/>
      <c r="CY757" s="1524"/>
      <c r="CZ757" s="1524">
        <f t="shared" si="22"/>
        <v>0</v>
      </c>
      <c r="DA757" s="1524"/>
      <c r="DB757" s="1524"/>
      <c r="DC757" s="1524"/>
      <c r="DD757" s="1524"/>
      <c r="DE757" s="1524">
        <f t="shared" si="23"/>
        <v>0</v>
      </c>
      <c r="DF757" s="1524"/>
      <c r="DG757" s="1524"/>
      <c r="DH757" s="1524"/>
      <c r="DI757" s="1524"/>
      <c r="DJ757" s="1524">
        <f t="shared" si="24"/>
        <v>0</v>
      </c>
      <c r="DK757" s="1524"/>
      <c r="DL757" s="1524"/>
      <c r="DM757" s="1524"/>
      <c r="DN757" s="1524"/>
      <c r="DO757" s="1524">
        <f t="shared" si="25"/>
        <v>0</v>
      </c>
      <c r="DP757" s="1524"/>
      <c r="DQ757" s="1524"/>
      <c r="DR757" s="1524"/>
      <c r="DS757" s="1524"/>
      <c r="DT757" s="6"/>
      <c r="DU757" s="1510">
        <f t="shared" si="26"/>
        <v>0</v>
      </c>
      <c r="DV757" s="1510"/>
      <c r="DW757" s="1510"/>
      <c r="DX757" s="1510"/>
      <c r="DY757" s="1510"/>
      <c r="DZ757" s="1510">
        <f t="shared" si="27"/>
        <v>0</v>
      </c>
      <c r="EA757" s="1510"/>
      <c r="EB757" s="1510"/>
      <c r="EC757" s="1510"/>
      <c r="ED757" s="1510"/>
      <c r="EE757" s="1510">
        <f t="shared" si="28"/>
        <v>0</v>
      </c>
      <c r="EF757" s="1510"/>
      <c r="EG757" s="1510"/>
      <c r="EH757" s="1510"/>
      <c r="EI757" s="1510"/>
      <c r="EJ757" s="1510">
        <f t="shared" si="29"/>
        <v>0</v>
      </c>
      <c r="EK757" s="1510"/>
      <c r="EL757" s="1510"/>
      <c r="EM757" s="1510"/>
      <c r="EN757" s="1510"/>
      <c r="EO757" s="1510">
        <f t="shared" si="30"/>
        <v>0</v>
      </c>
      <c r="EP757" s="1510"/>
      <c r="EQ757" s="1510"/>
      <c r="ER757" s="1510"/>
      <c r="ES757" s="1510"/>
      <c r="ET757" s="1510">
        <f t="shared" si="31"/>
        <v>0</v>
      </c>
      <c r="EU757" s="1510"/>
      <c r="EV757" s="1510"/>
      <c r="EW757" s="1510"/>
      <c r="EX757" s="1510"/>
      <c r="EY757"/>
      <c r="EZ757" s="1528" t="str">
        <f t="shared" si="32"/>
        <v/>
      </c>
      <c r="FA757" s="1529"/>
      <c r="FB757" s="1529"/>
      <c r="FC757" s="1529"/>
      <c r="FD757" s="1530"/>
      <c r="FE757" s="1528" t="str">
        <f t="shared" si="33"/>
        <v/>
      </c>
      <c r="FF757" s="1529"/>
      <c r="FG757" s="1529"/>
      <c r="FH757" s="1529"/>
      <c r="FI757" s="1530"/>
      <c r="FJ757" s="1528" t="str">
        <f t="shared" si="34"/>
        <v/>
      </c>
      <c r="FK757" s="1529"/>
      <c r="FL757" s="1529"/>
      <c r="FM757" s="1529"/>
      <c r="FN757" s="1530"/>
      <c r="FO757" s="1528" t="str">
        <f t="shared" si="35"/>
        <v/>
      </c>
      <c r="FP757" s="1529"/>
      <c r="FQ757" s="1529"/>
      <c r="FR757" s="1529"/>
      <c r="FS757" s="1530"/>
      <c r="FT757" s="1528" t="str">
        <f t="shared" si="36"/>
        <v/>
      </c>
      <c r="FU757" s="1529"/>
      <c r="FV757" s="1529"/>
      <c r="FW757" s="1529"/>
      <c r="FX757" s="1530"/>
      <c r="FY757" s="1528" t="str">
        <f t="shared" si="37"/>
        <v/>
      </c>
      <c r="FZ757" s="1529"/>
      <c r="GA757" s="1529"/>
      <c r="GB757" s="1529"/>
      <c r="GC757" s="1530"/>
    </row>
    <row r="758" spans="1:185" s="3" customFormat="1" ht="12.9" customHeight="1">
      <c r="A758"/>
      <c r="B758" s="1360"/>
      <c r="C758" s="1361"/>
      <c r="D758" s="1361"/>
      <c r="E758" s="1361"/>
      <c r="F758" s="1362"/>
      <c r="G758" s="1366"/>
      <c r="H758" s="1367"/>
      <c r="I758" s="1367"/>
      <c r="J758" s="1368"/>
      <c r="K758" s="1398"/>
      <c r="L758" s="1399"/>
      <c r="M758" s="1399"/>
      <c r="N758" s="1400"/>
      <c r="O758" s="1392"/>
      <c r="P758" s="1393"/>
      <c r="Q758" s="1393"/>
      <c r="R758" s="1393"/>
      <c r="S758" s="1394"/>
      <c r="T758" s="1392"/>
      <c r="U758" s="1393"/>
      <c r="V758" s="1393"/>
      <c r="W758" s="1394"/>
      <c r="X758" s="1421">
        <f t="shared" si="41"/>
        <v>0</v>
      </c>
      <c r="Y758" s="1422"/>
      <c r="Z758" s="1422"/>
      <c r="AA758" s="1422"/>
      <c r="AB758" s="1423"/>
      <c r="AC758" s="1395"/>
      <c r="AD758" s="1396"/>
      <c r="AE758" s="1396"/>
      <c r="AF758" s="1396"/>
      <c r="AG758" s="1397"/>
      <c r="AH758" s="1363" t="str">
        <f t="shared" si="38"/>
        <v/>
      </c>
      <c r="AI758" s="1364"/>
      <c r="AJ758" s="1365"/>
      <c r="AK758" s="1360" t="s">
        <v>591</v>
      </c>
      <c r="AL758" s="1361"/>
      <c r="AM758" s="1361"/>
      <c r="AN758" s="1361"/>
      <c r="AO758" s="1362"/>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28">
        <f t="shared" si="39"/>
        <v>0</v>
      </c>
      <c r="CH758" s="1530"/>
      <c r="CI758" s="1531">
        <f t="shared" si="40"/>
        <v>0</v>
      </c>
      <c r="CJ758" s="1533"/>
      <c r="CK758" s="1528">
        <f t="shared" si="18"/>
        <v>0</v>
      </c>
      <c r="CL758" s="1530"/>
      <c r="CM758" s="1531">
        <f t="shared" si="19"/>
        <v>0</v>
      </c>
      <c r="CN758" s="1533"/>
      <c r="CP758" s="1525">
        <f t="shared" si="20"/>
        <v>0</v>
      </c>
      <c r="CQ758" s="1526"/>
      <c r="CR758" s="1526"/>
      <c r="CS758" s="1526"/>
      <c r="CT758" s="1527"/>
      <c r="CU758" s="1524">
        <f t="shared" si="21"/>
        <v>0</v>
      </c>
      <c r="CV758" s="1524"/>
      <c r="CW758" s="1524"/>
      <c r="CX758" s="1524"/>
      <c r="CY758" s="1524"/>
      <c r="CZ758" s="1524">
        <f t="shared" si="22"/>
        <v>0</v>
      </c>
      <c r="DA758" s="1524"/>
      <c r="DB758" s="1524"/>
      <c r="DC758" s="1524"/>
      <c r="DD758" s="1524"/>
      <c r="DE758" s="1524">
        <f t="shared" si="23"/>
        <v>0</v>
      </c>
      <c r="DF758" s="1524"/>
      <c r="DG758" s="1524"/>
      <c r="DH758" s="1524"/>
      <c r="DI758" s="1524"/>
      <c r="DJ758" s="1524">
        <f t="shared" si="24"/>
        <v>0</v>
      </c>
      <c r="DK758" s="1524"/>
      <c r="DL758" s="1524"/>
      <c r="DM758" s="1524"/>
      <c r="DN758" s="1524"/>
      <c r="DO758" s="1524">
        <f t="shared" si="25"/>
        <v>0</v>
      </c>
      <c r="DP758" s="1524"/>
      <c r="DQ758" s="1524"/>
      <c r="DR758" s="1524"/>
      <c r="DS758" s="1524"/>
      <c r="DT758" s="6"/>
      <c r="DU758" s="1510">
        <f t="shared" si="26"/>
        <v>0</v>
      </c>
      <c r="DV758" s="1510"/>
      <c r="DW758" s="1510"/>
      <c r="DX758" s="1510"/>
      <c r="DY758" s="1510"/>
      <c r="DZ758" s="1510">
        <f t="shared" si="27"/>
        <v>0</v>
      </c>
      <c r="EA758" s="1510"/>
      <c r="EB758" s="1510"/>
      <c r="EC758" s="1510"/>
      <c r="ED758" s="1510"/>
      <c r="EE758" s="1510">
        <f t="shared" si="28"/>
        <v>0</v>
      </c>
      <c r="EF758" s="1510"/>
      <c r="EG758" s="1510"/>
      <c r="EH758" s="1510"/>
      <c r="EI758" s="1510"/>
      <c r="EJ758" s="1510">
        <f t="shared" si="29"/>
        <v>0</v>
      </c>
      <c r="EK758" s="1510"/>
      <c r="EL758" s="1510"/>
      <c r="EM758" s="1510"/>
      <c r="EN758" s="1510"/>
      <c r="EO758" s="1510">
        <f t="shared" si="30"/>
        <v>0</v>
      </c>
      <c r="EP758" s="1510"/>
      <c r="EQ758" s="1510"/>
      <c r="ER758" s="1510"/>
      <c r="ES758" s="1510"/>
      <c r="ET758" s="1510">
        <f t="shared" si="31"/>
        <v>0</v>
      </c>
      <c r="EU758" s="1510"/>
      <c r="EV758" s="1510"/>
      <c r="EW758" s="1510"/>
      <c r="EX758" s="1510"/>
      <c r="EY758"/>
      <c r="EZ758" s="1528" t="str">
        <f t="shared" si="32"/>
        <v/>
      </c>
      <c r="FA758" s="1529"/>
      <c r="FB758" s="1529"/>
      <c r="FC758" s="1529"/>
      <c r="FD758" s="1530"/>
      <c r="FE758" s="1528" t="str">
        <f t="shared" si="33"/>
        <v/>
      </c>
      <c r="FF758" s="1529"/>
      <c r="FG758" s="1529"/>
      <c r="FH758" s="1529"/>
      <c r="FI758" s="1530"/>
      <c r="FJ758" s="1528" t="str">
        <f t="shared" si="34"/>
        <v/>
      </c>
      <c r="FK758" s="1529"/>
      <c r="FL758" s="1529"/>
      <c r="FM758" s="1529"/>
      <c r="FN758" s="1530"/>
      <c r="FO758" s="1528" t="str">
        <f t="shared" si="35"/>
        <v/>
      </c>
      <c r="FP758" s="1529"/>
      <c r="FQ758" s="1529"/>
      <c r="FR758" s="1529"/>
      <c r="FS758" s="1530"/>
      <c r="FT758" s="1528" t="str">
        <f t="shared" si="36"/>
        <v/>
      </c>
      <c r="FU758" s="1529"/>
      <c r="FV758" s="1529"/>
      <c r="FW758" s="1529"/>
      <c r="FX758" s="1530"/>
      <c r="FY758" s="1528" t="str">
        <f t="shared" si="37"/>
        <v/>
      </c>
      <c r="FZ758" s="1529"/>
      <c r="GA758" s="1529"/>
      <c r="GB758" s="1529"/>
      <c r="GC758" s="1530"/>
    </row>
    <row r="759" spans="1:185" s="3" customFormat="1" ht="12.9" customHeight="1">
      <c r="A759"/>
      <c r="B759" s="1360"/>
      <c r="C759" s="1361"/>
      <c r="D759" s="1361"/>
      <c r="E759" s="1361"/>
      <c r="F759" s="1362"/>
      <c r="G759" s="1366"/>
      <c r="H759" s="1367"/>
      <c r="I759" s="1367"/>
      <c r="J759" s="1368"/>
      <c r="K759" s="1398"/>
      <c r="L759" s="1399"/>
      <c r="M759" s="1399"/>
      <c r="N759" s="1400"/>
      <c r="O759" s="1392"/>
      <c r="P759" s="1393"/>
      <c r="Q759" s="1393"/>
      <c r="R759" s="1393"/>
      <c r="S759" s="1394"/>
      <c r="T759" s="1392"/>
      <c r="U759" s="1393"/>
      <c r="V759" s="1393"/>
      <c r="W759" s="1394"/>
      <c r="X759" s="1421">
        <f t="shared" si="41"/>
        <v>0</v>
      </c>
      <c r="Y759" s="1422"/>
      <c r="Z759" s="1422"/>
      <c r="AA759" s="1422"/>
      <c r="AB759" s="1423"/>
      <c r="AC759" s="1395"/>
      <c r="AD759" s="1396"/>
      <c r="AE759" s="1396"/>
      <c r="AF759" s="1396"/>
      <c r="AG759" s="1397"/>
      <c r="AH759" s="1363" t="str">
        <f t="shared" si="38"/>
        <v/>
      </c>
      <c r="AI759" s="1364"/>
      <c r="AJ759" s="1365"/>
      <c r="AK759" s="1360" t="s">
        <v>591</v>
      </c>
      <c r="AL759" s="1361"/>
      <c r="AM759" s="1361"/>
      <c r="AN759" s="1361"/>
      <c r="AO759" s="1362"/>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28">
        <f t="shared" si="39"/>
        <v>0</v>
      </c>
      <c r="CH759" s="1530"/>
      <c r="CI759" s="1531">
        <f t="shared" si="40"/>
        <v>0</v>
      </c>
      <c r="CJ759" s="1533"/>
      <c r="CK759" s="1528">
        <f t="shared" si="18"/>
        <v>0</v>
      </c>
      <c r="CL759" s="1530"/>
      <c r="CM759" s="1531">
        <f t="shared" si="19"/>
        <v>0</v>
      </c>
      <c r="CN759" s="1533"/>
      <c r="CP759" s="1525">
        <f t="shared" si="20"/>
        <v>0</v>
      </c>
      <c r="CQ759" s="1526"/>
      <c r="CR759" s="1526"/>
      <c r="CS759" s="1526"/>
      <c r="CT759" s="1527"/>
      <c r="CU759" s="1524">
        <f t="shared" si="21"/>
        <v>0</v>
      </c>
      <c r="CV759" s="1524"/>
      <c r="CW759" s="1524"/>
      <c r="CX759" s="1524"/>
      <c r="CY759" s="1524"/>
      <c r="CZ759" s="1524">
        <f t="shared" si="22"/>
        <v>0</v>
      </c>
      <c r="DA759" s="1524"/>
      <c r="DB759" s="1524"/>
      <c r="DC759" s="1524"/>
      <c r="DD759" s="1524"/>
      <c r="DE759" s="1524">
        <f t="shared" si="23"/>
        <v>0</v>
      </c>
      <c r="DF759" s="1524"/>
      <c r="DG759" s="1524"/>
      <c r="DH759" s="1524"/>
      <c r="DI759" s="1524"/>
      <c r="DJ759" s="1524">
        <f t="shared" si="24"/>
        <v>0</v>
      </c>
      <c r="DK759" s="1524"/>
      <c r="DL759" s="1524"/>
      <c r="DM759" s="1524"/>
      <c r="DN759" s="1524"/>
      <c r="DO759" s="1524">
        <f t="shared" si="25"/>
        <v>0</v>
      </c>
      <c r="DP759" s="1524"/>
      <c r="DQ759" s="1524"/>
      <c r="DR759" s="1524"/>
      <c r="DS759" s="1524"/>
      <c r="DT759" s="6"/>
      <c r="DU759" s="1510">
        <f t="shared" si="26"/>
        <v>0</v>
      </c>
      <c r="DV759" s="1510"/>
      <c r="DW759" s="1510"/>
      <c r="DX759" s="1510"/>
      <c r="DY759" s="1510"/>
      <c r="DZ759" s="1510">
        <f t="shared" si="27"/>
        <v>0</v>
      </c>
      <c r="EA759" s="1510"/>
      <c r="EB759" s="1510"/>
      <c r="EC759" s="1510"/>
      <c r="ED759" s="1510"/>
      <c r="EE759" s="1510">
        <f t="shared" si="28"/>
        <v>0</v>
      </c>
      <c r="EF759" s="1510"/>
      <c r="EG759" s="1510"/>
      <c r="EH759" s="1510"/>
      <c r="EI759" s="1510"/>
      <c r="EJ759" s="1510">
        <f t="shared" si="29"/>
        <v>0</v>
      </c>
      <c r="EK759" s="1510"/>
      <c r="EL759" s="1510"/>
      <c r="EM759" s="1510"/>
      <c r="EN759" s="1510"/>
      <c r="EO759" s="1510">
        <f t="shared" si="30"/>
        <v>0</v>
      </c>
      <c r="EP759" s="1510"/>
      <c r="EQ759" s="1510"/>
      <c r="ER759" s="1510"/>
      <c r="ES759" s="1510"/>
      <c r="ET759" s="1510">
        <f t="shared" si="31"/>
        <v>0</v>
      </c>
      <c r="EU759" s="1510"/>
      <c r="EV759" s="1510"/>
      <c r="EW759" s="1510"/>
      <c r="EX759" s="1510"/>
      <c r="EY759"/>
      <c r="EZ759" s="1528" t="str">
        <f t="shared" si="32"/>
        <v/>
      </c>
      <c r="FA759" s="1529"/>
      <c r="FB759" s="1529"/>
      <c r="FC759" s="1529"/>
      <c r="FD759" s="1530"/>
      <c r="FE759" s="1528" t="str">
        <f t="shared" si="33"/>
        <v/>
      </c>
      <c r="FF759" s="1529"/>
      <c r="FG759" s="1529"/>
      <c r="FH759" s="1529"/>
      <c r="FI759" s="1530"/>
      <c r="FJ759" s="1528" t="str">
        <f t="shared" si="34"/>
        <v/>
      </c>
      <c r="FK759" s="1529"/>
      <c r="FL759" s="1529"/>
      <c r="FM759" s="1529"/>
      <c r="FN759" s="1530"/>
      <c r="FO759" s="1528" t="str">
        <f t="shared" si="35"/>
        <v/>
      </c>
      <c r="FP759" s="1529"/>
      <c r="FQ759" s="1529"/>
      <c r="FR759" s="1529"/>
      <c r="FS759" s="1530"/>
      <c r="FT759" s="1528" t="str">
        <f t="shared" si="36"/>
        <v/>
      </c>
      <c r="FU759" s="1529"/>
      <c r="FV759" s="1529"/>
      <c r="FW759" s="1529"/>
      <c r="FX759" s="1530"/>
      <c r="FY759" s="1528" t="str">
        <f t="shared" si="37"/>
        <v/>
      </c>
      <c r="FZ759" s="1529"/>
      <c r="GA759" s="1529"/>
      <c r="GB759" s="1529"/>
      <c r="GC759" s="1530"/>
    </row>
    <row r="760" spans="1:185" s="3" customFormat="1" ht="12.9" customHeight="1">
      <c r="A760"/>
      <c r="B760" s="1360"/>
      <c r="C760" s="1361"/>
      <c r="D760" s="1361"/>
      <c r="E760" s="1361"/>
      <c r="F760" s="1362"/>
      <c r="G760" s="1366"/>
      <c r="H760" s="1367"/>
      <c r="I760" s="1367"/>
      <c r="J760" s="1368"/>
      <c r="K760" s="1398"/>
      <c r="L760" s="1399"/>
      <c r="M760" s="1399"/>
      <c r="N760" s="1400"/>
      <c r="O760" s="1392"/>
      <c r="P760" s="1393"/>
      <c r="Q760" s="1393"/>
      <c r="R760" s="1393"/>
      <c r="S760" s="1394"/>
      <c r="T760" s="1392"/>
      <c r="U760" s="1393"/>
      <c r="V760" s="1393"/>
      <c r="W760" s="1394"/>
      <c r="X760" s="1421">
        <f>O760+T760</f>
        <v>0</v>
      </c>
      <c r="Y760" s="1422"/>
      <c r="Z760" s="1422"/>
      <c r="AA760" s="1422"/>
      <c r="AB760" s="1423"/>
      <c r="AC760" s="1395"/>
      <c r="AD760" s="1396"/>
      <c r="AE760" s="1396"/>
      <c r="AF760" s="1396"/>
      <c r="AG760" s="1397"/>
      <c r="AH760" s="1363" t="str">
        <f t="shared" si="38"/>
        <v/>
      </c>
      <c r="AI760" s="1364"/>
      <c r="AJ760" s="1365"/>
      <c r="AK760" s="1360" t="s">
        <v>591</v>
      </c>
      <c r="AL760" s="1361"/>
      <c r="AM760" s="1361"/>
      <c r="AN760" s="1361"/>
      <c r="AO760" s="1362"/>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28">
        <f t="shared" si="39"/>
        <v>0</v>
      </c>
      <c r="CH760" s="1530"/>
      <c r="CI760" s="1531">
        <f t="shared" si="40"/>
        <v>0</v>
      </c>
      <c r="CJ760" s="1533"/>
      <c r="CK760" s="1528">
        <f t="shared" si="18"/>
        <v>0</v>
      </c>
      <c r="CL760" s="1530"/>
      <c r="CM760" s="1531">
        <f t="shared" si="19"/>
        <v>0</v>
      </c>
      <c r="CN760" s="1533"/>
      <c r="CP760" s="1525">
        <f t="shared" si="20"/>
        <v>0</v>
      </c>
      <c r="CQ760" s="1526"/>
      <c r="CR760" s="1526"/>
      <c r="CS760" s="1526"/>
      <c r="CT760" s="1527"/>
      <c r="CU760" s="1524">
        <f t="shared" si="21"/>
        <v>0</v>
      </c>
      <c r="CV760" s="1524"/>
      <c r="CW760" s="1524"/>
      <c r="CX760" s="1524"/>
      <c r="CY760" s="1524"/>
      <c r="CZ760" s="1524">
        <f t="shared" si="22"/>
        <v>0</v>
      </c>
      <c r="DA760" s="1524"/>
      <c r="DB760" s="1524"/>
      <c r="DC760" s="1524"/>
      <c r="DD760" s="1524"/>
      <c r="DE760" s="1524">
        <f t="shared" si="23"/>
        <v>0</v>
      </c>
      <c r="DF760" s="1524"/>
      <c r="DG760" s="1524"/>
      <c r="DH760" s="1524"/>
      <c r="DI760" s="1524"/>
      <c r="DJ760" s="1524">
        <f t="shared" si="24"/>
        <v>0</v>
      </c>
      <c r="DK760" s="1524"/>
      <c r="DL760" s="1524"/>
      <c r="DM760" s="1524"/>
      <c r="DN760" s="1524"/>
      <c r="DO760" s="1524">
        <f t="shared" si="25"/>
        <v>0</v>
      </c>
      <c r="DP760" s="1524"/>
      <c r="DQ760" s="1524"/>
      <c r="DR760" s="1524"/>
      <c r="DS760" s="1524"/>
      <c r="DT760" s="6"/>
      <c r="DU760" s="1510">
        <f t="shared" si="26"/>
        <v>0</v>
      </c>
      <c r="DV760" s="1510"/>
      <c r="DW760" s="1510"/>
      <c r="DX760" s="1510"/>
      <c r="DY760" s="1510"/>
      <c r="DZ760" s="1510">
        <f t="shared" si="27"/>
        <v>0</v>
      </c>
      <c r="EA760" s="1510"/>
      <c r="EB760" s="1510"/>
      <c r="EC760" s="1510"/>
      <c r="ED760" s="1510"/>
      <c r="EE760" s="1510">
        <f t="shared" si="28"/>
        <v>0</v>
      </c>
      <c r="EF760" s="1510"/>
      <c r="EG760" s="1510"/>
      <c r="EH760" s="1510"/>
      <c r="EI760" s="1510"/>
      <c r="EJ760" s="1510">
        <f t="shared" si="29"/>
        <v>0</v>
      </c>
      <c r="EK760" s="1510"/>
      <c r="EL760" s="1510"/>
      <c r="EM760" s="1510"/>
      <c r="EN760" s="1510"/>
      <c r="EO760" s="1510">
        <f t="shared" si="30"/>
        <v>0</v>
      </c>
      <c r="EP760" s="1510"/>
      <c r="EQ760" s="1510"/>
      <c r="ER760" s="1510"/>
      <c r="ES760" s="1510"/>
      <c r="ET760" s="1510">
        <f t="shared" si="31"/>
        <v>0</v>
      </c>
      <c r="EU760" s="1510"/>
      <c r="EV760" s="1510"/>
      <c r="EW760" s="1510"/>
      <c r="EX760" s="1510"/>
      <c r="EY760"/>
      <c r="EZ760" s="1528" t="str">
        <f t="shared" si="32"/>
        <v/>
      </c>
      <c r="FA760" s="1529"/>
      <c r="FB760" s="1529"/>
      <c r="FC760" s="1529"/>
      <c r="FD760" s="1530"/>
      <c r="FE760" s="1528" t="str">
        <f t="shared" si="33"/>
        <v/>
      </c>
      <c r="FF760" s="1529"/>
      <c r="FG760" s="1529"/>
      <c r="FH760" s="1529"/>
      <c r="FI760" s="1530"/>
      <c r="FJ760" s="1528" t="str">
        <f t="shared" si="34"/>
        <v/>
      </c>
      <c r="FK760" s="1529"/>
      <c r="FL760" s="1529"/>
      <c r="FM760" s="1529"/>
      <c r="FN760" s="1530"/>
      <c r="FO760" s="1528" t="str">
        <f t="shared" si="35"/>
        <v/>
      </c>
      <c r="FP760" s="1529"/>
      <c r="FQ760" s="1529"/>
      <c r="FR760" s="1529"/>
      <c r="FS760" s="1530"/>
      <c r="FT760" s="1528" t="str">
        <f t="shared" si="36"/>
        <v/>
      </c>
      <c r="FU760" s="1529"/>
      <c r="FV760" s="1529"/>
      <c r="FW760" s="1529"/>
      <c r="FX760" s="1530"/>
      <c r="FY760" s="1528" t="str">
        <f t="shared" si="37"/>
        <v/>
      </c>
      <c r="FZ760" s="1529"/>
      <c r="GA760" s="1529"/>
      <c r="GB760" s="1529"/>
      <c r="GC760" s="1530"/>
    </row>
    <row r="761" spans="1:185" s="3" customFormat="1" ht="12.9" customHeight="1">
      <c r="A761"/>
      <c r="B761" s="1512" t="s">
        <v>125</v>
      </c>
      <c r="C761" s="1513"/>
      <c r="D761" s="1513"/>
      <c r="E761" s="1513"/>
      <c r="F761" s="1514"/>
      <c r="G761" s="1630">
        <f>SUM(G726:G760)</f>
        <v>182</v>
      </c>
      <c r="H761" s="1631"/>
      <c r="I761" s="1631"/>
      <c r="J761" s="1632"/>
      <c r="K761" s="893" t="s">
        <v>124</v>
      </c>
      <c r="L761" s="5"/>
      <c r="M761" s="5"/>
      <c r="N761" s="46"/>
      <c r="O761" s="1421">
        <f>SUMPRODUCT(G726:G760,O726:O760)</f>
        <v>369292</v>
      </c>
      <c r="P761" s="1422"/>
      <c r="Q761" s="1422"/>
      <c r="R761" s="1422"/>
      <c r="S761" s="1423"/>
      <c r="T761"/>
      <c r="U761"/>
      <c r="V761"/>
      <c r="W761"/>
      <c r="X761" s="895" t="s">
        <v>900</v>
      </c>
      <c r="Y761" s="894"/>
      <c r="Z761" s="894"/>
      <c r="AA761" s="894"/>
      <c r="AB761" s="896"/>
      <c r="AC761" s="1541">
        <f>BH761</f>
        <v>0.60000000000000009</v>
      </c>
      <c r="AD761" s="1542"/>
      <c r="AE761" s="1542"/>
      <c r="AF761" s="1542"/>
      <c r="AG761" s="1543"/>
      <c r="AH761" s="1541">
        <f>IFERROR(BU761,"")</f>
        <v>0.60005639466686367</v>
      </c>
      <c r="AI761" s="1542"/>
      <c r="AJ761" s="1543"/>
      <c r="AK761"/>
      <c r="AL761"/>
      <c r="AM761"/>
      <c r="AN761"/>
      <c r="AO761"/>
      <c r="AP761" s="205"/>
      <c r="AQ761" s="205"/>
      <c r="AR761" s="205"/>
      <c r="AS761" s="205"/>
      <c r="AT761"/>
      <c r="AU761"/>
      <c r="AV761"/>
      <c r="AW761"/>
      <c r="AX761"/>
      <c r="AY761"/>
      <c r="AZ761" s="34"/>
      <c r="BA761" s="34"/>
      <c r="BB761" s="34"/>
      <c r="BC761" s="34"/>
      <c r="BE761" s="290" t="s">
        <v>899</v>
      </c>
      <c r="BF761" s="299">
        <f>SUM(BF726:BF760)</f>
        <v>182</v>
      </c>
      <c r="BG761" s="300">
        <f>SUM(BG726:BG760)</f>
        <v>0.99999999999999989</v>
      </c>
      <c r="BH761" s="300">
        <f>SUM(BH726:BH760)</f>
        <v>0.60000000000000009</v>
      </c>
      <c r="BI761"/>
      <c r="BJ761"/>
      <c r="BK761"/>
      <c r="BL761"/>
      <c r="BO761"/>
      <c r="BP761"/>
      <c r="BQ761"/>
      <c r="BR761"/>
      <c r="BS761" s="850">
        <f>SUM(BS726:BS760)</f>
        <v>182</v>
      </c>
      <c r="BT761" s="300">
        <f>SUM(BT726:BT760)</f>
        <v>0.99999999999999989</v>
      </c>
      <c r="BU761" s="300">
        <f>SUM(BU726:BU760)</f>
        <v>0.60005639466686367</v>
      </c>
      <c r="CI761" s="1528">
        <f>SUM(CI726:CJ760)</f>
        <v>23</v>
      </c>
      <c r="CJ761" s="1530"/>
      <c r="CM761" s="1528">
        <f>SUM(CM726:CN760)</f>
        <v>19</v>
      </c>
      <c r="CN761" s="1530"/>
      <c r="CP761" s="1528">
        <f>SUM(CP726:CT760)</f>
        <v>34</v>
      </c>
      <c r="CQ761" s="1529"/>
      <c r="CR761" s="1529"/>
      <c r="CS761" s="1529"/>
      <c r="CT761" s="1530"/>
      <c r="CU761" s="1534">
        <f>SUM(CU726:CY760)</f>
        <v>104</v>
      </c>
      <c r="CV761" s="1534"/>
      <c r="CW761" s="1534"/>
      <c r="CX761" s="1534"/>
      <c r="CY761" s="1534"/>
      <c r="CZ761" s="1534">
        <f>SUM(CZ726:DD760)</f>
        <v>44</v>
      </c>
      <c r="DA761" s="1534"/>
      <c r="DB761" s="1534"/>
      <c r="DC761" s="1534"/>
      <c r="DD761" s="1534"/>
      <c r="DE761" s="1534">
        <f>SUM(DE726:DI760)</f>
        <v>0</v>
      </c>
      <c r="DF761" s="1534"/>
      <c r="DG761" s="1534"/>
      <c r="DH761" s="1534"/>
      <c r="DI761" s="1534"/>
      <c r="DJ761" s="1534">
        <f>SUM(DJ726:DN760)</f>
        <v>0</v>
      </c>
      <c r="DK761" s="1534"/>
      <c r="DL761" s="1534"/>
      <c r="DM761" s="1534"/>
      <c r="DN761" s="1534"/>
      <c r="DO761" s="1534">
        <f>SUM(DO726:DS760)</f>
        <v>0</v>
      </c>
      <c r="DP761" s="1534"/>
      <c r="DQ761" s="1534"/>
      <c r="DR761" s="1534"/>
      <c r="DS761" s="1534"/>
      <c r="DT761" s="350"/>
      <c r="DU761" s="1534">
        <f>SUM(DU726:DY760)</f>
        <v>4</v>
      </c>
      <c r="DV761" s="1534"/>
      <c r="DW761" s="1534"/>
      <c r="DX761" s="1534"/>
      <c r="DY761" s="1534"/>
      <c r="DZ761" s="1534">
        <f>SUM(DZ726:ED760)</f>
        <v>9</v>
      </c>
      <c r="EA761" s="1534"/>
      <c r="EB761" s="1534"/>
      <c r="EC761" s="1534"/>
      <c r="ED761" s="1534"/>
      <c r="EE761" s="1534">
        <f>SUM(EE726:EI760)</f>
        <v>6</v>
      </c>
      <c r="EF761" s="1534"/>
      <c r="EG761" s="1534"/>
      <c r="EH761" s="1534"/>
      <c r="EI761" s="1534"/>
      <c r="EJ761" s="1534">
        <f>SUM(EJ726:EN760)</f>
        <v>0</v>
      </c>
      <c r="EK761" s="1534"/>
      <c r="EL761" s="1534"/>
      <c r="EM761" s="1534"/>
      <c r="EN761" s="1534"/>
      <c r="EO761" s="1534">
        <f>SUM(EO726:ES760)</f>
        <v>0</v>
      </c>
      <c r="EP761" s="1534"/>
      <c r="EQ761" s="1534"/>
      <c r="ER761" s="1534"/>
      <c r="ES761" s="1534"/>
      <c r="ET761" s="1534">
        <f>SUM(ET726:EX760)</f>
        <v>0</v>
      </c>
      <c r="EU761" s="1534"/>
      <c r="EV761" s="1534"/>
      <c r="EW761" s="1534"/>
      <c r="EX761" s="1534"/>
      <c r="EY761"/>
      <c r="EZ761" s="1534">
        <f>SUM(EZ726:FD760)</f>
        <v>6736</v>
      </c>
      <c r="FA761" s="1534"/>
      <c r="FB761" s="1534"/>
      <c r="FC761" s="1534"/>
      <c r="FD761" s="1534"/>
      <c r="FE761" s="1534">
        <f>SUM(FE726:FI760)</f>
        <v>7217</v>
      </c>
      <c r="FF761" s="1534"/>
      <c r="FG761" s="1534"/>
      <c r="FH761" s="1534"/>
      <c r="FI761" s="1534"/>
      <c r="FJ761" s="1534">
        <f>SUM(FJ726:FN760)</f>
        <v>8661</v>
      </c>
      <c r="FK761" s="1534"/>
      <c r="FL761" s="1534"/>
      <c r="FM761" s="1534"/>
      <c r="FN761" s="1534"/>
      <c r="FO761" s="1534">
        <f>SUM(FO726:FS760)</f>
        <v>0</v>
      </c>
      <c r="FP761" s="1534"/>
      <c r="FQ761" s="1534"/>
      <c r="FR761" s="1534"/>
      <c r="FS761" s="1534"/>
      <c r="FT761" s="1534">
        <f>SUM(FT726:FX760)</f>
        <v>0</v>
      </c>
      <c r="FU761" s="1534"/>
      <c r="FV761" s="1534"/>
      <c r="FW761" s="1534"/>
      <c r="FX761" s="1534"/>
      <c r="FY761" s="1534">
        <f>SUM(FY726:GC760)</f>
        <v>0</v>
      </c>
      <c r="FZ761" s="1534"/>
      <c r="GA761" s="1534"/>
      <c r="GB761" s="1534"/>
      <c r="GC761" s="1534"/>
    </row>
    <row r="762" spans="1:185" s="3" customFormat="1" ht="12.9" customHeight="1">
      <c r="A762"/>
      <c r="B762" s="1729" t="s">
        <v>1861</v>
      </c>
      <c r="C762" s="1729"/>
      <c r="D762" s="1729"/>
      <c r="E762" s="1729"/>
      <c r="F762" s="1729"/>
      <c r="G762" s="1729"/>
      <c r="H762" s="1729"/>
      <c r="I762" s="1729"/>
      <c r="J762" s="1729"/>
      <c r="K762" s="1729"/>
      <c r="L762" s="1729"/>
      <c r="M762" s="1729"/>
      <c r="N762" s="1729"/>
      <c r="O762" s="1729"/>
      <c r="P762" s="1729"/>
      <c r="Q762" s="1729"/>
      <c r="R762" s="1729"/>
      <c r="S762" s="1729"/>
      <c r="T762" s="1729"/>
      <c r="U762" s="1729"/>
      <c r="V762" s="1729"/>
      <c r="W762" s="1729"/>
      <c r="X762" s="1729"/>
      <c r="Y762" s="1729"/>
      <c r="Z762" s="1729"/>
      <c r="AA762" s="1729"/>
      <c r="AB762" s="1729"/>
      <c r="AC762" s="1729"/>
      <c r="AD762" s="1729"/>
      <c r="AE762" s="1729"/>
      <c r="AF762" s="1729"/>
      <c r="AG762" s="1729"/>
      <c r="AH762" s="1729"/>
      <c r="AI762"/>
      <c r="AJ762"/>
      <c r="AK762"/>
      <c r="AT762"/>
      <c r="AU762"/>
      <c r="AV762"/>
      <c r="AW762"/>
      <c r="AX762"/>
      <c r="AY762"/>
      <c r="CD762"/>
      <c r="DN762" s="56" t="s">
        <v>1829</v>
      </c>
      <c r="DO762" s="1528">
        <f>CP761+CU761+CZ761+DE761+DJ761+DO761</f>
        <v>182</v>
      </c>
      <c r="DP762" s="1529"/>
      <c r="DQ762" s="1529"/>
      <c r="DR762" s="1529"/>
      <c r="DS762" s="153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 customHeight="1">
      <c r="B763" s="1729"/>
      <c r="C763" s="1729"/>
      <c r="D763" s="1729"/>
      <c r="E763" s="1729"/>
      <c r="F763" s="1729"/>
      <c r="G763" s="1729"/>
      <c r="H763" s="1729"/>
      <c r="I763" s="1729"/>
      <c r="J763" s="1729"/>
      <c r="K763" s="1729"/>
      <c r="L763" s="1729"/>
      <c r="M763" s="1729"/>
      <c r="N763" s="1729"/>
      <c r="O763" s="1729"/>
      <c r="P763" s="1729"/>
      <c r="Q763" s="1729"/>
      <c r="R763" s="1729"/>
      <c r="S763" s="1729"/>
      <c r="T763" s="1729"/>
      <c r="U763" s="1729"/>
      <c r="V763" s="1729"/>
      <c r="W763" s="1729"/>
      <c r="X763" s="1729"/>
      <c r="Y763" s="1729"/>
      <c r="Z763" s="1729"/>
      <c r="AA763" s="1729"/>
      <c r="AB763" s="1729"/>
      <c r="AC763" s="1729"/>
      <c r="AD763" s="1729"/>
      <c r="AE763" s="1729"/>
      <c r="AF763" s="1729"/>
      <c r="AG763" s="1729"/>
      <c r="AH763" s="172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34</v>
      </c>
      <c r="CU763" s="3"/>
      <c r="CV763" s="3"/>
      <c r="CW763" s="3"/>
      <c r="CX763" s="3"/>
      <c r="CY763" s="852">
        <f>CU761*1</f>
        <v>104</v>
      </c>
      <c r="CZ763" s="3"/>
      <c r="DA763" s="3"/>
      <c r="DB763" s="3"/>
      <c r="DC763" s="3"/>
      <c r="DD763" s="852">
        <f>CZ761*2</f>
        <v>88</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226</v>
      </c>
      <c r="DV763" s="57" t="s">
        <v>1831</v>
      </c>
      <c r="DW763" s="3"/>
      <c r="DX763" s="3"/>
      <c r="DY763" s="3"/>
      <c r="DZ763" s="3"/>
      <c r="EA763" s="3"/>
      <c r="EB763" s="3"/>
      <c r="EC763" s="3"/>
      <c r="ED763" s="3"/>
      <c r="EE763" s="3"/>
      <c r="EF763" s="3"/>
      <c r="EG763" s="3"/>
      <c r="EH763" s="3"/>
    </row>
    <row r="764" spans="1:185" ht="12.9" customHeight="1">
      <c r="A764" s="3"/>
      <c r="B764" s="3"/>
      <c r="C764" s="118" t="s">
        <v>1859</v>
      </c>
      <c r="D764" s="1022"/>
      <c r="E764" s="1022"/>
      <c r="F764" s="1022"/>
      <c r="G764" s="1023"/>
      <c r="H764" s="1023"/>
      <c r="I764" s="1023"/>
      <c r="J764" s="1023"/>
      <c r="K764" s="1022"/>
      <c r="L764" s="1022"/>
      <c r="M764" s="1022"/>
      <c r="N764" s="1022"/>
      <c r="O764" s="1534">
        <f>DU763</f>
        <v>226</v>
      </c>
      <c r="P764" s="1534"/>
      <c r="Q764" s="1534"/>
      <c r="R764" s="1534"/>
      <c r="S764" s="960"/>
      <c r="T764" s="960"/>
      <c r="U764" s="118" t="s">
        <v>1860</v>
      </c>
      <c r="V764" s="1022"/>
      <c r="W764" s="1022"/>
      <c r="X764" s="1022"/>
      <c r="Y764" s="1023"/>
      <c r="Z764" s="1023"/>
      <c r="AA764" s="1023"/>
      <c r="AB764" s="1023"/>
      <c r="AC764" s="1022"/>
      <c r="AD764" s="1022"/>
      <c r="AE764" s="1022"/>
      <c r="AF764" s="1022"/>
      <c r="AG764" s="1420"/>
      <c r="AH764" s="1420"/>
      <c r="AI764" s="1420"/>
      <c r="AJ764" s="142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382" t="str">
        <f>IF(G761&lt;&gt;AG449,"! Total Low-Income Units in the Unit Mix Table above does not match the number of Total Low-Income Units on row #"&amp;TEXT(ROW(D449),"#"),"")</f>
        <v/>
      </c>
      <c r="D765" s="1382"/>
      <c r="E765" s="1382"/>
      <c r="F765" s="1382"/>
      <c r="G765" s="1382"/>
      <c r="H765" s="1382"/>
      <c r="I765" s="1382"/>
      <c r="J765" s="1382"/>
      <c r="K765" s="1382"/>
      <c r="L765" s="1382"/>
      <c r="M765" s="1382"/>
      <c r="N765" s="1382"/>
      <c r="O765" s="1382"/>
      <c r="P765" s="1382"/>
      <c r="Q765" s="1382"/>
      <c r="R765" s="1382"/>
      <c r="S765" s="1382"/>
      <c r="T765" s="1382"/>
      <c r="U765" s="1382"/>
      <c r="V765" s="1382"/>
      <c r="W765" s="1382"/>
      <c r="X765" s="1382"/>
      <c r="Y765" s="1382"/>
      <c r="Z765" s="1382"/>
      <c r="AA765" s="1382"/>
      <c r="AB765" s="1382"/>
      <c r="AC765" s="1382"/>
      <c r="AD765" s="1382"/>
      <c r="AE765" s="1382"/>
      <c r="AF765" s="1382"/>
      <c r="AG765" s="1382"/>
      <c r="AH765" s="1382"/>
      <c r="AI765" s="1382"/>
      <c r="AJ765" s="1382"/>
      <c r="AK765" s="1382"/>
      <c r="AL765" s="1382"/>
      <c r="AM765" s="138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382"/>
      <c r="D766" s="1382"/>
      <c r="E766" s="1382"/>
      <c r="F766" s="1382"/>
      <c r="G766" s="1382"/>
      <c r="H766" s="1382"/>
      <c r="I766" s="1382"/>
      <c r="J766" s="1382"/>
      <c r="K766" s="1382"/>
      <c r="L766" s="1382"/>
      <c r="M766" s="1382"/>
      <c r="N766" s="1382"/>
      <c r="O766" s="1382"/>
      <c r="P766" s="1382"/>
      <c r="Q766" s="1382"/>
      <c r="R766" s="1382"/>
      <c r="S766" s="1382"/>
      <c r="T766" s="1382"/>
      <c r="U766" s="1382"/>
      <c r="V766" s="1382"/>
      <c r="W766" s="1382"/>
      <c r="X766" s="1382"/>
      <c r="Y766" s="1382"/>
      <c r="Z766" s="1382"/>
      <c r="AA766" s="1382"/>
      <c r="AB766" s="1382"/>
      <c r="AC766" s="1382"/>
      <c r="AD766" s="1382"/>
      <c r="AE766" s="1382"/>
      <c r="AF766" s="1382"/>
      <c r="AG766" s="1382"/>
      <c r="AH766" s="1382"/>
      <c r="AI766" s="1382"/>
      <c r="AJ766" s="1382"/>
      <c r="AK766" s="1382"/>
      <c r="AL766" s="1382"/>
      <c r="AM766" s="138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23" t="s">
        <v>591</v>
      </c>
      <c r="AE767" s="1623"/>
      <c r="AF767" s="1623"/>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325" t="s">
        <v>2039</v>
      </c>
      <c r="D771" s="1325"/>
      <c r="E771" s="1325"/>
      <c r="F771" s="1325"/>
      <c r="G771" s="1325"/>
      <c r="H771" s="1325"/>
      <c r="I771" s="1325"/>
      <c r="J771" s="1325"/>
      <c r="K771" s="1325"/>
      <c r="L771" s="1325"/>
      <c r="M771" s="1325"/>
      <c r="N771" s="1325"/>
      <c r="O771" s="1325"/>
      <c r="P771" s="1325"/>
      <c r="Q771" s="1325"/>
      <c r="R771" s="1325"/>
      <c r="S771" s="1325"/>
      <c r="T771" s="1325"/>
      <c r="U771" s="1325"/>
      <c r="V771" s="1325"/>
      <c r="W771" s="1325"/>
      <c r="X771" s="1325"/>
      <c r="Y771" s="1325"/>
      <c r="Z771" s="1325"/>
      <c r="AA771" s="1325"/>
      <c r="AB771" s="1325"/>
      <c r="AC771" s="1325"/>
      <c r="AD771" s="1325"/>
      <c r="AE771" s="1325"/>
      <c r="AF771" s="1325"/>
      <c r="AG771" s="1325"/>
      <c r="AH771" s="1325"/>
      <c r="AI771" s="1325"/>
      <c r="AJ771" s="1325"/>
      <c r="AK771" s="1325"/>
      <c r="AL771" s="1325"/>
      <c r="AM771" s="1325"/>
      <c r="AN771" s="1325"/>
      <c r="AO771" s="1325"/>
      <c r="AP771" s="1325"/>
      <c r="AQ771" s="1325"/>
      <c r="AR771" s="132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325"/>
      <c r="D772" s="1325"/>
      <c r="E772" s="1325"/>
      <c r="F772" s="1325"/>
      <c r="G772" s="1325"/>
      <c r="H772" s="1325"/>
      <c r="I772" s="1325"/>
      <c r="J772" s="1325"/>
      <c r="K772" s="1325"/>
      <c r="L772" s="1325"/>
      <c r="M772" s="1325"/>
      <c r="N772" s="1325"/>
      <c r="O772" s="1325"/>
      <c r="P772" s="1325"/>
      <c r="Q772" s="1325"/>
      <c r="R772" s="1325"/>
      <c r="S772" s="1325"/>
      <c r="T772" s="1325"/>
      <c r="U772" s="1325"/>
      <c r="V772" s="1325"/>
      <c r="W772" s="1325"/>
      <c r="X772" s="1325"/>
      <c r="Y772" s="1325"/>
      <c r="Z772" s="1325"/>
      <c r="AA772" s="1325"/>
      <c r="AB772" s="1325"/>
      <c r="AC772" s="1325"/>
      <c r="AD772" s="1325"/>
      <c r="AE772" s="1325"/>
      <c r="AF772" s="1325"/>
      <c r="AG772" s="1325"/>
      <c r="AH772" s="1325"/>
      <c r="AI772" s="1325"/>
      <c r="AJ772" s="1325"/>
      <c r="AK772" s="1325"/>
      <c r="AL772" s="1325"/>
      <c r="AM772" s="1325"/>
      <c r="AN772" s="1325"/>
      <c r="AO772" s="1325"/>
      <c r="AP772" s="1325"/>
      <c r="AQ772" s="1325"/>
      <c r="AR772" s="132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325"/>
      <c r="D773" s="1325"/>
      <c r="E773" s="1325"/>
      <c r="F773" s="1325"/>
      <c r="G773" s="1325"/>
      <c r="H773" s="1325"/>
      <c r="I773" s="1325"/>
      <c r="J773" s="1325"/>
      <c r="K773" s="1325"/>
      <c r="L773" s="1325"/>
      <c r="M773" s="1325"/>
      <c r="N773" s="1325"/>
      <c r="O773" s="1325"/>
      <c r="P773" s="1325"/>
      <c r="Q773" s="1325"/>
      <c r="R773" s="1325"/>
      <c r="S773" s="1325"/>
      <c r="T773" s="1325"/>
      <c r="U773" s="1325"/>
      <c r="V773" s="1325"/>
      <c r="W773" s="1325"/>
      <c r="X773" s="1325"/>
      <c r="Y773" s="1325"/>
      <c r="Z773" s="1325"/>
      <c r="AA773" s="1325"/>
      <c r="AB773" s="1325"/>
      <c r="AC773" s="1325"/>
      <c r="AD773" s="1325"/>
      <c r="AE773" s="1325"/>
      <c r="AF773" s="1325"/>
      <c r="AG773" s="1325"/>
      <c r="AH773" s="1325"/>
      <c r="AI773" s="1325"/>
      <c r="AJ773" s="1325"/>
      <c r="AK773" s="1325"/>
      <c r="AL773" s="1325"/>
      <c r="AM773" s="1325"/>
      <c r="AN773" s="1325"/>
      <c r="AO773" s="1325"/>
      <c r="AP773" s="1325"/>
      <c r="AQ773" s="1325"/>
      <c r="AR773" s="132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325" t="s">
        <v>2040</v>
      </c>
      <c r="D774" s="1325"/>
      <c r="E774" s="1325"/>
      <c r="F774" s="1325"/>
      <c r="G774" s="1325"/>
      <c r="H774" s="1325"/>
      <c r="I774" s="1325"/>
      <c r="J774" s="1325"/>
      <c r="K774" s="1325"/>
      <c r="L774" s="1325"/>
      <c r="M774" s="1325"/>
      <c r="N774" s="1325"/>
      <c r="O774" s="1325"/>
      <c r="P774" s="1325"/>
      <c r="Q774" s="1325"/>
      <c r="R774" s="1325"/>
      <c r="S774" s="1325"/>
      <c r="T774" s="1325"/>
      <c r="U774" s="1325"/>
      <c r="V774" s="1325"/>
      <c r="W774" s="1325"/>
      <c r="X774" s="1325"/>
      <c r="Y774" s="1325"/>
      <c r="Z774" s="1325"/>
      <c r="AA774" s="1325"/>
      <c r="AB774" s="1325"/>
      <c r="AC774" s="1325"/>
      <c r="AD774" s="1325"/>
      <c r="AE774" s="1325"/>
      <c r="AF774" s="1325"/>
      <c r="AG774" s="1325"/>
      <c r="AH774" s="1325"/>
      <c r="AI774" s="1325"/>
      <c r="AJ774" s="1325"/>
      <c r="AK774" s="1325"/>
      <c r="AL774" s="1325"/>
      <c r="AM774" s="1325"/>
      <c r="AN774" s="1325"/>
      <c r="AO774" s="1325"/>
      <c r="AP774" s="1325"/>
      <c r="AQ774" s="1325"/>
      <c r="AR774" s="132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325"/>
      <c r="D775" s="1325"/>
      <c r="E775" s="1325"/>
      <c r="F775" s="1325"/>
      <c r="G775" s="1325"/>
      <c r="H775" s="1325"/>
      <c r="I775" s="1325"/>
      <c r="J775" s="1325"/>
      <c r="K775" s="1325"/>
      <c r="L775" s="1325"/>
      <c r="M775" s="1325"/>
      <c r="N775" s="1325"/>
      <c r="O775" s="1325"/>
      <c r="P775" s="1325"/>
      <c r="Q775" s="1325"/>
      <c r="R775" s="1325"/>
      <c r="S775" s="1325"/>
      <c r="T775" s="1325"/>
      <c r="U775" s="1325"/>
      <c r="V775" s="1325"/>
      <c r="W775" s="1325"/>
      <c r="X775" s="1325"/>
      <c r="Y775" s="1325"/>
      <c r="Z775" s="1325"/>
      <c r="AA775" s="1325"/>
      <c r="AB775" s="1325"/>
      <c r="AC775" s="1325"/>
      <c r="AD775" s="1325"/>
      <c r="AE775" s="1325"/>
      <c r="AF775" s="1325"/>
      <c r="AG775" s="1325"/>
      <c r="AH775" s="1325"/>
      <c r="AI775" s="1325"/>
      <c r="AJ775" s="1325"/>
      <c r="AK775" s="1325"/>
      <c r="AL775" s="1325"/>
      <c r="AM775" s="1325"/>
      <c r="AN775" s="1325"/>
      <c r="AO775" s="1325"/>
      <c r="AP775" s="1325"/>
      <c r="AQ775" s="1325"/>
      <c r="AR775" s="132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325"/>
      <c r="D776" s="1325"/>
      <c r="E776" s="1325"/>
      <c r="F776" s="1325"/>
      <c r="G776" s="1325"/>
      <c r="H776" s="1325"/>
      <c r="I776" s="1325"/>
      <c r="J776" s="1325"/>
      <c r="K776" s="1325"/>
      <c r="L776" s="1325"/>
      <c r="M776" s="1325"/>
      <c r="N776" s="1325"/>
      <c r="O776" s="1325"/>
      <c r="P776" s="1325"/>
      <c r="Q776" s="1325"/>
      <c r="R776" s="1325"/>
      <c r="S776" s="1325"/>
      <c r="T776" s="1325"/>
      <c r="U776" s="1325"/>
      <c r="V776" s="1325"/>
      <c r="W776" s="1325"/>
      <c r="X776" s="1325"/>
      <c r="Y776" s="1325"/>
      <c r="Z776" s="1325"/>
      <c r="AA776" s="1325"/>
      <c r="AB776" s="1325"/>
      <c r="AC776" s="1325"/>
      <c r="AD776" s="1325"/>
      <c r="AE776" s="1325"/>
      <c r="AF776" s="1325"/>
      <c r="AG776" s="1325"/>
      <c r="AH776" s="1325"/>
      <c r="AI776" s="1325"/>
      <c r="AJ776" s="1325"/>
      <c r="AK776" s="1325"/>
      <c r="AL776" s="1325"/>
      <c r="AM776" s="1325"/>
      <c r="AN776" s="1325"/>
      <c r="AO776" s="1325"/>
      <c r="AP776" s="1325"/>
      <c r="AQ776" s="1325"/>
      <c r="AR776" s="132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622" t="s">
        <v>389</v>
      </c>
      <c r="K777" s="1516"/>
      <c r="L777" s="1516"/>
      <c r="M777" s="1516"/>
      <c r="N777" s="1517"/>
      <c r="O777" s="1614" t="s">
        <v>285</v>
      </c>
      <c r="P777" s="1614"/>
      <c r="Q777" s="1614"/>
      <c r="R777" s="1614"/>
      <c r="S777" s="1614"/>
      <c r="T777" s="1545" t="s">
        <v>1667</v>
      </c>
      <c r="U777" s="1546"/>
      <c r="V777" s="1546"/>
      <c r="W777" s="1547"/>
      <c r="X777" s="1622" t="s">
        <v>447</v>
      </c>
      <c r="Y777" s="1516"/>
      <c r="Z777" s="1516"/>
      <c r="AA777" s="1516"/>
      <c r="AB777" s="1517"/>
      <c r="AC777" s="1622" t="s">
        <v>286</v>
      </c>
      <c r="AD777" s="1516"/>
      <c r="AE777" s="1516"/>
      <c r="AF777" s="1516"/>
      <c r="AG777" s="151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518"/>
      <c r="K778" s="1519"/>
      <c r="L778" s="1519"/>
      <c r="M778" s="1519"/>
      <c r="N778" s="1520"/>
      <c r="O778" s="1614"/>
      <c r="P778" s="1614"/>
      <c r="Q778" s="1614"/>
      <c r="R778" s="1614"/>
      <c r="S778" s="1614"/>
      <c r="T778" s="1548"/>
      <c r="U778" s="1549"/>
      <c r="V778" s="1549"/>
      <c r="W778" s="1550"/>
      <c r="X778" s="1518"/>
      <c r="Y778" s="1519"/>
      <c r="Z778" s="1519"/>
      <c r="AA778" s="1519"/>
      <c r="AB778" s="1520"/>
      <c r="AC778" s="1518"/>
      <c r="AD778" s="1519"/>
      <c r="AE778" s="1519"/>
      <c r="AF778" s="1519"/>
      <c r="AG778" s="152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518"/>
      <c r="K779" s="1519"/>
      <c r="L779" s="1519"/>
      <c r="M779" s="1519"/>
      <c r="N779" s="1520"/>
      <c r="O779" s="1614"/>
      <c r="P779" s="1614"/>
      <c r="Q779" s="1614"/>
      <c r="R779" s="1614"/>
      <c r="S779" s="1614"/>
      <c r="T779" s="1548"/>
      <c r="U779" s="1549"/>
      <c r="V779" s="1549"/>
      <c r="W779" s="1550"/>
      <c r="X779" s="1518"/>
      <c r="Y779" s="1519"/>
      <c r="Z779" s="1519"/>
      <c r="AA779" s="1519"/>
      <c r="AB779" s="1520"/>
      <c r="AC779" s="1518"/>
      <c r="AD779" s="1519"/>
      <c r="AE779" s="1519"/>
      <c r="AF779" s="1519"/>
      <c r="AG779" s="152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521"/>
      <c r="K780" s="1522"/>
      <c r="L780" s="1522"/>
      <c r="M780" s="1522"/>
      <c r="N780" s="1523"/>
      <c r="O780" s="1614"/>
      <c r="P780" s="1614"/>
      <c r="Q780" s="1614"/>
      <c r="R780" s="1614"/>
      <c r="S780" s="1614"/>
      <c r="T780" s="1551"/>
      <c r="U780" s="1552"/>
      <c r="V780" s="1552"/>
      <c r="W780" s="1553"/>
      <c r="X780" s="1521"/>
      <c r="Y780" s="1522"/>
      <c r="Z780" s="1522"/>
      <c r="AA780" s="1522"/>
      <c r="AB780" s="1523"/>
      <c r="AC780" s="1521"/>
      <c r="AD780" s="1522"/>
      <c r="AE780" s="1522"/>
      <c r="AF780" s="1522"/>
      <c r="AG780" s="152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360" t="s">
        <v>163</v>
      </c>
      <c r="K781" s="1361"/>
      <c r="L781" s="1361"/>
      <c r="M781" s="1361"/>
      <c r="N781" s="1362"/>
      <c r="O781" s="1544">
        <v>2</v>
      </c>
      <c r="P781" s="1544"/>
      <c r="Q781" s="1544"/>
      <c r="R781" s="1544"/>
      <c r="S781" s="1544"/>
      <c r="T781" s="1398">
        <v>866</v>
      </c>
      <c r="U781" s="1399"/>
      <c r="V781" s="1399"/>
      <c r="W781" s="1400"/>
      <c r="X781" s="1392">
        <v>3150</v>
      </c>
      <c r="Y781" s="1393"/>
      <c r="Z781" s="1393"/>
      <c r="AA781" s="1393"/>
      <c r="AB781" s="1394"/>
      <c r="AC781" s="1421">
        <f>X781*O781</f>
        <v>6300</v>
      </c>
      <c r="AD781" s="1422"/>
      <c r="AE781" s="1422"/>
      <c r="AF781" s="1422"/>
      <c r="AG781" s="1423"/>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25">
        <f>IF(J781="SRO/Studio",O781,0)</f>
        <v>0</v>
      </c>
      <c r="CQ781" s="1526"/>
      <c r="CR781" s="1526"/>
      <c r="CS781" s="1526"/>
      <c r="CT781" s="1527"/>
      <c r="CU781" s="1524">
        <f>IF(J781="1 Bedroom",O781,0)</f>
        <v>0</v>
      </c>
      <c r="CV781" s="1524"/>
      <c r="CW781" s="1524"/>
      <c r="CX781" s="1524"/>
      <c r="CY781" s="1524"/>
      <c r="CZ781" s="1524">
        <f>IF(J781="2 Bedrooms",O781,0)</f>
        <v>2</v>
      </c>
      <c r="DA781" s="1524"/>
      <c r="DB781" s="1524"/>
      <c r="DC781" s="1524"/>
      <c r="DD781" s="1524"/>
      <c r="DE781" s="1524">
        <f>IF(J781="3 Bedrooms",O781,0)</f>
        <v>0</v>
      </c>
      <c r="DF781" s="1524"/>
      <c r="DG781" s="1524"/>
      <c r="DH781" s="1524"/>
      <c r="DI781" s="1524"/>
      <c r="DJ781" s="1524">
        <f>IF(J781="4 Bedrooms",O781,0)</f>
        <v>0</v>
      </c>
      <c r="DK781" s="1524"/>
      <c r="DL781" s="1524"/>
      <c r="DM781" s="1524"/>
      <c r="DN781" s="1524"/>
      <c r="DO781" s="1524">
        <f>IF(J781="5 Bedrooms",O781,0)</f>
        <v>0</v>
      </c>
      <c r="DP781" s="1524"/>
      <c r="DQ781" s="1524"/>
      <c r="DR781" s="1524"/>
      <c r="DS781" s="1524"/>
      <c r="DT781" s="6"/>
      <c r="DU781" s="3"/>
      <c r="DV781" s="3"/>
    </row>
    <row r="782" spans="1:159" ht="12.9" customHeight="1">
      <c r="J782" s="1360"/>
      <c r="K782" s="1361"/>
      <c r="L782" s="1361"/>
      <c r="M782" s="1361"/>
      <c r="N782" s="1362"/>
      <c r="O782" s="1544"/>
      <c r="P782" s="1544"/>
      <c r="Q782" s="1544"/>
      <c r="R782" s="1544"/>
      <c r="S782" s="1544"/>
      <c r="T782" s="1398"/>
      <c r="U782" s="1399"/>
      <c r="V782" s="1399"/>
      <c r="W782" s="1400"/>
      <c r="X782" s="1392"/>
      <c r="Y782" s="1393"/>
      <c r="Z782" s="1393"/>
      <c r="AA782" s="1393"/>
      <c r="AB782" s="1394"/>
      <c r="AC782" s="1421">
        <f>X782*O782</f>
        <v>0</v>
      </c>
      <c r="AD782" s="1422"/>
      <c r="AE782" s="1422"/>
      <c r="AF782" s="1422"/>
      <c r="AG782" s="1423"/>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25">
        <f>IF(J782="SRO/Studio",O782,0)</f>
        <v>0</v>
      </c>
      <c r="CQ782" s="1526"/>
      <c r="CR782" s="1526"/>
      <c r="CS782" s="1526"/>
      <c r="CT782" s="1527"/>
      <c r="CU782" s="1524">
        <f>IF(J782="1 Bedroom",O782,0)</f>
        <v>0</v>
      </c>
      <c r="CV782" s="1524"/>
      <c r="CW782" s="1524"/>
      <c r="CX782" s="1524"/>
      <c r="CY782" s="1524"/>
      <c r="CZ782" s="1524">
        <f>IF(J782="2 Bedrooms",O782,0)</f>
        <v>0</v>
      </c>
      <c r="DA782" s="1524"/>
      <c r="DB782" s="1524"/>
      <c r="DC782" s="1524"/>
      <c r="DD782" s="1524"/>
      <c r="DE782" s="1524">
        <f>IF(J782="3 Bedrooms",O782,0)</f>
        <v>0</v>
      </c>
      <c r="DF782" s="1524"/>
      <c r="DG782" s="1524"/>
      <c r="DH782" s="1524"/>
      <c r="DI782" s="1524"/>
      <c r="DJ782" s="1524">
        <f>IF(J782="4 Bedrooms",O782,0)</f>
        <v>0</v>
      </c>
      <c r="DK782" s="1524"/>
      <c r="DL782" s="1524"/>
      <c r="DM782" s="1524"/>
      <c r="DN782" s="1524"/>
      <c r="DO782" s="1524">
        <f>IF(J782="5 Bedrooms",O782,0)</f>
        <v>0</v>
      </c>
      <c r="DP782" s="1524"/>
      <c r="DQ782" s="1524"/>
      <c r="DR782" s="1524"/>
      <c r="DS782" s="1524"/>
      <c r="DT782" s="6"/>
      <c r="DU782" s="3"/>
      <c r="DV782" s="3"/>
    </row>
    <row r="783" spans="1:159" ht="12.9" customHeight="1">
      <c r="J783" s="1360"/>
      <c r="K783" s="1361"/>
      <c r="L783" s="1361"/>
      <c r="M783" s="1361"/>
      <c r="N783" s="1362"/>
      <c r="O783" s="1544"/>
      <c r="P783" s="1544"/>
      <c r="Q783" s="1544"/>
      <c r="R783" s="1544"/>
      <c r="S783" s="1544"/>
      <c r="T783" s="1398"/>
      <c r="U783" s="1399"/>
      <c r="V783" s="1399"/>
      <c r="W783" s="1400"/>
      <c r="X783" s="1392"/>
      <c r="Y783" s="1393"/>
      <c r="Z783" s="1393"/>
      <c r="AA783" s="1393"/>
      <c r="AB783" s="1394"/>
      <c r="AC783" s="1421">
        <f>X783*O783</f>
        <v>0</v>
      </c>
      <c r="AD783" s="1422"/>
      <c r="AE783" s="1422"/>
      <c r="AF783" s="1422"/>
      <c r="AG783" s="1423"/>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25">
        <f>IF(J783="SRO/Studio",O783,0)</f>
        <v>0</v>
      </c>
      <c r="CQ783" s="1526"/>
      <c r="CR783" s="1526"/>
      <c r="CS783" s="1526"/>
      <c r="CT783" s="1527"/>
      <c r="CU783" s="1524">
        <f>IF(J783="1 Bedroom",O783,0)</f>
        <v>0</v>
      </c>
      <c r="CV783" s="1524"/>
      <c r="CW783" s="1524"/>
      <c r="CX783" s="1524"/>
      <c r="CY783" s="1524"/>
      <c r="CZ783" s="1524">
        <f>IF(J783="2 Bedrooms",O783,0)</f>
        <v>0</v>
      </c>
      <c r="DA783" s="1524"/>
      <c r="DB783" s="1524"/>
      <c r="DC783" s="1524"/>
      <c r="DD783" s="1524"/>
      <c r="DE783" s="1524">
        <f>IF(J783="3 Bedrooms",O783,0)</f>
        <v>0</v>
      </c>
      <c r="DF783" s="1524"/>
      <c r="DG783" s="1524"/>
      <c r="DH783" s="1524"/>
      <c r="DI783" s="1524"/>
      <c r="DJ783" s="1524">
        <f>IF(J783="4 Bedrooms",O783,0)</f>
        <v>0</v>
      </c>
      <c r="DK783" s="1524"/>
      <c r="DL783" s="1524"/>
      <c r="DM783" s="1524"/>
      <c r="DN783" s="1524"/>
      <c r="DO783" s="1524">
        <f>IF(J783="5 Bedrooms",O783,0)</f>
        <v>0</v>
      </c>
      <c r="DP783" s="1524"/>
      <c r="DQ783" s="1524"/>
      <c r="DR783" s="1524"/>
      <c r="DS783" s="1524"/>
      <c r="DT783" s="1002"/>
    </row>
    <row r="784" spans="1:159" ht="12.9" customHeight="1">
      <c r="J784" s="1360"/>
      <c r="K784" s="1361"/>
      <c r="L784" s="1361"/>
      <c r="M784" s="1361"/>
      <c r="N784" s="1362"/>
      <c r="O784" s="1544"/>
      <c r="P784" s="1544"/>
      <c r="Q784" s="1544"/>
      <c r="R784" s="1544"/>
      <c r="S784" s="1544"/>
      <c r="T784" s="1398"/>
      <c r="U784" s="1399"/>
      <c r="V784" s="1399"/>
      <c r="W784" s="1400"/>
      <c r="X784" s="1392"/>
      <c r="Y784" s="1393"/>
      <c r="Z784" s="1393"/>
      <c r="AA784" s="1393"/>
      <c r="AB784" s="1394"/>
      <c r="AC784" s="1421">
        <f>X784*O784</f>
        <v>0</v>
      </c>
      <c r="AD784" s="1422"/>
      <c r="AE784" s="1422"/>
      <c r="AF784" s="1422"/>
      <c r="AG784" s="1423"/>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25">
        <f>IF(J784="SRO/Studio",O784,0)</f>
        <v>0</v>
      </c>
      <c r="CQ784" s="1526"/>
      <c r="CR784" s="1526"/>
      <c r="CS784" s="1526"/>
      <c r="CT784" s="1527"/>
      <c r="CU784" s="1524">
        <f>IF(J784="1 Bedroom",O784,0)</f>
        <v>0</v>
      </c>
      <c r="CV784" s="1524"/>
      <c r="CW784" s="1524"/>
      <c r="CX784" s="1524"/>
      <c r="CY784" s="1524"/>
      <c r="CZ784" s="1524">
        <f>IF(J784="2 Bedrooms",O784,0)</f>
        <v>0</v>
      </c>
      <c r="DA784" s="1524"/>
      <c r="DB784" s="1524"/>
      <c r="DC784" s="1524"/>
      <c r="DD784" s="1524"/>
      <c r="DE784" s="1524">
        <f>IF(J784="3 Bedrooms",O784,0)</f>
        <v>0</v>
      </c>
      <c r="DF784" s="1524"/>
      <c r="DG784" s="1524"/>
      <c r="DH784" s="1524"/>
      <c r="DI784" s="1524"/>
      <c r="DJ784" s="1524">
        <f>IF(J784="4 Bedrooms",O784,0)</f>
        <v>0</v>
      </c>
      <c r="DK784" s="1524"/>
      <c r="DL784" s="1524"/>
      <c r="DM784" s="1524"/>
      <c r="DN784" s="1524"/>
      <c r="DO784" s="1524">
        <f>IF(J784="5 Bedrooms",O784,0)</f>
        <v>0</v>
      </c>
      <c r="DP784" s="1524"/>
      <c r="DQ784" s="1524"/>
      <c r="DR784" s="1524"/>
      <c r="DS784" s="1524"/>
    </row>
    <row r="785" spans="1:154" ht="12.9" customHeight="1">
      <c r="J785" s="1512" t="s">
        <v>125</v>
      </c>
      <c r="K785" s="1513"/>
      <c r="L785" s="1513"/>
      <c r="M785" s="1513"/>
      <c r="N785" s="1514"/>
      <c r="O785" s="1531">
        <f>SUM(O781:S784)</f>
        <v>2</v>
      </c>
      <c r="P785" s="1532"/>
      <c r="Q785" s="1532"/>
      <c r="R785" s="1532"/>
      <c r="S785" s="1533"/>
      <c r="X785" s="1512" t="s">
        <v>124</v>
      </c>
      <c r="Y785" s="1513"/>
      <c r="Z785" s="1513"/>
      <c r="AA785" s="1513"/>
      <c r="AB785" s="1514"/>
      <c r="AC785" s="1421">
        <f>SUM(AC781:AG784)</f>
        <v>6300</v>
      </c>
      <c r="AD785" s="1422"/>
      <c r="AE785" s="1422"/>
      <c r="AF785" s="1422"/>
      <c r="AG785" s="1423"/>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31">
        <f>SUM(CP781:CT784)</f>
        <v>0</v>
      </c>
      <c r="CQ785" s="1532"/>
      <c r="CR785" s="1532"/>
      <c r="CS785" s="1532"/>
      <c r="CT785" s="1533"/>
      <c r="CU785" s="1647">
        <f>SUM(CU781:CY784)</f>
        <v>0</v>
      </c>
      <c r="CV785" s="1648"/>
      <c r="CW785" s="1648"/>
      <c r="CX785" s="1648"/>
      <c r="CY785" s="1649"/>
      <c r="CZ785" s="1647">
        <f>SUM(CZ781:DD784)</f>
        <v>2</v>
      </c>
      <c r="DA785" s="1648"/>
      <c r="DB785" s="1648"/>
      <c r="DC785" s="1648"/>
      <c r="DD785" s="1649"/>
      <c r="DE785" s="1647">
        <f>SUM(DE781:DI784)</f>
        <v>0</v>
      </c>
      <c r="DF785" s="1648"/>
      <c r="DG785" s="1648"/>
      <c r="DH785" s="1648"/>
      <c r="DI785" s="1649"/>
      <c r="DJ785" s="1647">
        <f>SUM(DJ781:DN784)</f>
        <v>0</v>
      </c>
      <c r="DK785" s="1648"/>
      <c r="DL785" s="1648"/>
      <c r="DM785" s="1648"/>
      <c r="DN785" s="1649"/>
      <c r="DO785" s="1647">
        <f>SUM(DO781:DS784)</f>
        <v>0</v>
      </c>
      <c r="DP785" s="1648"/>
      <c r="DQ785" s="1648"/>
      <c r="DR785" s="1648"/>
      <c r="DS785" s="1649"/>
      <c r="DU785" s="852">
        <f>CP785+CU785+CZ785+DE785+DJ785+DO785</f>
        <v>2</v>
      </c>
      <c r="DV785" s="57" t="s">
        <v>1828</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1830</v>
      </c>
    </row>
    <row r="787" spans="1:154" ht="12.9" customHeight="1">
      <c r="B787" s="56"/>
      <c r="C787" s="56"/>
      <c r="D787" s="56"/>
      <c r="E787" s="56"/>
      <c r="F787" s="56"/>
      <c r="G787" s="6"/>
      <c r="H787" s="6"/>
      <c r="I787" s="6"/>
      <c r="J787" s="1426" t="s">
        <v>669</v>
      </c>
      <c r="K787" s="1426"/>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622" t="s">
        <v>389</v>
      </c>
      <c r="K791" s="1516"/>
      <c r="L791" s="1516"/>
      <c r="M791" s="1516"/>
      <c r="N791" s="1517"/>
      <c r="O791" s="1614" t="s">
        <v>285</v>
      </c>
      <c r="P791" s="1614"/>
      <c r="Q791" s="1614"/>
      <c r="R791" s="1614"/>
      <c r="S791" s="1614"/>
      <c r="T791" s="1545" t="s">
        <v>1667</v>
      </c>
      <c r="U791" s="1546"/>
      <c r="V791" s="1546"/>
      <c r="W791" s="1547"/>
      <c r="X791" s="1622" t="s">
        <v>447</v>
      </c>
      <c r="Y791" s="1516"/>
      <c r="Z791" s="1516"/>
      <c r="AA791" s="1516"/>
      <c r="AB791" s="1517"/>
      <c r="AC791" s="1622" t="s">
        <v>286</v>
      </c>
      <c r="AD791" s="1516"/>
      <c r="AE791" s="1516"/>
      <c r="AF791" s="1516"/>
      <c r="AG791" s="151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518"/>
      <c r="K792" s="1519"/>
      <c r="L792" s="1519"/>
      <c r="M792" s="1519"/>
      <c r="N792" s="1520"/>
      <c r="O792" s="1614"/>
      <c r="P792" s="1614"/>
      <c r="Q792" s="1614"/>
      <c r="R792" s="1614"/>
      <c r="S792" s="1614"/>
      <c r="T792" s="1548"/>
      <c r="U792" s="1549"/>
      <c r="V792" s="1549"/>
      <c r="W792" s="1550"/>
      <c r="X792" s="1518"/>
      <c r="Y792" s="1519"/>
      <c r="Z792" s="1519"/>
      <c r="AA792" s="1519"/>
      <c r="AB792" s="1520"/>
      <c r="AC792" s="1518"/>
      <c r="AD792" s="1519"/>
      <c r="AE792" s="1519"/>
      <c r="AF792" s="1519"/>
      <c r="AG792" s="152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518"/>
      <c r="K793" s="1519"/>
      <c r="L793" s="1519"/>
      <c r="M793" s="1519"/>
      <c r="N793" s="1520"/>
      <c r="O793" s="1614"/>
      <c r="P793" s="1614"/>
      <c r="Q793" s="1614"/>
      <c r="R793" s="1614"/>
      <c r="S793" s="1614"/>
      <c r="T793" s="1548"/>
      <c r="U793" s="1549"/>
      <c r="V793" s="1549"/>
      <c r="W793" s="1550"/>
      <c r="X793" s="1518"/>
      <c r="Y793" s="1519"/>
      <c r="Z793" s="1519"/>
      <c r="AA793" s="1519"/>
      <c r="AB793" s="1520"/>
      <c r="AC793" s="1518"/>
      <c r="AD793" s="1519"/>
      <c r="AE793" s="1519"/>
      <c r="AF793" s="1519"/>
      <c r="AG793" s="152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521"/>
      <c r="K794" s="1522"/>
      <c r="L794" s="1522"/>
      <c r="M794" s="1522"/>
      <c r="N794" s="1523"/>
      <c r="O794" s="1614"/>
      <c r="P794" s="1614"/>
      <c r="Q794" s="1614"/>
      <c r="R794" s="1614"/>
      <c r="S794" s="1614"/>
      <c r="T794" s="1551"/>
      <c r="U794" s="1552"/>
      <c r="V794" s="1552"/>
      <c r="W794" s="1553"/>
      <c r="X794" s="1521"/>
      <c r="Y794" s="1522"/>
      <c r="Z794" s="1522"/>
      <c r="AA794" s="1522"/>
      <c r="AB794" s="1523"/>
      <c r="AC794" s="1521"/>
      <c r="AD794" s="1522"/>
      <c r="AE794" s="1522"/>
      <c r="AF794" s="1522"/>
      <c r="AG794" s="152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 customHeight="1">
      <c r="J795" s="1360"/>
      <c r="K795" s="1361"/>
      <c r="L795" s="1361"/>
      <c r="M795" s="1361"/>
      <c r="N795" s="1362"/>
      <c r="O795" s="1544"/>
      <c r="P795" s="1544"/>
      <c r="Q795" s="1544"/>
      <c r="R795" s="1544"/>
      <c r="S795" s="1544"/>
      <c r="T795" s="1398"/>
      <c r="U795" s="1399"/>
      <c r="V795" s="1399"/>
      <c r="W795" s="1400"/>
      <c r="X795" s="1392"/>
      <c r="Y795" s="1393"/>
      <c r="Z795" s="1393"/>
      <c r="AA795" s="1393"/>
      <c r="AB795" s="1394"/>
      <c r="AC795" s="1421">
        <f t="shared" ref="AC795:AC804" si="42">X795*O795</f>
        <v>0</v>
      </c>
      <c r="AD795" s="1422"/>
      <c r="AE795" s="1422"/>
      <c r="AF795" s="1422"/>
      <c r="AG795" s="142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25">
        <f t="shared" ref="CP795:CP804" si="43">IF(J795="SRO/Studio",O795,0)</f>
        <v>0</v>
      </c>
      <c r="CQ795" s="1526"/>
      <c r="CR795" s="1526"/>
      <c r="CS795" s="1526"/>
      <c r="CT795" s="1527"/>
      <c r="CU795" s="1525">
        <f t="shared" ref="CU795:CU804" si="44">IF(J795="1 Bedroom",O795,0)</f>
        <v>0</v>
      </c>
      <c r="CV795" s="1526"/>
      <c r="CW795" s="1526"/>
      <c r="CX795" s="1526"/>
      <c r="CY795" s="1527"/>
      <c r="CZ795" s="1525">
        <f t="shared" ref="CZ795:CZ804" si="45">IF(J795="2 Bedrooms",O795,0)</f>
        <v>0</v>
      </c>
      <c r="DA795" s="1526"/>
      <c r="DB795" s="1526"/>
      <c r="DC795" s="1526"/>
      <c r="DD795" s="1527"/>
      <c r="DE795" s="1525">
        <f t="shared" ref="DE795:DE804" si="46">IF(J795="3 Bedrooms",O795,0)</f>
        <v>0</v>
      </c>
      <c r="DF795" s="1526"/>
      <c r="DG795" s="1526"/>
      <c r="DH795" s="1526"/>
      <c r="DI795" s="1527"/>
      <c r="DJ795" s="1525">
        <f t="shared" ref="DJ795:DJ804" si="47">IF(J795="4 Bedrooms",O795,0)</f>
        <v>0</v>
      </c>
      <c r="DK795" s="1526"/>
      <c r="DL795" s="1526"/>
      <c r="DM795" s="1526"/>
      <c r="DN795" s="1527"/>
      <c r="DO795" s="1525">
        <f t="shared" ref="DO795:DO804" si="48">IF(J795="5 Bedrooms",O795,0)</f>
        <v>0</v>
      </c>
      <c r="DP795" s="1526"/>
      <c r="DQ795" s="1526"/>
      <c r="DR795" s="1526"/>
      <c r="DS795" s="1527"/>
      <c r="DT795" s="6"/>
      <c r="DU795" s="1525">
        <f t="shared" ref="DU795:DU804" si="49">IF(AND(CP795&gt;=1,AH795&gt;=0.1,AH795&lt;=1),O795,0)</f>
        <v>0</v>
      </c>
      <c r="DV795" s="1526"/>
      <c r="DW795" s="1526"/>
      <c r="DX795" s="1526"/>
      <c r="DY795" s="1527"/>
      <c r="DZ795" s="1525">
        <f t="shared" ref="DZ795:DZ804" si="50">IF(AND(CU795&gt;=1,AH795&gt;=0.1,AH795&lt;=1),O795,0)</f>
        <v>0</v>
      </c>
      <c r="EA795" s="1526"/>
      <c r="EB795" s="1526"/>
      <c r="EC795" s="1526"/>
      <c r="ED795" s="1527"/>
      <c r="EE795" s="1525">
        <f t="shared" ref="EE795:EE804" si="51">IF(AND(CZ795&gt;=1,AH795&gt;=0.1,AH795&lt;=1),O795,0)</f>
        <v>0</v>
      </c>
      <c r="EF795" s="1526"/>
      <c r="EG795" s="1526"/>
      <c r="EH795" s="1526"/>
      <c r="EI795" s="1527"/>
      <c r="EJ795" s="1525">
        <f t="shared" ref="EJ795:EJ804" si="52">IF(AND(DE795&gt;=1,AH795&gt;=0.1,AH795&lt;=1),O795,0)</f>
        <v>0</v>
      </c>
      <c r="EK795" s="1526"/>
      <c r="EL795" s="1526"/>
      <c r="EM795" s="1526"/>
      <c r="EN795" s="1527"/>
      <c r="EO795" s="1525">
        <f t="shared" ref="EO795:EO804" si="53">IF(AND(DJ795&gt;=1,AH795&gt;=0.1,AH795&lt;=1),O795,0)</f>
        <v>0</v>
      </c>
      <c r="EP795" s="1526"/>
      <c r="EQ795" s="1526"/>
      <c r="ER795" s="1526"/>
      <c r="ES795" s="1527"/>
      <c r="ET795" s="1525">
        <f t="shared" ref="ET795:ET804" si="54">IF(AND(DO795&gt;=1,AH795&gt;=0.1,AH795&lt;=1),O795,0)</f>
        <v>0</v>
      </c>
      <c r="EU795" s="1526"/>
      <c r="EV795" s="1526"/>
      <c r="EW795" s="1526"/>
      <c r="EX795" s="1527"/>
    </row>
    <row r="796" spans="1:154" s="14" customFormat="1" ht="12.9" customHeight="1">
      <c r="A796"/>
      <c r="B796"/>
      <c r="C796"/>
      <c r="D796"/>
      <c r="E796"/>
      <c r="F796"/>
      <c r="G796"/>
      <c r="H796"/>
      <c r="I796"/>
      <c r="J796" s="1360"/>
      <c r="K796" s="1361"/>
      <c r="L796" s="1361"/>
      <c r="M796" s="1361"/>
      <c r="N796" s="1362"/>
      <c r="O796" s="1544"/>
      <c r="P796" s="1544"/>
      <c r="Q796" s="1544"/>
      <c r="R796" s="1544"/>
      <c r="S796" s="1544"/>
      <c r="T796" s="1398"/>
      <c r="U796" s="1399"/>
      <c r="V796" s="1399"/>
      <c r="W796" s="1400"/>
      <c r="X796" s="1392"/>
      <c r="Y796" s="1393"/>
      <c r="Z796" s="1393"/>
      <c r="AA796" s="1393"/>
      <c r="AB796" s="1394"/>
      <c r="AC796" s="1421">
        <f t="shared" si="42"/>
        <v>0</v>
      </c>
      <c r="AD796" s="1422"/>
      <c r="AE796" s="1422"/>
      <c r="AF796" s="1422"/>
      <c r="AG796" s="1423"/>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25">
        <f t="shared" si="43"/>
        <v>0</v>
      </c>
      <c r="CQ796" s="1526"/>
      <c r="CR796" s="1526"/>
      <c r="CS796" s="1526"/>
      <c r="CT796" s="1527"/>
      <c r="CU796" s="1525">
        <f t="shared" si="44"/>
        <v>0</v>
      </c>
      <c r="CV796" s="1526"/>
      <c r="CW796" s="1526"/>
      <c r="CX796" s="1526"/>
      <c r="CY796" s="1527"/>
      <c r="CZ796" s="1525">
        <f t="shared" si="45"/>
        <v>0</v>
      </c>
      <c r="DA796" s="1526"/>
      <c r="DB796" s="1526"/>
      <c r="DC796" s="1526"/>
      <c r="DD796" s="1527"/>
      <c r="DE796" s="1525">
        <f t="shared" si="46"/>
        <v>0</v>
      </c>
      <c r="DF796" s="1526"/>
      <c r="DG796" s="1526"/>
      <c r="DH796" s="1526"/>
      <c r="DI796" s="1527"/>
      <c r="DJ796" s="1525">
        <f t="shared" si="47"/>
        <v>0</v>
      </c>
      <c r="DK796" s="1526"/>
      <c r="DL796" s="1526"/>
      <c r="DM796" s="1526"/>
      <c r="DN796" s="1527"/>
      <c r="DO796" s="1525">
        <f t="shared" si="48"/>
        <v>0</v>
      </c>
      <c r="DP796" s="1526"/>
      <c r="DQ796" s="1526"/>
      <c r="DR796" s="1526"/>
      <c r="DS796" s="1527"/>
      <c r="DT796" s="6"/>
      <c r="DU796" s="1525">
        <f t="shared" si="49"/>
        <v>0</v>
      </c>
      <c r="DV796" s="1526"/>
      <c r="DW796" s="1526"/>
      <c r="DX796" s="1526"/>
      <c r="DY796" s="1527"/>
      <c r="DZ796" s="1525">
        <f t="shared" si="50"/>
        <v>0</v>
      </c>
      <c r="EA796" s="1526"/>
      <c r="EB796" s="1526"/>
      <c r="EC796" s="1526"/>
      <c r="ED796" s="1527"/>
      <c r="EE796" s="1525">
        <f t="shared" si="51"/>
        <v>0</v>
      </c>
      <c r="EF796" s="1526"/>
      <c r="EG796" s="1526"/>
      <c r="EH796" s="1526"/>
      <c r="EI796" s="1527"/>
      <c r="EJ796" s="1525">
        <f t="shared" si="52"/>
        <v>0</v>
      </c>
      <c r="EK796" s="1526"/>
      <c r="EL796" s="1526"/>
      <c r="EM796" s="1526"/>
      <c r="EN796" s="1527"/>
      <c r="EO796" s="1525">
        <f t="shared" si="53"/>
        <v>0</v>
      </c>
      <c r="EP796" s="1526"/>
      <c r="EQ796" s="1526"/>
      <c r="ER796" s="1526"/>
      <c r="ES796" s="1527"/>
      <c r="ET796" s="1525">
        <f t="shared" si="54"/>
        <v>0</v>
      </c>
      <c r="EU796" s="1526"/>
      <c r="EV796" s="1526"/>
      <c r="EW796" s="1526"/>
      <c r="EX796" s="1527"/>
    </row>
    <row r="797" spans="1:154" s="14" customFormat="1" ht="12.9" customHeight="1">
      <c r="A797"/>
      <c r="B797"/>
      <c r="C797"/>
      <c r="D797"/>
      <c r="E797"/>
      <c r="F797"/>
      <c r="G797"/>
      <c r="H797"/>
      <c r="I797"/>
      <c r="J797" s="1360"/>
      <c r="K797" s="1361"/>
      <c r="L797" s="1361"/>
      <c r="M797" s="1361"/>
      <c r="N797" s="1362"/>
      <c r="O797" s="1544"/>
      <c r="P797" s="1544"/>
      <c r="Q797" s="1544"/>
      <c r="R797" s="1544"/>
      <c r="S797" s="1544"/>
      <c r="T797" s="1398"/>
      <c r="U797" s="1399"/>
      <c r="V797" s="1399"/>
      <c r="W797" s="1400"/>
      <c r="X797" s="1392"/>
      <c r="Y797" s="1393"/>
      <c r="Z797" s="1393"/>
      <c r="AA797" s="1393"/>
      <c r="AB797" s="1394"/>
      <c r="AC797" s="1421">
        <f t="shared" si="42"/>
        <v>0</v>
      </c>
      <c r="AD797" s="1422"/>
      <c r="AE797" s="1422"/>
      <c r="AF797" s="1422"/>
      <c r="AG797" s="1423"/>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25">
        <f t="shared" si="43"/>
        <v>0</v>
      </c>
      <c r="CQ797" s="1526"/>
      <c r="CR797" s="1526"/>
      <c r="CS797" s="1526"/>
      <c r="CT797" s="1527"/>
      <c r="CU797" s="1525">
        <f t="shared" si="44"/>
        <v>0</v>
      </c>
      <c r="CV797" s="1526"/>
      <c r="CW797" s="1526"/>
      <c r="CX797" s="1526"/>
      <c r="CY797" s="1527"/>
      <c r="CZ797" s="1525">
        <f t="shared" si="45"/>
        <v>0</v>
      </c>
      <c r="DA797" s="1526"/>
      <c r="DB797" s="1526"/>
      <c r="DC797" s="1526"/>
      <c r="DD797" s="1527"/>
      <c r="DE797" s="1525">
        <f t="shared" si="46"/>
        <v>0</v>
      </c>
      <c r="DF797" s="1526"/>
      <c r="DG797" s="1526"/>
      <c r="DH797" s="1526"/>
      <c r="DI797" s="1527"/>
      <c r="DJ797" s="1525">
        <f t="shared" si="47"/>
        <v>0</v>
      </c>
      <c r="DK797" s="1526"/>
      <c r="DL797" s="1526"/>
      <c r="DM797" s="1526"/>
      <c r="DN797" s="1527"/>
      <c r="DO797" s="1525">
        <f t="shared" si="48"/>
        <v>0</v>
      </c>
      <c r="DP797" s="1526"/>
      <c r="DQ797" s="1526"/>
      <c r="DR797" s="1526"/>
      <c r="DS797" s="1527"/>
      <c r="DT797" s="6"/>
      <c r="DU797" s="1525">
        <f t="shared" si="49"/>
        <v>0</v>
      </c>
      <c r="DV797" s="1526"/>
      <c r="DW797" s="1526"/>
      <c r="DX797" s="1526"/>
      <c r="DY797" s="1527"/>
      <c r="DZ797" s="1525">
        <f t="shared" si="50"/>
        <v>0</v>
      </c>
      <c r="EA797" s="1526"/>
      <c r="EB797" s="1526"/>
      <c r="EC797" s="1526"/>
      <c r="ED797" s="1527"/>
      <c r="EE797" s="1525">
        <f t="shared" si="51"/>
        <v>0</v>
      </c>
      <c r="EF797" s="1526"/>
      <c r="EG797" s="1526"/>
      <c r="EH797" s="1526"/>
      <c r="EI797" s="1527"/>
      <c r="EJ797" s="1525">
        <f t="shared" si="52"/>
        <v>0</v>
      </c>
      <c r="EK797" s="1526"/>
      <c r="EL797" s="1526"/>
      <c r="EM797" s="1526"/>
      <c r="EN797" s="1527"/>
      <c r="EO797" s="1525">
        <f t="shared" si="53"/>
        <v>0</v>
      </c>
      <c r="EP797" s="1526"/>
      <c r="EQ797" s="1526"/>
      <c r="ER797" s="1526"/>
      <c r="ES797" s="1527"/>
      <c r="ET797" s="1525">
        <f t="shared" si="54"/>
        <v>0</v>
      </c>
      <c r="EU797" s="1526"/>
      <c r="EV797" s="1526"/>
      <c r="EW797" s="1526"/>
      <c r="EX797" s="1527"/>
    </row>
    <row r="798" spans="1:154" s="14" customFormat="1" ht="12.9" customHeight="1">
      <c r="A798"/>
      <c r="B798"/>
      <c r="C798"/>
      <c r="D798"/>
      <c r="E798"/>
      <c r="F798"/>
      <c r="G798"/>
      <c r="H798"/>
      <c r="I798"/>
      <c r="J798" s="1360"/>
      <c r="K798" s="1361"/>
      <c r="L798" s="1361"/>
      <c r="M798" s="1361"/>
      <c r="N798" s="1362"/>
      <c r="O798" s="1544"/>
      <c r="P798" s="1544"/>
      <c r="Q798" s="1544"/>
      <c r="R798" s="1544"/>
      <c r="S798" s="1544"/>
      <c r="T798" s="1398"/>
      <c r="U798" s="1399"/>
      <c r="V798" s="1399"/>
      <c r="W798" s="1400"/>
      <c r="X798" s="1392"/>
      <c r="Y798" s="1393"/>
      <c r="Z798" s="1393"/>
      <c r="AA798" s="1393"/>
      <c r="AB798" s="1394"/>
      <c r="AC798" s="1421">
        <f t="shared" si="42"/>
        <v>0</v>
      </c>
      <c r="AD798" s="1422"/>
      <c r="AE798" s="1422"/>
      <c r="AF798" s="1422"/>
      <c r="AG798" s="1423"/>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25">
        <f t="shared" si="43"/>
        <v>0</v>
      </c>
      <c r="CQ798" s="1526"/>
      <c r="CR798" s="1526"/>
      <c r="CS798" s="1526"/>
      <c r="CT798" s="1527"/>
      <c r="CU798" s="1525">
        <f t="shared" si="44"/>
        <v>0</v>
      </c>
      <c r="CV798" s="1526"/>
      <c r="CW798" s="1526"/>
      <c r="CX798" s="1526"/>
      <c r="CY798" s="1527"/>
      <c r="CZ798" s="1525">
        <f t="shared" si="45"/>
        <v>0</v>
      </c>
      <c r="DA798" s="1526"/>
      <c r="DB798" s="1526"/>
      <c r="DC798" s="1526"/>
      <c r="DD798" s="1527"/>
      <c r="DE798" s="1525">
        <f t="shared" si="46"/>
        <v>0</v>
      </c>
      <c r="DF798" s="1526"/>
      <c r="DG798" s="1526"/>
      <c r="DH798" s="1526"/>
      <c r="DI798" s="1527"/>
      <c r="DJ798" s="1525">
        <f t="shared" si="47"/>
        <v>0</v>
      </c>
      <c r="DK798" s="1526"/>
      <c r="DL798" s="1526"/>
      <c r="DM798" s="1526"/>
      <c r="DN798" s="1527"/>
      <c r="DO798" s="1525">
        <f t="shared" si="48"/>
        <v>0</v>
      </c>
      <c r="DP798" s="1526"/>
      <c r="DQ798" s="1526"/>
      <c r="DR798" s="1526"/>
      <c r="DS798" s="1527"/>
      <c r="DT798" s="6"/>
      <c r="DU798" s="1525">
        <f t="shared" si="49"/>
        <v>0</v>
      </c>
      <c r="DV798" s="1526"/>
      <c r="DW798" s="1526"/>
      <c r="DX798" s="1526"/>
      <c r="DY798" s="1527"/>
      <c r="DZ798" s="1525">
        <f t="shared" si="50"/>
        <v>0</v>
      </c>
      <c r="EA798" s="1526"/>
      <c r="EB798" s="1526"/>
      <c r="EC798" s="1526"/>
      <c r="ED798" s="1527"/>
      <c r="EE798" s="1525">
        <f t="shared" si="51"/>
        <v>0</v>
      </c>
      <c r="EF798" s="1526"/>
      <c r="EG798" s="1526"/>
      <c r="EH798" s="1526"/>
      <c r="EI798" s="1527"/>
      <c r="EJ798" s="1525">
        <f t="shared" si="52"/>
        <v>0</v>
      </c>
      <c r="EK798" s="1526"/>
      <c r="EL798" s="1526"/>
      <c r="EM798" s="1526"/>
      <c r="EN798" s="1527"/>
      <c r="EO798" s="1525">
        <f t="shared" si="53"/>
        <v>0</v>
      </c>
      <c r="EP798" s="1526"/>
      <c r="EQ798" s="1526"/>
      <c r="ER798" s="1526"/>
      <c r="ES798" s="1527"/>
      <c r="ET798" s="1525">
        <f t="shared" si="54"/>
        <v>0</v>
      </c>
      <c r="EU798" s="1526"/>
      <c r="EV798" s="1526"/>
      <c r="EW798" s="1526"/>
      <c r="EX798" s="1527"/>
    </row>
    <row r="799" spans="1:154" s="14" customFormat="1" ht="12.9" customHeight="1">
      <c r="A799"/>
      <c r="B799"/>
      <c r="C799"/>
      <c r="D799"/>
      <c r="E799"/>
      <c r="F799"/>
      <c r="G799"/>
      <c r="H799"/>
      <c r="I799"/>
      <c r="J799" s="1360"/>
      <c r="K799" s="1361"/>
      <c r="L799" s="1361"/>
      <c r="M799" s="1361"/>
      <c r="N799" s="1362"/>
      <c r="O799" s="1544"/>
      <c r="P799" s="1544"/>
      <c r="Q799" s="1544"/>
      <c r="R799" s="1544"/>
      <c r="S799" s="1544"/>
      <c r="T799" s="1398"/>
      <c r="U799" s="1399"/>
      <c r="V799" s="1399"/>
      <c r="W799" s="1400"/>
      <c r="X799" s="1392"/>
      <c r="Y799" s="1393"/>
      <c r="Z799" s="1393"/>
      <c r="AA799" s="1393"/>
      <c r="AB799" s="1394"/>
      <c r="AC799" s="1421">
        <f t="shared" si="42"/>
        <v>0</v>
      </c>
      <c r="AD799" s="1422"/>
      <c r="AE799" s="1422"/>
      <c r="AF799" s="1422"/>
      <c r="AG799" s="1423"/>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25">
        <f t="shared" si="43"/>
        <v>0</v>
      </c>
      <c r="CQ799" s="1526"/>
      <c r="CR799" s="1526"/>
      <c r="CS799" s="1526"/>
      <c r="CT799" s="1527"/>
      <c r="CU799" s="1525">
        <f t="shared" si="44"/>
        <v>0</v>
      </c>
      <c r="CV799" s="1526"/>
      <c r="CW799" s="1526"/>
      <c r="CX799" s="1526"/>
      <c r="CY799" s="1527"/>
      <c r="CZ799" s="1525">
        <f t="shared" si="45"/>
        <v>0</v>
      </c>
      <c r="DA799" s="1526"/>
      <c r="DB799" s="1526"/>
      <c r="DC799" s="1526"/>
      <c r="DD799" s="1527"/>
      <c r="DE799" s="1525">
        <f t="shared" si="46"/>
        <v>0</v>
      </c>
      <c r="DF799" s="1526"/>
      <c r="DG799" s="1526"/>
      <c r="DH799" s="1526"/>
      <c r="DI799" s="1527"/>
      <c r="DJ799" s="1525">
        <f t="shared" si="47"/>
        <v>0</v>
      </c>
      <c r="DK799" s="1526"/>
      <c r="DL799" s="1526"/>
      <c r="DM799" s="1526"/>
      <c r="DN799" s="1527"/>
      <c r="DO799" s="1525">
        <f t="shared" si="48"/>
        <v>0</v>
      </c>
      <c r="DP799" s="1526"/>
      <c r="DQ799" s="1526"/>
      <c r="DR799" s="1526"/>
      <c r="DS799" s="1527"/>
      <c r="DT799" s="6"/>
      <c r="DU799" s="1525">
        <f t="shared" si="49"/>
        <v>0</v>
      </c>
      <c r="DV799" s="1526"/>
      <c r="DW799" s="1526"/>
      <c r="DX799" s="1526"/>
      <c r="DY799" s="1527"/>
      <c r="DZ799" s="1525">
        <f t="shared" si="50"/>
        <v>0</v>
      </c>
      <c r="EA799" s="1526"/>
      <c r="EB799" s="1526"/>
      <c r="EC799" s="1526"/>
      <c r="ED799" s="1527"/>
      <c r="EE799" s="1525">
        <f t="shared" si="51"/>
        <v>0</v>
      </c>
      <c r="EF799" s="1526"/>
      <c r="EG799" s="1526"/>
      <c r="EH799" s="1526"/>
      <c r="EI799" s="1527"/>
      <c r="EJ799" s="1525">
        <f t="shared" si="52"/>
        <v>0</v>
      </c>
      <c r="EK799" s="1526"/>
      <c r="EL799" s="1526"/>
      <c r="EM799" s="1526"/>
      <c r="EN799" s="1527"/>
      <c r="EO799" s="1525">
        <f t="shared" si="53"/>
        <v>0</v>
      </c>
      <c r="EP799" s="1526"/>
      <c r="EQ799" s="1526"/>
      <c r="ER799" s="1526"/>
      <c r="ES799" s="1527"/>
      <c r="ET799" s="1525">
        <f t="shared" si="54"/>
        <v>0</v>
      </c>
      <c r="EU799" s="1526"/>
      <c r="EV799" s="1526"/>
      <c r="EW799" s="1526"/>
      <c r="EX799" s="1527"/>
    </row>
    <row r="800" spans="1:154" s="14" customFormat="1" ht="12.9" customHeight="1">
      <c r="A800"/>
      <c r="B800"/>
      <c r="C800"/>
      <c r="D800"/>
      <c r="E800"/>
      <c r="F800"/>
      <c r="G800"/>
      <c r="H800"/>
      <c r="I800"/>
      <c r="J800" s="1360"/>
      <c r="K800" s="1361"/>
      <c r="L800" s="1361"/>
      <c r="M800" s="1361"/>
      <c r="N800" s="1362"/>
      <c r="O800" s="1544"/>
      <c r="P800" s="1544"/>
      <c r="Q800" s="1544"/>
      <c r="R800" s="1544"/>
      <c r="S800" s="1544"/>
      <c r="T800" s="1398"/>
      <c r="U800" s="1399"/>
      <c r="V800" s="1399"/>
      <c r="W800" s="1400"/>
      <c r="X800" s="1392"/>
      <c r="Y800" s="1393"/>
      <c r="Z800" s="1393"/>
      <c r="AA800" s="1393"/>
      <c r="AB800" s="1394"/>
      <c r="AC800" s="1421">
        <f t="shared" si="42"/>
        <v>0</v>
      </c>
      <c r="AD800" s="1422"/>
      <c r="AE800" s="1422"/>
      <c r="AF800" s="1422"/>
      <c r="AG800" s="1423"/>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25">
        <f t="shared" si="43"/>
        <v>0</v>
      </c>
      <c r="CQ800" s="1526"/>
      <c r="CR800" s="1526"/>
      <c r="CS800" s="1526"/>
      <c r="CT800" s="1527"/>
      <c r="CU800" s="1525">
        <f t="shared" si="44"/>
        <v>0</v>
      </c>
      <c r="CV800" s="1526"/>
      <c r="CW800" s="1526"/>
      <c r="CX800" s="1526"/>
      <c r="CY800" s="1527"/>
      <c r="CZ800" s="1525">
        <f t="shared" si="45"/>
        <v>0</v>
      </c>
      <c r="DA800" s="1526"/>
      <c r="DB800" s="1526"/>
      <c r="DC800" s="1526"/>
      <c r="DD800" s="1527"/>
      <c r="DE800" s="1525">
        <f t="shared" si="46"/>
        <v>0</v>
      </c>
      <c r="DF800" s="1526"/>
      <c r="DG800" s="1526"/>
      <c r="DH800" s="1526"/>
      <c r="DI800" s="1527"/>
      <c r="DJ800" s="1525">
        <f t="shared" si="47"/>
        <v>0</v>
      </c>
      <c r="DK800" s="1526"/>
      <c r="DL800" s="1526"/>
      <c r="DM800" s="1526"/>
      <c r="DN800" s="1527"/>
      <c r="DO800" s="1525">
        <f t="shared" si="48"/>
        <v>0</v>
      </c>
      <c r="DP800" s="1526"/>
      <c r="DQ800" s="1526"/>
      <c r="DR800" s="1526"/>
      <c r="DS800" s="1527"/>
      <c r="DT800" s="6"/>
      <c r="DU800" s="1525">
        <f t="shared" si="49"/>
        <v>0</v>
      </c>
      <c r="DV800" s="1526"/>
      <c r="DW800" s="1526"/>
      <c r="DX800" s="1526"/>
      <c r="DY800" s="1527"/>
      <c r="DZ800" s="1525">
        <f t="shared" si="50"/>
        <v>0</v>
      </c>
      <c r="EA800" s="1526"/>
      <c r="EB800" s="1526"/>
      <c r="EC800" s="1526"/>
      <c r="ED800" s="1527"/>
      <c r="EE800" s="1525">
        <f t="shared" si="51"/>
        <v>0</v>
      </c>
      <c r="EF800" s="1526"/>
      <c r="EG800" s="1526"/>
      <c r="EH800" s="1526"/>
      <c r="EI800" s="1527"/>
      <c r="EJ800" s="1525">
        <f t="shared" si="52"/>
        <v>0</v>
      </c>
      <c r="EK800" s="1526"/>
      <c r="EL800" s="1526"/>
      <c r="EM800" s="1526"/>
      <c r="EN800" s="1527"/>
      <c r="EO800" s="1525">
        <f t="shared" si="53"/>
        <v>0</v>
      </c>
      <c r="EP800" s="1526"/>
      <c r="EQ800" s="1526"/>
      <c r="ER800" s="1526"/>
      <c r="ES800" s="1527"/>
      <c r="ET800" s="1525">
        <f t="shared" si="54"/>
        <v>0</v>
      </c>
      <c r="EU800" s="1526"/>
      <c r="EV800" s="1526"/>
      <c r="EW800" s="1526"/>
      <c r="EX800" s="1527"/>
    </row>
    <row r="801" spans="1:154" s="14" customFormat="1" ht="12.9" customHeight="1">
      <c r="A801"/>
      <c r="B801"/>
      <c r="C801"/>
      <c r="D801"/>
      <c r="E801"/>
      <c r="F801"/>
      <c r="G801"/>
      <c r="H801"/>
      <c r="I801"/>
      <c r="J801" s="1360"/>
      <c r="K801" s="1361"/>
      <c r="L801" s="1361"/>
      <c r="M801" s="1361"/>
      <c r="N801" s="1362"/>
      <c r="O801" s="1544"/>
      <c r="P801" s="1544"/>
      <c r="Q801" s="1544"/>
      <c r="R801" s="1544"/>
      <c r="S801" s="1544"/>
      <c r="T801" s="1398"/>
      <c r="U801" s="1399"/>
      <c r="V801" s="1399"/>
      <c r="W801" s="1400"/>
      <c r="X801" s="1392"/>
      <c r="Y801" s="1393"/>
      <c r="Z801" s="1393"/>
      <c r="AA801" s="1393"/>
      <c r="AB801" s="1394"/>
      <c r="AC801" s="1421">
        <f t="shared" si="42"/>
        <v>0</v>
      </c>
      <c r="AD801" s="1422"/>
      <c r="AE801" s="1422"/>
      <c r="AF801" s="1422"/>
      <c r="AG801" s="1423"/>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25">
        <f t="shared" si="43"/>
        <v>0</v>
      </c>
      <c r="CQ801" s="1526"/>
      <c r="CR801" s="1526"/>
      <c r="CS801" s="1526"/>
      <c r="CT801" s="1527"/>
      <c r="CU801" s="1525">
        <f t="shared" si="44"/>
        <v>0</v>
      </c>
      <c r="CV801" s="1526"/>
      <c r="CW801" s="1526"/>
      <c r="CX801" s="1526"/>
      <c r="CY801" s="1527"/>
      <c r="CZ801" s="1525">
        <f t="shared" si="45"/>
        <v>0</v>
      </c>
      <c r="DA801" s="1526"/>
      <c r="DB801" s="1526"/>
      <c r="DC801" s="1526"/>
      <c r="DD801" s="1527"/>
      <c r="DE801" s="1525">
        <f t="shared" si="46"/>
        <v>0</v>
      </c>
      <c r="DF801" s="1526"/>
      <c r="DG801" s="1526"/>
      <c r="DH801" s="1526"/>
      <c r="DI801" s="1527"/>
      <c r="DJ801" s="1525">
        <f t="shared" si="47"/>
        <v>0</v>
      </c>
      <c r="DK801" s="1526"/>
      <c r="DL801" s="1526"/>
      <c r="DM801" s="1526"/>
      <c r="DN801" s="1527"/>
      <c r="DO801" s="1525">
        <f t="shared" si="48"/>
        <v>0</v>
      </c>
      <c r="DP801" s="1526"/>
      <c r="DQ801" s="1526"/>
      <c r="DR801" s="1526"/>
      <c r="DS801" s="1527"/>
      <c r="DT801" s="6"/>
      <c r="DU801" s="1525">
        <f t="shared" si="49"/>
        <v>0</v>
      </c>
      <c r="DV801" s="1526"/>
      <c r="DW801" s="1526"/>
      <c r="DX801" s="1526"/>
      <c r="DY801" s="1527"/>
      <c r="DZ801" s="1525">
        <f t="shared" si="50"/>
        <v>0</v>
      </c>
      <c r="EA801" s="1526"/>
      <c r="EB801" s="1526"/>
      <c r="EC801" s="1526"/>
      <c r="ED801" s="1527"/>
      <c r="EE801" s="1525">
        <f t="shared" si="51"/>
        <v>0</v>
      </c>
      <c r="EF801" s="1526"/>
      <c r="EG801" s="1526"/>
      <c r="EH801" s="1526"/>
      <c r="EI801" s="1527"/>
      <c r="EJ801" s="1525">
        <f t="shared" si="52"/>
        <v>0</v>
      </c>
      <c r="EK801" s="1526"/>
      <c r="EL801" s="1526"/>
      <c r="EM801" s="1526"/>
      <c r="EN801" s="1527"/>
      <c r="EO801" s="1525">
        <f t="shared" si="53"/>
        <v>0</v>
      </c>
      <c r="EP801" s="1526"/>
      <c r="EQ801" s="1526"/>
      <c r="ER801" s="1526"/>
      <c r="ES801" s="1527"/>
      <c r="ET801" s="1525">
        <f t="shared" si="54"/>
        <v>0</v>
      </c>
      <c r="EU801" s="1526"/>
      <c r="EV801" s="1526"/>
      <c r="EW801" s="1526"/>
      <c r="EX801" s="1527"/>
    </row>
    <row r="802" spans="1:154" s="14" customFormat="1" ht="12.9" customHeight="1">
      <c r="A802"/>
      <c r="B802"/>
      <c r="C802"/>
      <c r="D802"/>
      <c r="E802"/>
      <c r="F802"/>
      <c r="G802"/>
      <c r="H802"/>
      <c r="I802"/>
      <c r="J802" s="1360"/>
      <c r="K802" s="1361"/>
      <c r="L802" s="1361"/>
      <c r="M802" s="1361"/>
      <c r="N802" s="1362"/>
      <c r="O802" s="1544"/>
      <c r="P802" s="1544"/>
      <c r="Q802" s="1544"/>
      <c r="R802" s="1544"/>
      <c r="S802" s="1544"/>
      <c r="T802" s="1398"/>
      <c r="U802" s="1399"/>
      <c r="V802" s="1399"/>
      <c r="W802" s="1400"/>
      <c r="X802" s="1392"/>
      <c r="Y802" s="1393"/>
      <c r="Z802" s="1393"/>
      <c r="AA802" s="1393"/>
      <c r="AB802" s="1394"/>
      <c r="AC802" s="1421">
        <f t="shared" si="42"/>
        <v>0</v>
      </c>
      <c r="AD802" s="1422"/>
      <c r="AE802" s="1422"/>
      <c r="AF802" s="1422"/>
      <c r="AG802" s="1423"/>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25">
        <f t="shared" si="43"/>
        <v>0</v>
      </c>
      <c r="CQ802" s="1526"/>
      <c r="CR802" s="1526"/>
      <c r="CS802" s="1526"/>
      <c r="CT802" s="1527"/>
      <c r="CU802" s="1525">
        <f t="shared" si="44"/>
        <v>0</v>
      </c>
      <c r="CV802" s="1526"/>
      <c r="CW802" s="1526"/>
      <c r="CX802" s="1526"/>
      <c r="CY802" s="1527"/>
      <c r="CZ802" s="1525">
        <f t="shared" si="45"/>
        <v>0</v>
      </c>
      <c r="DA802" s="1526"/>
      <c r="DB802" s="1526"/>
      <c r="DC802" s="1526"/>
      <c r="DD802" s="1527"/>
      <c r="DE802" s="1525">
        <f t="shared" si="46"/>
        <v>0</v>
      </c>
      <c r="DF802" s="1526"/>
      <c r="DG802" s="1526"/>
      <c r="DH802" s="1526"/>
      <c r="DI802" s="1527"/>
      <c r="DJ802" s="1525">
        <f t="shared" si="47"/>
        <v>0</v>
      </c>
      <c r="DK802" s="1526"/>
      <c r="DL802" s="1526"/>
      <c r="DM802" s="1526"/>
      <c r="DN802" s="1527"/>
      <c r="DO802" s="1525">
        <f t="shared" si="48"/>
        <v>0</v>
      </c>
      <c r="DP802" s="1526"/>
      <c r="DQ802" s="1526"/>
      <c r="DR802" s="1526"/>
      <c r="DS802" s="1527"/>
      <c r="DT802" s="6"/>
      <c r="DU802" s="1525">
        <f t="shared" si="49"/>
        <v>0</v>
      </c>
      <c r="DV802" s="1526"/>
      <c r="DW802" s="1526"/>
      <c r="DX802" s="1526"/>
      <c r="DY802" s="1527"/>
      <c r="DZ802" s="1525">
        <f t="shared" si="50"/>
        <v>0</v>
      </c>
      <c r="EA802" s="1526"/>
      <c r="EB802" s="1526"/>
      <c r="EC802" s="1526"/>
      <c r="ED802" s="1527"/>
      <c r="EE802" s="1525">
        <f t="shared" si="51"/>
        <v>0</v>
      </c>
      <c r="EF802" s="1526"/>
      <c r="EG802" s="1526"/>
      <c r="EH802" s="1526"/>
      <c r="EI802" s="1527"/>
      <c r="EJ802" s="1525">
        <f t="shared" si="52"/>
        <v>0</v>
      </c>
      <c r="EK802" s="1526"/>
      <c r="EL802" s="1526"/>
      <c r="EM802" s="1526"/>
      <c r="EN802" s="1527"/>
      <c r="EO802" s="1525">
        <f t="shared" si="53"/>
        <v>0</v>
      </c>
      <c r="EP802" s="1526"/>
      <c r="EQ802" s="1526"/>
      <c r="ER802" s="1526"/>
      <c r="ES802" s="1527"/>
      <c r="ET802" s="1525">
        <f t="shared" si="54"/>
        <v>0</v>
      </c>
      <c r="EU802" s="1526"/>
      <c r="EV802" s="1526"/>
      <c r="EW802" s="1526"/>
      <c r="EX802" s="1527"/>
    </row>
    <row r="803" spans="1:154" s="14" customFormat="1" ht="12.9" customHeight="1">
      <c r="A803"/>
      <c r="B803"/>
      <c r="C803"/>
      <c r="D803"/>
      <c r="E803"/>
      <c r="F803"/>
      <c r="G803"/>
      <c r="H803"/>
      <c r="I803"/>
      <c r="J803" s="1360"/>
      <c r="K803" s="1361"/>
      <c r="L803" s="1361"/>
      <c r="M803" s="1361"/>
      <c r="N803" s="1362"/>
      <c r="O803" s="1544"/>
      <c r="P803" s="1544"/>
      <c r="Q803" s="1544"/>
      <c r="R803" s="1544"/>
      <c r="S803" s="1544"/>
      <c r="T803" s="1398"/>
      <c r="U803" s="1399"/>
      <c r="V803" s="1399"/>
      <c r="W803" s="1400"/>
      <c r="X803" s="1392"/>
      <c r="Y803" s="1393"/>
      <c r="Z803" s="1393"/>
      <c r="AA803" s="1393"/>
      <c r="AB803" s="1394"/>
      <c r="AC803" s="1421">
        <f t="shared" si="42"/>
        <v>0</v>
      </c>
      <c r="AD803" s="1422"/>
      <c r="AE803" s="1422"/>
      <c r="AF803" s="1422"/>
      <c r="AG803" s="1423"/>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25">
        <f t="shared" si="43"/>
        <v>0</v>
      </c>
      <c r="CQ803" s="1526"/>
      <c r="CR803" s="1526"/>
      <c r="CS803" s="1526"/>
      <c r="CT803" s="1527"/>
      <c r="CU803" s="1525">
        <f t="shared" si="44"/>
        <v>0</v>
      </c>
      <c r="CV803" s="1526"/>
      <c r="CW803" s="1526"/>
      <c r="CX803" s="1526"/>
      <c r="CY803" s="1527"/>
      <c r="CZ803" s="1525">
        <f t="shared" si="45"/>
        <v>0</v>
      </c>
      <c r="DA803" s="1526"/>
      <c r="DB803" s="1526"/>
      <c r="DC803" s="1526"/>
      <c r="DD803" s="1527"/>
      <c r="DE803" s="1525">
        <f t="shared" si="46"/>
        <v>0</v>
      </c>
      <c r="DF803" s="1526"/>
      <c r="DG803" s="1526"/>
      <c r="DH803" s="1526"/>
      <c r="DI803" s="1527"/>
      <c r="DJ803" s="1525">
        <f t="shared" si="47"/>
        <v>0</v>
      </c>
      <c r="DK803" s="1526"/>
      <c r="DL803" s="1526"/>
      <c r="DM803" s="1526"/>
      <c r="DN803" s="1527"/>
      <c r="DO803" s="1525">
        <f t="shared" si="48"/>
        <v>0</v>
      </c>
      <c r="DP803" s="1526"/>
      <c r="DQ803" s="1526"/>
      <c r="DR803" s="1526"/>
      <c r="DS803" s="1527"/>
      <c r="DT803" s="6"/>
      <c r="DU803" s="1525">
        <f t="shared" si="49"/>
        <v>0</v>
      </c>
      <c r="DV803" s="1526"/>
      <c r="DW803" s="1526"/>
      <c r="DX803" s="1526"/>
      <c r="DY803" s="1527"/>
      <c r="DZ803" s="1525">
        <f t="shared" si="50"/>
        <v>0</v>
      </c>
      <c r="EA803" s="1526"/>
      <c r="EB803" s="1526"/>
      <c r="EC803" s="1526"/>
      <c r="ED803" s="1527"/>
      <c r="EE803" s="1525">
        <f t="shared" si="51"/>
        <v>0</v>
      </c>
      <c r="EF803" s="1526"/>
      <c r="EG803" s="1526"/>
      <c r="EH803" s="1526"/>
      <c r="EI803" s="1527"/>
      <c r="EJ803" s="1525">
        <f t="shared" si="52"/>
        <v>0</v>
      </c>
      <c r="EK803" s="1526"/>
      <c r="EL803" s="1526"/>
      <c r="EM803" s="1526"/>
      <c r="EN803" s="1527"/>
      <c r="EO803" s="1525">
        <f t="shared" si="53"/>
        <v>0</v>
      </c>
      <c r="EP803" s="1526"/>
      <c r="EQ803" s="1526"/>
      <c r="ER803" s="1526"/>
      <c r="ES803" s="1527"/>
      <c r="ET803" s="1525">
        <f t="shared" si="54"/>
        <v>0</v>
      </c>
      <c r="EU803" s="1526"/>
      <c r="EV803" s="1526"/>
      <c r="EW803" s="1526"/>
      <c r="EX803" s="1527"/>
    </row>
    <row r="804" spans="1:154" s="4" customFormat="1" ht="12.9" customHeight="1">
      <c r="A804"/>
      <c r="B804"/>
      <c r="C804"/>
      <c r="D804"/>
      <c r="E804"/>
      <c r="F804"/>
      <c r="G804"/>
      <c r="H804"/>
      <c r="I804"/>
      <c r="J804" s="1360"/>
      <c r="K804" s="1361"/>
      <c r="L804" s="1361"/>
      <c r="M804" s="1361"/>
      <c r="N804" s="1362"/>
      <c r="O804" s="1544"/>
      <c r="P804" s="1544"/>
      <c r="Q804" s="1544"/>
      <c r="R804" s="1544"/>
      <c r="S804" s="1544"/>
      <c r="T804" s="1398"/>
      <c r="U804" s="1399"/>
      <c r="V804" s="1399"/>
      <c r="W804" s="1400"/>
      <c r="X804" s="1392"/>
      <c r="Y804" s="1393"/>
      <c r="Z804" s="1393"/>
      <c r="AA804" s="1393"/>
      <c r="AB804" s="1394"/>
      <c r="AC804" s="1421">
        <f t="shared" si="42"/>
        <v>0</v>
      </c>
      <c r="AD804" s="1422"/>
      <c r="AE804" s="1422"/>
      <c r="AF804" s="1422"/>
      <c r="AG804" s="1423"/>
      <c r="AH804"/>
      <c r="AI804"/>
      <c r="AJ804"/>
      <c r="AK804"/>
      <c r="AL804"/>
      <c r="AM804"/>
      <c r="AN804"/>
      <c r="AO804"/>
      <c r="AP804"/>
      <c r="AQ804"/>
      <c r="AR804"/>
      <c r="AS804"/>
      <c r="AT804"/>
      <c r="AU804"/>
      <c r="AV804"/>
      <c r="AW804"/>
      <c r="AX804"/>
      <c r="AY804"/>
      <c r="AZ804" s="3"/>
      <c r="CP804" s="1525">
        <f t="shared" si="43"/>
        <v>0</v>
      </c>
      <c r="CQ804" s="1526"/>
      <c r="CR804" s="1526"/>
      <c r="CS804" s="1526"/>
      <c r="CT804" s="1527"/>
      <c r="CU804" s="1525">
        <f t="shared" si="44"/>
        <v>0</v>
      </c>
      <c r="CV804" s="1526"/>
      <c r="CW804" s="1526"/>
      <c r="CX804" s="1526"/>
      <c r="CY804" s="1527"/>
      <c r="CZ804" s="1525">
        <f t="shared" si="45"/>
        <v>0</v>
      </c>
      <c r="DA804" s="1526"/>
      <c r="DB804" s="1526"/>
      <c r="DC804" s="1526"/>
      <c r="DD804" s="1527"/>
      <c r="DE804" s="1525">
        <f t="shared" si="46"/>
        <v>0</v>
      </c>
      <c r="DF804" s="1526"/>
      <c r="DG804" s="1526"/>
      <c r="DH804" s="1526"/>
      <c r="DI804" s="1527"/>
      <c r="DJ804" s="1525">
        <f t="shared" si="47"/>
        <v>0</v>
      </c>
      <c r="DK804" s="1526"/>
      <c r="DL804" s="1526"/>
      <c r="DM804" s="1526"/>
      <c r="DN804" s="1527"/>
      <c r="DO804" s="1525">
        <f t="shared" si="48"/>
        <v>0</v>
      </c>
      <c r="DP804" s="1526"/>
      <c r="DQ804" s="1526"/>
      <c r="DR804" s="1526"/>
      <c r="DS804" s="1527"/>
      <c r="DT804" s="6"/>
      <c r="DU804" s="1525">
        <f t="shared" si="49"/>
        <v>0</v>
      </c>
      <c r="DV804" s="1526"/>
      <c r="DW804" s="1526"/>
      <c r="DX804" s="1526"/>
      <c r="DY804" s="1527"/>
      <c r="DZ804" s="1525">
        <f t="shared" si="50"/>
        <v>0</v>
      </c>
      <c r="EA804" s="1526"/>
      <c r="EB804" s="1526"/>
      <c r="EC804" s="1526"/>
      <c r="ED804" s="1527"/>
      <c r="EE804" s="1525">
        <f t="shared" si="51"/>
        <v>0</v>
      </c>
      <c r="EF804" s="1526"/>
      <c r="EG804" s="1526"/>
      <c r="EH804" s="1526"/>
      <c r="EI804" s="1527"/>
      <c r="EJ804" s="1525">
        <f t="shared" si="52"/>
        <v>0</v>
      </c>
      <c r="EK804" s="1526"/>
      <c r="EL804" s="1526"/>
      <c r="EM804" s="1526"/>
      <c r="EN804" s="1527"/>
      <c r="EO804" s="1525">
        <f t="shared" si="53"/>
        <v>0</v>
      </c>
      <c r="EP804" s="1526"/>
      <c r="EQ804" s="1526"/>
      <c r="ER804" s="1526"/>
      <c r="ES804" s="1527"/>
      <c r="ET804" s="1525">
        <f t="shared" si="54"/>
        <v>0</v>
      </c>
      <c r="EU804" s="1526"/>
      <c r="EV804" s="1526"/>
      <c r="EW804" s="1526"/>
      <c r="EX804" s="1527"/>
    </row>
    <row r="805" spans="1:154" s="4" customFormat="1" ht="12.9" customHeight="1">
      <c r="A805"/>
      <c r="B805"/>
      <c r="C805"/>
      <c r="D805"/>
      <c r="E805"/>
      <c r="F805"/>
      <c r="G805"/>
      <c r="H805"/>
      <c r="I805"/>
      <c r="J805" s="1512" t="s">
        <v>125</v>
      </c>
      <c r="K805" s="1513"/>
      <c r="L805" s="1513"/>
      <c r="M805" s="1513"/>
      <c r="N805" s="1514"/>
      <c r="O805" s="1710">
        <f>SUM(O795:S804)</f>
        <v>0</v>
      </c>
      <c r="P805" s="1710"/>
      <c r="Q805" s="1710"/>
      <c r="R805" s="1710"/>
      <c r="S805" s="1710"/>
      <c r="T805"/>
      <c r="U805"/>
      <c r="V805"/>
      <c r="W805"/>
      <c r="X805" s="893" t="s">
        <v>124</v>
      </c>
      <c r="Y805" s="11"/>
      <c r="Z805" s="11"/>
      <c r="AA805" s="11"/>
      <c r="AB805" s="900"/>
      <c r="AC805" s="1421">
        <f>SUM(AC795:AG804)</f>
        <v>0</v>
      </c>
      <c r="AD805" s="1422"/>
      <c r="AE805" s="1422"/>
      <c r="AF805" s="1422"/>
      <c r="AG805" s="1423"/>
      <c r="AH805"/>
      <c r="AI805"/>
      <c r="AJ805"/>
      <c r="AK805"/>
      <c r="AL805"/>
      <c r="AM805"/>
      <c r="AN805"/>
      <c r="AO805"/>
      <c r="AP805"/>
      <c r="AQ805"/>
      <c r="AR805"/>
      <c r="AS805"/>
      <c r="AT805"/>
      <c r="AU805"/>
      <c r="AV805"/>
      <c r="AW805"/>
      <c r="AX805"/>
      <c r="AY805"/>
      <c r="AZ805" s="3"/>
      <c r="BA805"/>
      <c r="CP805" s="1531">
        <f>SUM(CP795:CT804)</f>
        <v>0</v>
      </c>
      <c r="CQ805" s="1532"/>
      <c r="CR805" s="1532"/>
      <c r="CS805" s="1532"/>
      <c r="CT805" s="1533"/>
      <c r="CU805" s="1647">
        <f>SUM(CU795:CY804)</f>
        <v>0</v>
      </c>
      <c r="CV805" s="1648"/>
      <c r="CW805" s="1648"/>
      <c r="CX805" s="1648"/>
      <c r="CY805" s="1649"/>
      <c r="CZ805" s="1647">
        <f>SUM(CZ795:DD804)</f>
        <v>0</v>
      </c>
      <c r="DA805" s="1648"/>
      <c r="DB805" s="1648"/>
      <c r="DC805" s="1648"/>
      <c r="DD805" s="1649"/>
      <c r="DE805" s="1647">
        <f>SUM(DE795:DI804)</f>
        <v>0</v>
      </c>
      <c r="DF805" s="1648"/>
      <c r="DG805" s="1648"/>
      <c r="DH805" s="1648"/>
      <c r="DI805" s="1649"/>
      <c r="DJ805" s="1647">
        <f>SUM(DJ795:DN804)</f>
        <v>0</v>
      </c>
      <c r="DK805" s="1648"/>
      <c r="DL805" s="1648"/>
      <c r="DM805" s="1648"/>
      <c r="DN805" s="1649"/>
      <c r="DO805" s="1647">
        <f>SUM(DO795:DS804)</f>
        <v>0</v>
      </c>
      <c r="DP805" s="1648"/>
      <c r="DQ805" s="1648"/>
      <c r="DR805" s="1648"/>
      <c r="DS805" s="1649"/>
      <c r="DT805" s="1002"/>
      <c r="DU805" s="1531">
        <f>SUM(DU795:DY804)</f>
        <v>0</v>
      </c>
      <c r="DV805" s="1532"/>
      <c r="DW805" s="1532"/>
      <c r="DX805" s="1532"/>
      <c r="DY805" s="1533"/>
      <c r="DZ805" s="1531">
        <f>SUM(DZ795:ED804)</f>
        <v>0</v>
      </c>
      <c r="EA805" s="1532"/>
      <c r="EB805" s="1532"/>
      <c r="EC805" s="1532"/>
      <c r="ED805" s="1533"/>
      <c r="EE805" s="1531">
        <f>SUM(EE795:EI804)</f>
        <v>0</v>
      </c>
      <c r="EF805" s="1532"/>
      <c r="EG805" s="1532"/>
      <c r="EH805" s="1532"/>
      <c r="EI805" s="1533"/>
      <c r="EJ805" s="1531">
        <f>SUM(EJ795:EN804)</f>
        <v>0</v>
      </c>
      <c r="EK805" s="1532"/>
      <c r="EL805" s="1532"/>
      <c r="EM805" s="1532"/>
      <c r="EN805" s="1533"/>
      <c r="EO805" s="1531">
        <f>SUM(EO795:ES804)</f>
        <v>0</v>
      </c>
      <c r="EP805" s="1532"/>
      <c r="EQ805" s="1532"/>
      <c r="ER805" s="1532"/>
      <c r="ES805" s="1533"/>
      <c r="ET805" s="1531">
        <f>SUM(ET795:EX804)</f>
        <v>0</v>
      </c>
      <c r="EU805" s="1532"/>
      <c r="EV805" s="1532"/>
      <c r="EW805" s="1532"/>
      <c r="EX805" s="1533"/>
    </row>
    <row r="806" spans="1:154" s="4" customFormat="1" ht="12.9" customHeight="1">
      <c r="A806"/>
      <c r="B806"/>
      <c r="C806" s="1624" t="str">
        <f>IF(O805&lt;&gt;AG447,"! Total market rate units in the Unit Mix Table above does not match the number of  market rate units on row #"&amp;TEXT(ROW(D447),"#"),"")</f>
        <v/>
      </c>
      <c r="D806" s="1624"/>
      <c r="E806" s="1624"/>
      <c r="F806" s="1624"/>
      <c r="G806" s="1624"/>
      <c r="H806" s="1624"/>
      <c r="I806" s="1624"/>
      <c r="J806" s="1624"/>
      <c r="K806" s="1624"/>
      <c r="L806" s="1624"/>
      <c r="M806" s="1624"/>
      <c r="N806" s="1624"/>
      <c r="O806" s="1624"/>
      <c r="P806" s="1624"/>
      <c r="Q806" s="1624"/>
      <c r="R806" s="1624"/>
      <c r="S806" s="1624"/>
      <c r="T806" s="1624"/>
      <c r="U806" s="1624"/>
      <c r="V806" s="1624"/>
      <c r="W806" s="1624"/>
      <c r="X806" s="1624"/>
      <c r="Y806" s="1624"/>
      <c r="Z806" s="1624"/>
      <c r="AA806" s="1624"/>
      <c r="AB806" s="1624"/>
      <c r="AC806" s="1624"/>
      <c r="AD806" s="1624"/>
      <c r="AE806" s="1624"/>
      <c r="AF806" s="1624"/>
      <c r="AG806" s="1624"/>
      <c r="AH806" s="1624"/>
      <c r="AI806" s="1624"/>
      <c r="AJ806" s="1624"/>
      <c r="AK806" s="1624"/>
      <c r="AL806" s="1624"/>
      <c r="AM806" s="1624"/>
      <c r="AN806" s="1624"/>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A807"/>
      <c r="B807"/>
      <c r="C807" s="1624"/>
      <c r="D807" s="1624"/>
      <c r="E807" s="1624"/>
      <c r="F807" s="1624"/>
      <c r="G807" s="1624"/>
      <c r="H807" s="1624"/>
      <c r="I807" s="1624"/>
      <c r="J807" s="1624"/>
      <c r="K807" s="1624"/>
      <c r="L807" s="1624"/>
      <c r="M807" s="1624"/>
      <c r="N807" s="1624"/>
      <c r="O807" s="1624"/>
      <c r="P807" s="1624"/>
      <c r="Q807" s="1624"/>
      <c r="R807" s="1624"/>
      <c r="S807" s="1624"/>
      <c r="T807" s="1624"/>
      <c r="U807" s="1624"/>
      <c r="V807" s="1624"/>
      <c r="W807" s="1624"/>
      <c r="X807" s="1624"/>
      <c r="Y807" s="1624"/>
      <c r="Z807" s="1624"/>
      <c r="AA807" s="1624"/>
      <c r="AB807" s="1624"/>
      <c r="AC807" s="1624"/>
      <c r="AD807" s="1624"/>
      <c r="AE807" s="1624"/>
      <c r="AF807" s="1624"/>
      <c r="AG807" s="1624"/>
      <c r="AH807" s="1624"/>
      <c r="AI807" s="1624"/>
      <c r="AJ807" s="1624"/>
      <c r="AK807" s="1624"/>
      <c r="AL807" s="1624"/>
      <c r="AM807" s="1624"/>
      <c r="AN807" s="1624"/>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17">
        <f>SUM(DU805:EX805)</f>
        <v>0</v>
      </c>
      <c r="EU807" s="1818"/>
      <c r="EV807" s="1818"/>
      <c r="EW807" s="1818"/>
      <c r="EX807" s="1819"/>
    </row>
    <row r="808" spans="1:154" s="4" customFormat="1" ht="12.9" customHeight="1">
      <c r="A808"/>
      <c r="B808"/>
      <c r="C808"/>
      <c r="D808"/>
      <c r="E808"/>
      <c r="F808"/>
      <c r="G808"/>
      <c r="H808"/>
      <c r="I808"/>
      <c r="J808" s="45"/>
      <c r="K808" s="5"/>
      <c r="L808" s="5"/>
      <c r="M808" s="5"/>
      <c r="N808" s="5"/>
      <c r="O808" s="5"/>
      <c r="P808" s="5"/>
      <c r="Q808" s="5"/>
      <c r="R808" s="5"/>
      <c r="S808" s="5"/>
      <c r="T808" s="5"/>
      <c r="U808" s="5"/>
      <c r="V808" s="5"/>
      <c r="W808" s="5"/>
      <c r="X808" s="54" t="s">
        <v>161</v>
      </c>
      <c r="Y808" s="1627">
        <f>O761+AC785+AC805</f>
        <v>375592</v>
      </c>
      <c r="Z808" s="1627"/>
      <c r="AA808" s="1627"/>
      <c r="AB808" s="1627"/>
      <c r="AC808" s="162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27">
        <f>(O761+AC785+AC805)*12</f>
        <v>4507104</v>
      </c>
      <c r="Z809" s="1627"/>
      <c r="AA809" s="1627"/>
      <c r="AB809" s="1627"/>
      <c r="AC809" s="162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647">
        <f>CP761+CP785+CP805</f>
        <v>34</v>
      </c>
      <c r="CQ810" s="1648"/>
      <c r="CR810" s="1648"/>
      <c r="CS810" s="1648"/>
      <c r="CT810" s="1649"/>
      <c r="CU810" s="1647">
        <f>CU761+CU785+CU805</f>
        <v>104</v>
      </c>
      <c r="CV810" s="1648"/>
      <c r="CW810" s="1648"/>
      <c r="CX810" s="1648"/>
      <c r="CY810" s="1649"/>
      <c r="CZ810" s="1647">
        <f>CZ761+CZ785+CZ805</f>
        <v>46</v>
      </c>
      <c r="DA810" s="1648"/>
      <c r="DB810" s="1648"/>
      <c r="DC810" s="1648"/>
      <c r="DD810" s="1649"/>
      <c r="DE810" s="1647">
        <f>DE761+DE785+DE805</f>
        <v>0</v>
      </c>
      <c r="DF810" s="1648"/>
      <c r="DG810" s="1648"/>
      <c r="DH810" s="1648"/>
      <c r="DI810" s="1649"/>
      <c r="DJ810" s="1647">
        <f>DJ761+DJ785+DJ805</f>
        <v>0</v>
      </c>
      <c r="DK810" s="1648"/>
      <c r="DL810" s="1648"/>
      <c r="DM810" s="1648"/>
      <c r="DN810" s="1649"/>
      <c r="DO810" s="1528">
        <f>DO805+DO785+DO761</f>
        <v>0</v>
      </c>
      <c r="DP810" s="1529"/>
      <c r="DQ810" s="1529"/>
      <c r="DR810" s="1529"/>
      <c r="DS810" s="1530"/>
      <c r="DT810" s="3"/>
      <c r="DU810" s="852">
        <f>DU763+DU808</f>
        <v>226</v>
      </c>
      <c r="DV810" s="57" t="s">
        <v>1832</v>
      </c>
    </row>
    <row r="811" spans="1:154" s="4" customFormat="1" ht="12.9"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401"/>
      <c r="AA814" s="1402"/>
      <c r="AB814" s="1402"/>
      <c r="AC814" s="1402"/>
      <c r="AD814" s="1402"/>
      <c r="AE814" s="140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12"/>
      <c r="AA815" s="1402"/>
      <c r="AB815" s="1402"/>
      <c r="AC815" s="1402"/>
      <c r="AD815" s="1402"/>
      <c r="AE815" s="140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44">
        <v>0</v>
      </c>
      <c r="AA816" s="1323"/>
      <c r="AB816" s="1323"/>
      <c r="AC816" s="1323"/>
      <c r="AD816" s="1323"/>
      <c r="AE816" s="132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50">
        <f>'Subsidy Contract Calculation'!J40</f>
        <v>0</v>
      </c>
      <c r="AA817" s="1451"/>
      <c r="AB817" s="1451"/>
      <c r="AC817" s="1451"/>
      <c r="AD817" s="1451"/>
      <c r="AE817" s="1452"/>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89"/>
      <c r="AA821" s="1490"/>
      <c r="AB821" s="1490"/>
      <c r="AC821" s="1490"/>
      <c r="AD821" s="1490"/>
      <c r="AE821" s="1491"/>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89"/>
      <c r="AA822" s="1490"/>
      <c r="AB822" s="1490"/>
      <c r="AC822" s="1490"/>
      <c r="AD822" s="1490"/>
      <c r="AE822" s="1491"/>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89"/>
      <c r="AA823" s="1490"/>
      <c r="AB823" s="1490"/>
      <c r="AC823" s="1490"/>
      <c r="AD823" s="1490"/>
      <c r="AE823" s="1491"/>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A824"/>
      <c r="B824"/>
      <c r="C824"/>
      <c r="D824"/>
      <c r="E824"/>
      <c r="F824"/>
      <c r="G824"/>
      <c r="H824" s="45" t="s">
        <v>39</v>
      </c>
      <c r="I824" s="5"/>
      <c r="J824" s="5"/>
      <c r="K824" s="5"/>
      <c r="L824" s="5"/>
      <c r="M824" s="5"/>
      <c r="N824" s="5"/>
      <c r="O824" s="5"/>
      <c r="P824" s="1598" t="s">
        <v>2827</v>
      </c>
      <c r="Q824" s="1599"/>
      <c r="R824" s="1599"/>
      <c r="S824" s="1599"/>
      <c r="T824" s="1599"/>
      <c r="U824" s="1599"/>
      <c r="V824" s="1599"/>
      <c r="W824" s="1599"/>
      <c r="X824" s="1599"/>
      <c r="Y824" s="1600"/>
      <c r="Z824" s="1489">
        <v>1137480</v>
      </c>
      <c r="AA824" s="1490"/>
      <c r="AB824" s="1490"/>
      <c r="AC824" s="1490"/>
      <c r="AD824" s="1490"/>
      <c r="AE824" s="1491"/>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50">
        <f>SUM(Z821:AE824)</f>
        <v>1137480</v>
      </c>
      <c r="AA825" s="1451"/>
      <c r="AB825" s="1451"/>
      <c r="AC825" s="1451"/>
      <c r="AD825" s="1451"/>
      <c r="AE825" s="1452"/>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50">
        <f>Z825+Y809+Z817</f>
        <v>5644584</v>
      </c>
      <c r="AA826" s="1451"/>
      <c r="AB826" s="1451"/>
      <c r="AC826" s="1451"/>
      <c r="AD826" s="1451"/>
      <c r="AE826" s="1452"/>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 customHeight="1">
      <c r="A831"/>
      <c r="B831"/>
      <c r="C831" s="41"/>
      <c r="D831" s="42"/>
      <c r="E831" s="42"/>
      <c r="F831" s="42"/>
      <c r="G831" s="42"/>
      <c r="H831" s="42"/>
      <c r="I831" s="42"/>
      <c r="J831" s="42"/>
      <c r="K831" s="42"/>
      <c r="L831" s="58"/>
      <c r="M831" s="1579" t="s">
        <v>126</v>
      </c>
      <c r="N831" s="1579"/>
      <c r="O831" s="1579"/>
      <c r="P831" s="1628"/>
      <c r="Q831" s="1626" t="s">
        <v>290</v>
      </c>
      <c r="R831" s="1626"/>
      <c r="S831" s="1626"/>
      <c r="T831" s="1626"/>
      <c r="U831" s="1626" t="s">
        <v>291</v>
      </c>
      <c r="V831" s="1626"/>
      <c r="W831" s="1626"/>
      <c r="X831" s="1626"/>
      <c r="Y831" s="1626" t="s">
        <v>292</v>
      </c>
      <c r="Z831" s="1626"/>
      <c r="AA831" s="1626"/>
      <c r="AB831" s="1626"/>
      <c r="AC831" s="1626" t="s">
        <v>361</v>
      </c>
      <c r="AD831" s="1626"/>
      <c r="AE831" s="1626"/>
      <c r="AF831" s="1626"/>
      <c r="AG831" s="1625" t="s">
        <v>335</v>
      </c>
      <c r="AH831" s="1625"/>
      <c r="AI831" s="1625"/>
      <c r="AJ831" s="1625"/>
      <c r="AK831"/>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A832"/>
      <c r="B832"/>
      <c r="C832" s="47"/>
      <c r="D832" s="48"/>
      <c r="E832" s="48"/>
      <c r="F832" s="48"/>
      <c r="G832" s="48"/>
      <c r="H832" s="48"/>
      <c r="I832" s="48"/>
      <c r="J832" s="48"/>
      <c r="K832" s="48"/>
      <c r="L832" s="49"/>
      <c r="M832" s="1583"/>
      <c r="N832" s="1583"/>
      <c r="O832" s="1583"/>
      <c r="P832" s="1629"/>
      <c r="Q832" s="1626"/>
      <c r="R832" s="1626"/>
      <c r="S832" s="1626"/>
      <c r="T832" s="1626"/>
      <c r="U832" s="1626"/>
      <c r="V832" s="1626"/>
      <c r="W832" s="1626"/>
      <c r="X832" s="1626"/>
      <c r="Y832" s="1626"/>
      <c r="Z832" s="1626"/>
      <c r="AA832" s="1626"/>
      <c r="AB832" s="1626"/>
      <c r="AC832" s="1626"/>
      <c r="AD832" s="1626"/>
      <c r="AE832" s="1626"/>
      <c r="AF832" s="1626"/>
      <c r="AG832" s="1625"/>
      <c r="AH832" s="1625"/>
      <c r="AI832" s="1625"/>
      <c r="AJ832" s="1625"/>
      <c r="AK832"/>
      <c r="AL832" s="3"/>
      <c r="AM832" s="3"/>
      <c r="AN832" s="3"/>
      <c r="AO832" s="3"/>
      <c r="AP832" s="3"/>
      <c r="AQ832" s="3"/>
      <c r="AR832" s="3"/>
      <c r="AS832" s="3"/>
      <c r="AT832" s="3"/>
      <c r="AU832"/>
      <c r="AV832" s="3"/>
      <c r="AW832" s="3"/>
      <c r="AX832" s="3"/>
      <c r="AY832" s="3"/>
      <c r="AZ832" s="30"/>
      <c r="BA832" s="30"/>
    </row>
    <row r="833" spans="1:53" s="14" customFormat="1" ht="12.9" customHeight="1">
      <c r="A833"/>
      <c r="B833"/>
      <c r="C833" s="1567" t="s">
        <v>40</v>
      </c>
      <c r="D833" s="1428"/>
      <c r="E833" s="1428"/>
      <c r="F833" s="1428"/>
      <c r="G833" s="1428"/>
      <c r="H833" s="1428"/>
      <c r="I833" s="48"/>
      <c r="J833" s="48"/>
      <c r="K833" s="48"/>
      <c r="L833" s="49"/>
      <c r="M833" s="1604"/>
      <c r="N833" s="1604"/>
      <c r="O833" s="1604"/>
      <c r="P833" s="1604"/>
      <c r="Q833" s="1604"/>
      <c r="R833" s="1604"/>
      <c r="S833" s="1604"/>
      <c r="T833" s="1604"/>
      <c r="U833" s="1604"/>
      <c r="V833" s="1604"/>
      <c r="W833" s="1604"/>
      <c r="X833" s="1604"/>
      <c r="Y833" s="1604"/>
      <c r="Z833" s="1604"/>
      <c r="AA833" s="1604"/>
      <c r="AB833" s="1604"/>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2.9" customHeight="1">
      <c r="A834"/>
      <c r="B834"/>
      <c r="C834" s="1646" t="s">
        <v>41</v>
      </c>
      <c r="D834" s="1642"/>
      <c r="E834" s="1642"/>
      <c r="F834" s="1642"/>
      <c r="G834" s="1642"/>
      <c r="H834" s="1642"/>
      <c r="I834" s="5"/>
      <c r="J834" s="5"/>
      <c r="K834" s="5"/>
      <c r="L834" s="46"/>
      <c r="M834" s="1604"/>
      <c r="N834" s="1604"/>
      <c r="O834" s="1604"/>
      <c r="P834" s="1604"/>
      <c r="Q834" s="1604"/>
      <c r="R834" s="1604"/>
      <c r="S834" s="1604"/>
      <c r="T834" s="1604"/>
      <c r="U834" s="1604"/>
      <c r="V834" s="1604"/>
      <c r="W834" s="1604"/>
      <c r="X834" s="1604"/>
      <c r="Y834" s="1604"/>
      <c r="Z834" s="1604"/>
      <c r="AA834" s="1604"/>
      <c r="AB834" s="1604"/>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2.9" customHeight="1">
      <c r="A835"/>
      <c r="B835"/>
      <c r="C835" s="1646" t="s">
        <v>42</v>
      </c>
      <c r="D835" s="1642"/>
      <c r="E835" s="1642"/>
      <c r="F835" s="1642"/>
      <c r="G835" s="1642"/>
      <c r="H835" s="1642"/>
      <c r="I835" s="60"/>
      <c r="J835" s="60"/>
      <c r="K835" s="60"/>
      <c r="L835" s="61"/>
      <c r="M835" s="1604"/>
      <c r="N835" s="1604"/>
      <c r="O835" s="1604"/>
      <c r="P835" s="1604"/>
      <c r="Q835" s="1604"/>
      <c r="R835" s="1604"/>
      <c r="S835" s="1604"/>
      <c r="T835" s="1604"/>
      <c r="U835" s="1604"/>
      <c r="V835" s="1604"/>
      <c r="W835" s="1604"/>
      <c r="X835" s="1604"/>
      <c r="Y835" s="1604"/>
      <c r="Z835" s="1604"/>
      <c r="AA835" s="1604"/>
      <c r="AB835" s="1604"/>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2.9" customHeight="1">
      <c r="A836"/>
      <c r="B836"/>
      <c r="C836" s="1646" t="s">
        <v>762</v>
      </c>
      <c r="D836" s="1642"/>
      <c r="E836" s="1642"/>
      <c r="F836" s="1642"/>
      <c r="G836" s="1642"/>
      <c r="H836" s="1642"/>
      <c r="I836" s="60"/>
      <c r="J836" s="60"/>
      <c r="K836" s="60"/>
      <c r="L836" s="61"/>
      <c r="M836" s="1604"/>
      <c r="N836" s="1604"/>
      <c r="O836" s="1604"/>
      <c r="P836" s="1604"/>
      <c r="Q836" s="1604"/>
      <c r="R836" s="1604"/>
      <c r="S836" s="1604"/>
      <c r="T836" s="1604"/>
      <c r="U836" s="1604"/>
      <c r="V836" s="1604"/>
      <c r="W836" s="1604"/>
      <c r="X836" s="1604"/>
      <c r="Y836" s="1604"/>
      <c r="Z836" s="1604"/>
      <c r="AA836" s="1604"/>
      <c r="AB836" s="1604"/>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2.9" customHeight="1">
      <c r="A837"/>
      <c r="B837"/>
      <c r="C837" s="1646" t="s">
        <v>459</v>
      </c>
      <c r="D837" s="1642"/>
      <c r="E837" s="1642"/>
      <c r="F837" s="1642"/>
      <c r="G837" s="1642"/>
      <c r="H837" s="1642"/>
      <c r="I837" s="60"/>
      <c r="J837" s="60"/>
      <c r="K837" s="60"/>
      <c r="L837" s="61"/>
      <c r="M837" s="1604"/>
      <c r="N837" s="1604"/>
      <c r="O837" s="1604"/>
      <c r="P837" s="1604"/>
      <c r="Q837" s="1604"/>
      <c r="R837" s="1604"/>
      <c r="S837" s="1604"/>
      <c r="T837" s="1604"/>
      <c r="U837" s="1604"/>
      <c r="V837" s="1604"/>
      <c r="W837" s="1604"/>
      <c r="X837" s="1604"/>
      <c r="Y837" s="1604"/>
      <c r="Z837" s="1604"/>
      <c r="AA837" s="1604"/>
      <c r="AB837" s="1604"/>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2.9" customHeight="1">
      <c r="A838"/>
      <c r="B838"/>
      <c r="C838" s="1641" t="s">
        <v>783</v>
      </c>
      <c r="D838" s="1642"/>
      <c r="E838" s="1642"/>
      <c r="F838" s="1642"/>
      <c r="G838" s="1642"/>
      <c r="H838" s="1642"/>
      <c r="I838" s="60"/>
      <c r="J838" s="60"/>
      <c r="K838" s="60"/>
      <c r="L838" s="61"/>
      <c r="M838" s="1604"/>
      <c r="N838" s="1604"/>
      <c r="O838" s="1604"/>
      <c r="P838" s="1604"/>
      <c r="Q838" s="1604"/>
      <c r="R838" s="1604"/>
      <c r="S838" s="1604"/>
      <c r="T838" s="1604"/>
      <c r="U838" s="1604"/>
      <c r="V838" s="1604"/>
      <c r="W838" s="1604"/>
      <c r="X838" s="1604"/>
      <c r="Y838" s="1604"/>
      <c r="Z838" s="1604"/>
      <c r="AA838" s="1604"/>
      <c r="AB838" s="1604"/>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2.9" customHeight="1">
      <c r="A839"/>
      <c r="B839"/>
      <c r="C839" s="59" t="s">
        <v>293</v>
      </c>
      <c r="D839" s="60"/>
      <c r="E839" s="60"/>
      <c r="F839" s="1598" t="s">
        <v>334</v>
      </c>
      <c r="G839" s="1599"/>
      <c r="H839" s="1599"/>
      <c r="I839" s="1599"/>
      <c r="J839" s="1599"/>
      <c r="K839" s="1599"/>
      <c r="L839" s="1599"/>
      <c r="M839" s="1604"/>
      <c r="N839" s="1604"/>
      <c r="O839" s="1604"/>
      <c r="P839" s="1604"/>
      <c r="Q839" s="1604"/>
      <c r="R839" s="1604"/>
      <c r="S839" s="1604"/>
      <c r="T839" s="1604"/>
      <c r="U839" s="1604"/>
      <c r="V839" s="1604"/>
      <c r="W839" s="1604"/>
      <c r="X839" s="1604"/>
      <c r="Y839" s="1604"/>
      <c r="Z839" s="1604"/>
      <c r="AA839" s="1604"/>
      <c r="AB839" s="1604"/>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2.9" customHeight="1">
      <c r="A840"/>
      <c r="B840"/>
      <c r="C840" s="1512" t="s">
        <v>124</v>
      </c>
      <c r="D840" s="1513"/>
      <c r="E840" s="1513"/>
      <c r="F840" s="1513"/>
      <c r="G840" s="1513"/>
      <c r="H840" s="1513"/>
      <c r="I840" s="1513"/>
      <c r="J840" s="1513"/>
      <c r="K840" s="1513"/>
      <c r="L840" s="1514"/>
      <c r="M840" s="1636">
        <f>SUM(M833:P839)</f>
        <v>0</v>
      </c>
      <c r="N840" s="1636"/>
      <c r="O840" s="1636"/>
      <c r="P840" s="1636"/>
      <c r="Q840" s="1636">
        <f>SUM(Q833:T839)</f>
        <v>0</v>
      </c>
      <c r="R840" s="1636"/>
      <c r="S840" s="1636"/>
      <c r="T840" s="1636"/>
      <c r="U840" s="1636">
        <f>SUM(U833:X839)</f>
        <v>0</v>
      </c>
      <c r="V840" s="1636"/>
      <c r="W840" s="1636"/>
      <c r="X840" s="1636"/>
      <c r="Y840" s="1636">
        <f>SUM(Y833:AB839)</f>
        <v>0</v>
      </c>
      <c r="Z840" s="1636"/>
      <c r="AA840" s="1636"/>
      <c r="AB840" s="1636"/>
      <c r="AC840" s="1636">
        <f>SUM(AC833:AF839)</f>
        <v>0</v>
      </c>
      <c r="AD840" s="1636"/>
      <c r="AE840" s="1636"/>
      <c r="AF840" s="1636"/>
      <c r="AG840" s="1636">
        <f>SUM(AG833:AJ839)</f>
        <v>0</v>
      </c>
      <c r="AH840" s="1636"/>
      <c r="AI840" s="1636"/>
      <c r="AJ840" s="1636"/>
      <c r="AK840"/>
      <c r="AL840" s="3"/>
      <c r="AM840" s="3"/>
      <c r="AN840" s="3"/>
      <c r="AO840" s="3"/>
      <c r="AP840" s="3"/>
      <c r="AQ840" s="3"/>
      <c r="AR840" s="3"/>
      <c r="AS840" s="3"/>
      <c r="AT840" s="3"/>
      <c r="AU840"/>
      <c r="AV840" s="3"/>
      <c r="AW840" s="3"/>
      <c r="AX840" s="3"/>
      <c r="AY840" s="3"/>
      <c r="AZ840" s="30"/>
      <c r="BA840" s="30"/>
    </row>
    <row r="841" spans="1:53" s="14" customFormat="1" ht="12.9"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 customHeight="1">
      <c r="A845"/>
      <c r="B845"/>
      <c r="C845" s="1722" t="s">
        <v>2817</v>
      </c>
      <c r="D845" s="1723"/>
      <c r="E845" s="1723"/>
      <c r="F845" s="1723"/>
      <c r="G845" s="1723"/>
      <c r="H845" s="1723"/>
      <c r="I845" s="1723"/>
      <c r="J845" s="1723"/>
      <c r="K845" s="1723"/>
      <c r="L845" s="1723"/>
      <c r="M845" s="1723"/>
      <c r="N845" s="1723"/>
      <c r="O845" s="1723"/>
      <c r="P845" s="1723"/>
      <c r="Q845" s="1723"/>
      <c r="R845" s="1723"/>
      <c r="S845" s="1723"/>
      <c r="T845" s="1723"/>
      <c r="U845" s="1723"/>
      <c r="V845" s="1723"/>
      <c r="W845" s="1723"/>
      <c r="X845" s="1723"/>
      <c r="Y845" s="1723"/>
      <c r="Z845" s="1723"/>
      <c r="AA845" s="1723"/>
      <c r="AB845" s="1723"/>
      <c r="AC845" s="1723"/>
      <c r="AD845" s="1723"/>
      <c r="AE845" s="1723"/>
      <c r="AF845" s="1723"/>
      <c r="AG845" s="1723"/>
      <c r="AH845" s="1723"/>
      <c r="AI845" s="1723"/>
      <c r="AJ845" s="1724"/>
      <c r="AK845"/>
      <c r="AL845" s="3"/>
      <c r="AM845" s="3"/>
      <c r="AN845" s="3"/>
      <c r="AO845" s="3"/>
      <c r="AP845" s="3"/>
      <c r="AQ845" s="3"/>
      <c r="AR845" s="3"/>
      <c r="AS845" s="3"/>
      <c r="AT845" s="3"/>
      <c r="AU845"/>
      <c r="AV845"/>
      <c r="AW845"/>
      <c r="AX845"/>
      <c r="AY845"/>
      <c r="AZ845" s="30"/>
      <c r="BA845" s="30"/>
    </row>
    <row r="846" spans="1:53" s="14" customFormat="1" ht="12.9"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7"/>
      <c r="BJ849" s="1637"/>
      <c r="BK849" s="1637"/>
      <c r="BL849" s="1637"/>
    </row>
    <row r="850" spans="1:64" s="14" customFormat="1" ht="12.9" customHeight="1">
      <c r="A850"/>
      <c r="B850"/>
      <c r="C850" s="2" t="s">
        <v>343</v>
      </c>
      <c r="D850"/>
      <c r="E850"/>
      <c r="F850"/>
      <c r="G850"/>
      <c r="H850"/>
      <c r="I850"/>
      <c r="J850" s="45" t="s">
        <v>356</v>
      </c>
      <c r="K850" s="5"/>
      <c r="L850" s="5"/>
      <c r="M850" s="5"/>
      <c r="N850" s="5"/>
      <c r="O850" s="5"/>
      <c r="P850" s="5"/>
      <c r="Q850" s="5"/>
      <c r="R850" s="5"/>
      <c r="S850" s="5"/>
      <c r="T850" s="5"/>
      <c r="U850" s="5"/>
      <c r="V850" s="46"/>
      <c r="W850" s="1621">
        <v>20000</v>
      </c>
      <c r="X850" s="1621"/>
      <c r="Y850" s="1621"/>
      <c r="Z850" s="1621"/>
      <c r="AA850" s="1621"/>
      <c r="AB850" s="1621"/>
      <c r="AC850" s="1621"/>
      <c r="AD850"/>
      <c r="AE850"/>
      <c r="AF850"/>
      <c r="AG850"/>
      <c r="AH850"/>
      <c r="AI850"/>
      <c r="AJ850"/>
      <c r="AK850"/>
      <c r="AL850"/>
      <c r="AM850"/>
      <c r="AN850"/>
      <c r="AO850"/>
      <c r="AP850"/>
      <c r="AQ850"/>
      <c r="AR850"/>
      <c r="AS850"/>
      <c r="AT850"/>
      <c r="AU850"/>
      <c r="AV850"/>
      <c r="AW850"/>
      <c r="AX850"/>
      <c r="AY850"/>
      <c r="AZ850" s="30"/>
      <c r="BA850" s="30"/>
    </row>
    <row r="851" spans="1:64" s="14" customFormat="1" ht="12.9" customHeight="1">
      <c r="A851"/>
      <c r="B851"/>
      <c r="C851"/>
      <c r="D851"/>
      <c r="E851"/>
      <c r="F851"/>
      <c r="G851"/>
      <c r="H851"/>
      <c r="I851"/>
      <c r="J851" s="45" t="s">
        <v>355</v>
      </c>
      <c r="K851" s="5"/>
      <c r="L851" s="5"/>
      <c r="M851" s="5"/>
      <c r="N851" s="5"/>
      <c r="O851" s="5"/>
      <c r="P851" s="5"/>
      <c r="Q851" s="5"/>
      <c r="R851" s="5"/>
      <c r="S851" s="5"/>
      <c r="T851" s="5"/>
      <c r="U851" s="5"/>
      <c r="V851" s="46"/>
      <c r="W851" s="1621">
        <v>6000</v>
      </c>
      <c r="X851" s="1621"/>
      <c r="Y851" s="1621"/>
      <c r="Z851" s="1621"/>
      <c r="AA851" s="1621"/>
      <c r="AB851" s="1621"/>
      <c r="AC851" s="1621"/>
      <c r="AD851"/>
      <c r="AE851"/>
      <c r="AF851"/>
      <c r="AG851"/>
      <c r="AH851"/>
      <c r="AI851"/>
      <c r="AJ851"/>
      <c r="AK851"/>
      <c r="AL851"/>
      <c r="AM851"/>
      <c r="AN851"/>
      <c r="AO851"/>
      <c r="AP851"/>
      <c r="AQ851"/>
      <c r="AR851"/>
      <c r="AS851"/>
      <c r="AT851"/>
      <c r="AU851"/>
      <c r="AV851"/>
      <c r="AW851"/>
      <c r="AX851"/>
      <c r="AY851"/>
      <c r="AZ851" s="30"/>
      <c r="BA851" s="30"/>
    </row>
    <row r="852" spans="1:64" ht="12.9" customHeight="1">
      <c r="J852" s="45" t="s">
        <v>354</v>
      </c>
      <c r="K852" s="5"/>
      <c r="L852" s="5"/>
      <c r="M852" s="5"/>
      <c r="N852" s="5"/>
      <c r="O852" s="5"/>
      <c r="P852" s="5"/>
      <c r="Q852" s="5"/>
      <c r="R852" s="5"/>
      <c r="S852" s="5"/>
      <c r="T852" s="5"/>
      <c r="U852" s="5"/>
      <c r="V852" s="46"/>
      <c r="W852" s="1621">
        <v>6000</v>
      </c>
      <c r="X852" s="1621"/>
      <c r="Y852" s="1621"/>
      <c r="Z852" s="1621"/>
      <c r="AA852" s="1621"/>
      <c r="AB852" s="1621"/>
      <c r="AC852" s="1621"/>
      <c r="AZ852" s="30"/>
      <c r="BA852" s="30"/>
      <c r="BB852" s="14"/>
      <c r="BC852" s="14"/>
      <c r="BD852" s="14"/>
      <c r="BE852" s="14"/>
      <c r="BF852" s="14"/>
      <c r="BG852" s="14"/>
      <c r="BH852" s="14"/>
      <c r="BI852" s="14"/>
      <c r="BJ852" s="14"/>
      <c r="BK852" s="14"/>
      <c r="BL852" s="14"/>
    </row>
    <row r="853" spans="1:64" ht="12.9" customHeight="1">
      <c r="J853" s="45" t="s">
        <v>353</v>
      </c>
      <c r="K853" s="5"/>
      <c r="L853" s="5"/>
      <c r="M853" s="5"/>
      <c r="N853" s="5"/>
      <c r="O853" s="5"/>
      <c r="P853" s="5"/>
      <c r="Q853" s="5"/>
      <c r="R853" s="5"/>
      <c r="S853" s="5"/>
      <c r="T853" s="5"/>
      <c r="U853" s="5"/>
      <c r="V853" s="46"/>
      <c r="W853" s="1621">
        <v>24000</v>
      </c>
      <c r="X853" s="1621"/>
      <c r="Y853" s="1621"/>
      <c r="Z853" s="1621"/>
      <c r="AA853" s="1621"/>
      <c r="AB853" s="1621"/>
      <c r="AC853" s="1621"/>
      <c r="AZ853" s="30"/>
      <c r="BA853" s="30"/>
      <c r="BB853" s="14"/>
      <c r="BC853" s="14"/>
      <c r="BD853" s="14"/>
      <c r="BE853" s="14"/>
      <c r="BF853" s="14"/>
      <c r="BG853" s="14"/>
      <c r="BH853" s="14"/>
      <c r="BI853" s="14"/>
      <c r="BJ853" s="14"/>
      <c r="BK853" s="14"/>
      <c r="BL853" s="14"/>
    </row>
    <row r="854" spans="1:64" ht="12.9" customHeight="1">
      <c r="J854" s="45" t="s">
        <v>170</v>
      </c>
      <c r="K854" s="5"/>
      <c r="L854" s="5"/>
      <c r="M854" s="1598" t="s">
        <v>2819</v>
      </c>
      <c r="N854" s="1599"/>
      <c r="O854" s="1599"/>
      <c r="P854" s="1599"/>
      <c r="Q854" s="1599"/>
      <c r="R854" s="1599"/>
      <c r="S854" s="1599"/>
      <c r="T854" s="1599"/>
      <c r="U854" s="1599"/>
      <c r="V854" s="1600"/>
      <c r="W854" s="1621">
        <v>57500</v>
      </c>
      <c r="X854" s="1621"/>
      <c r="Y854" s="1621"/>
      <c r="Z854" s="1621"/>
      <c r="AA854" s="1621"/>
      <c r="AB854" s="1621"/>
      <c r="AC854" s="1621"/>
      <c r="AZ854" s="30"/>
      <c r="BA854" s="30"/>
      <c r="BB854" s="14"/>
      <c r="BC854" s="14"/>
      <c r="BD854" s="14"/>
      <c r="BE854" s="14"/>
      <c r="BF854" s="14"/>
      <c r="BG854" s="14"/>
      <c r="BH854" s="14"/>
      <c r="BI854" s="14"/>
      <c r="BJ854" s="14"/>
      <c r="BK854" s="14"/>
      <c r="BL854" s="14"/>
    </row>
    <row r="855" spans="1:64" ht="12.9" customHeight="1">
      <c r="J855" s="45"/>
      <c r="K855" s="5"/>
      <c r="L855" s="5"/>
      <c r="M855" s="5"/>
      <c r="N855" s="5"/>
      <c r="O855" s="5"/>
      <c r="P855" s="5"/>
      <c r="Q855" s="5"/>
      <c r="R855" s="5"/>
      <c r="S855" s="5"/>
      <c r="T855" s="5"/>
      <c r="U855" s="5"/>
      <c r="V855" s="54" t="s">
        <v>342</v>
      </c>
      <c r="W855" s="1450">
        <f>SUM(W850:W854)</f>
        <v>113500</v>
      </c>
      <c r="X855" s="1451"/>
      <c r="Y855" s="1451"/>
      <c r="Z855" s="1451"/>
      <c r="AA855" s="1451"/>
      <c r="AB855" s="1451"/>
      <c r="AC855" s="1452"/>
      <c r="AZ855" s="30"/>
      <c r="BA855" s="30"/>
      <c r="BB855" s="14"/>
      <c r="BC855" s="14"/>
      <c r="BD855" s="14"/>
      <c r="BE855" s="14"/>
      <c r="BF855" s="14"/>
      <c r="BG855" s="14"/>
      <c r="BH855" s="14"/>
      <c r="BI855" s="14"/>
      <c r="BJ855" s="14"/>
      <c r="BK855" s="14"/>
      <c r="BL855" s="14"/>
    </row>
    <row r="856" spans="1:64" ht="12.9" customHeight="1">
      <c r="AZ856" s="30"/>
      <c r="BA856" s="30"/>
      <c r="BB856" s="14"/>
      <c r="BC856" s="14"/>
      <c r="BD856" s="14"/>
      <c r="BE856" s="14"/>
      <c r="BF856" s="14"/>
      <c r="BG856" s="1634"/>
      <c r="BH856" s="1634"/>
      <c r="BI856" s="1634"/>
      <c r="BJ856" s="1634"/>
      <c r="BK856" s="1634"/>
      <c r="BL856" s="1634"/>
    </row>
    <row r="857" spans="1:64" ht="12.9" customHeight="1">
      <c r="C857" s="2" t="s">
        <v>344</v>
      </c>
      <c r="J857" s="1512" t="s">
        <v>345</v>
      </c>
      <c r="K857" s="1513"/>
      <c r="L857" s="1513"/>
      <c r="M857" s="1513"/>
      <c r="N857" s="1513"/>
      <c r="O857" s="1513"/>
      <c r="P857" s="1513"/>
      <c r="Q857" s="1513"/>
      <c r="R857" s="1513"/>
      <c r="S857" s="1513"/>
      <c r="T857" s="1513"/>
      <c r="U857" s="1513"/>
      <c r="V857" s="1514"/>
      <c r="W857" s="1489">
        <v>136325</v>
      </c>
      <c r="X857" s="1490"/>
      <c r="Y857" s="1490"/>
      <c r="Z857" s="1490"/>
      <c r="AA857" s="1490"/>
      <c r="AB857" s="1490"/>
      <c r="AC857" s="1491"/>
      <c r="AD857" s="529"/>
      <c r="AZ857" s="30"/>
      <c r="BA857" s="30"/>
      <c r="BB857" s="14"/>
      <c r="BC857" s="14"/>
    </row>
    <row r="858" spans="1:64" ht="12.9" customHeight="1">
      <c r="AD858" s="529"/>
      <c r="AZ858" s="30"/>
      <c r="BA858" s="30"/>
      <c r="BB858" s="14"/>
      <c r="BC858" s="14"/>
    </row>
    <row r="859" spans="1:64" ht="12.9" customHeight="1">
      <c r="C859" s="2" t="s">
        <v>561</v>
      </c>
      <c r="J859" s="45" t="s">
        <v>352</v>
      </c>
      <c r="K859" s="5"/>
      <c r="L859" s="5"/>
      <c r="M859" s="5"/>
      <c r="N859" s="5"/>
      <c r="O859" s="5"/>
      <c r="P859" s="5"/>
      <c r="Q859" s="5"/>
      <c r="R859" s="5"/>
      <c r="S859" s="5"/>
      <c r="T859" s="5"/>
      <c r="U859" s="5"/>
      <c r="V859" s="46"/>
      <c r="W859" s="1558"/>
      <c r="X859" s="1558"/>
      <c r="Y859" s="1558"/>
      <c r="Z859" s="1558"/>
      <c r="AA859" s="1558"/>
      <c r="AB859" s="1558"/>
      <c r="AC859" s="1558"/>
      <c r="AZ859" s="1711"/>
      <c r="BA859" s="1711"/>
      <c r="BB859" s="14"/>
      <c r="BC859" s="14"/>
    </row>
    <row r="860" spans="1:64" ht="12.9" customHeight="1">
      <c r="J860" s="45" t="s">
        <v>351</v>
      </c>
      <c r="K860" s="5"/>
      <c r="L860" s="5"/>
      <c r="M860" s="5"/>
      <c r="N860" s="5"/>
      <c r="O860" s="5"/>
      <c r="P860" s="5"/>
      <c r="Q860" s="5"/>
      <c r="R860" s="5"/>
      <c r="S860" s="5"/>
      <c r="T860" s="5"/>
      <c r="U860" s="5"/>
      <c r="V860" s="46"/>
      <c r="W860" s="1558">
        <v>40000</v>
      </c>
      <c r="X860" s="1558"/>
      <c r="Y860" s="1558"/>
      <c r="Z860" s="1558"/>
      <c r="AA860" s="1558"/>
      <c r="AB860" s="1558"/>
      <c r="AC860" s="1558"/>
      <c r="AZ860" s="30"/>
      <c r="BA860" s="30"/>
      <c r="BB860" s="14"/>
      <c r="BC860" s="14"/>
    </row>
    <row r="861" spans="1:64" ht="12.9" customHeight="1">
      <c r="J861" s="45" t="s">
        <v>459</v>
      </c>
      <c r="K861" s="5"/>
      <c r="L861" s="5"/>
      <c r="M861" s="5"/>
      <c r="N861" s="5"/>
      <c r="O861" s="5"/>
      <c r="P861" s="5"/>
      <c r="Q861" s="5"/>
      <c r="R861" s="5"/>
      <c r="S861" s="5"/>
      <c r="T861" s="5"/>
      <c r="U861" s="5"/>
      <c r="V861" s="46"/>
      <c r="W861" s="1558">
        <v>100000</v>
      </c>
      <c r="X861" s="1558"/>
      <c r="Y861" s="1558"/>
      <c r="Z861" s="1558"/>
      <c r="AA861" s="1558"/>
      <c r="AB861" s="1558"/>
      <c r="AC861" s="1558"/>
      <c r="AZ861" s="30"/>
      <c r="BA861" s="30"/>
      <c r="BB861" s="14"/>
      <c r="BC861" s="14"/>
    </row>
    <row r="862" spans="1:64" ht="12.9" customHeight="1">
      <c r="J862" s="62" t="s">
        <v>620</v>
      </c>
      <c r="K862" s="5"/>
      <c r="L862" s="5"/>
      <c r="M862" s="5"/>
      <c r="N862" s="5"/>
      <c r="O862" s="5"/>
      <c r="P862" s="5"/>
      <c r="Q862" s="5"/>
      <c r="R862" s="5"/>
      <c r="S862" s="5"/>
      <c r="T862" s="5"/>
      <c r="U862" s="5"/>
      <c r="V862" s="46"/>
      <c r="W862" s="1558">
        <v>80000</v>
      </c>
      <c r="X862" s="1558"/>
      <c r="Y862" s="1558"/>
      <c r="Z862" s="1558"/>
      <c r="AA862" s="1558"/>
      <c r="AB862" s="1558"/>
      <c r="AC862" s="1558"/>
      <c r="AZ862" s="34"/>
      <c r="BA862" s="34"/>
      <c r="BB862" s="34"/>
      <c r="BC862" s="34"/>
    </row>
    <row r="863" spans="1:64" ht="12.9" customHeight="1">
      <c r="J863" s="63"/>
      <c r="K863" s="48"/>
      <c r="L863" s="48"/>
      <c r="M863" s="48"/>
      <c r="N863" s="48"/>
      <c r="O863" s="48"/>
      <c r="P863" s="48"/>
      <c r="Q863" s="48"/>
      <c r="R863" s="48"/>
      <c r="S863" s="48"/>
      <c r="T863" s="48"/>
      <c r="U863" s="48"/>
      <c r="V863" s="54" t="s">
        <v>272</v>
      </c>
      <c r="W863" s="1557">
        <f>SUM(W859:W862)</f>
        <v>220000</v>
      </c>
      <c r="X863" s="1557"/>
      <c r="Y863" s="1557"/>
      <c r="Z863" s="1557"/>
      <c r="AA863" s="1557"/>
      <c r="AB863" s="1557"/>
      <c r="AC863" s="1557"/>
      <c r="AZ863" s="34"/>
      <c r="BA863" s="34"/>
      <c r="BB863" s="34"/>
      <c r="BC863" s="34"/>
    </row>
    <row r="864" spans="1:64" ht="12.9" customHeight="1">
      <c r="AZ864" s="34"/>
      <c r="BA864" s="34"/>
      <c r="BB864" s="34"/>
      <c r="BC864" s="34"/>
    </row>
    <row r="865" spans="3:55" ht="12.9" customHeight="1">
      <c r="C865" s="2" t="s">
        <v>346</v>
      </c>
      <c r="J865" s="45" t="s">
        <v>619</v>
      </c>
      <c r="K865" s="5"/>
      <c r="L865" s="5"/>
      <c r="M865" s="5"/>
      <c r="N865" s="5"/>
      <c r="O865" s="5"/>
      <c r="P865" s="5"/>
      <c r="Q865" s="5"/>
      <c r="R865" s="5"/>
      <c r="S865" s="5"/>
      <c r="T865" s="5"/>
      <c r="U865" s="5"/>
      <c r="V865" s="46"/>
      <c r="W865" s="1605">
        <f>90000+62400+40000</f>
        <v>192400</v>
      </c>
      <c r="X865" s="1606"/>
      <c r="Y865" s="1606"/>
      <c r="Z865" s="1606"/>
      <c r="AA865" s="1606"/>
      <c r="AB865" s="1606"/>
      <c r="AC865" s="1607"/>
      <c r="AD865" s="524"/>
      <c r="AZ865" s="34"/>
      <c r="BA865" s="34"/>
      <c r="BB865" s="34"/>
      <c r="BC865" s="34"/>
    </row>
    <row r="866" spans="3:55" ht="12.9" customHeight="1">
      <c r="C866" s="2" t="s">
        <v>347</v>
      </c>
      <c r="J866" s="121" t="s">
        <v>1643</v>
      </c>
      <c r="K866" s="5"/>
      <c r="L866" s="5"/>
      <c r="M866" s="5"/>
      <c r="N866" s="5"/>
      <c r="O866" s="5"/>
      <c r="P866" s="5"/>
      <c r="Q866" s="5"/>
      <c r="R866" s="5"/>
      <c r="S866" s="5"/>
      <c r="T866" s="1725"/>
      <c r="U866" s="1726"/>
      <c r="V866" s="1727"/>
      <c r="W866" s="865"/>
      <c r="X866" s="866"/>
      <c r="Y866" s="866"/>
      <c r="Z866" s="866"/>
      <c r="AA866" s="866"/>
      <c r="AB866" s="866"/>
      <c r="AC866" s="867"/>
      <c r="AD866" s="524"/>
      <c r="AZ866" s="34"/>
      <c r="BA866" s="34"/>
      <c r="BB866" s="34"/>
      <c r="BC866" s="34"/>
    </row>
    <row r="867" spans="3:55" ht="12.9" customHeight="1">
      <c r="C867" s="2"/>
      <c r="J867" s="45" t="s">
        <v>618</v>
      </c>
      <c r="K867" s="5"/>
      <c r="L867" s="5"/>
      <c r="M867" s="5"/>
      <c r="N867" s="5"/>
      <c r="O867" s="5"/>
      <c r="P867" s="5"/>
      <c r="Q867" s="5"/>
      <c r="R867" s="5"/>
      <c r="S867" s="5"/>
      <c r="T867" s="5"/>
      <c r="U867" s="5"/>
      <c r="V867" s="46"/>
      <c r="W867" s="1605">
        <f>79040+54080</f>
        <v>133120</v>
      </c>
      <c r="X867" s="1606"/>
      <c r="Y867" s="1606"/>
      <c r="Z867" s="1606"/>
      <c r="AA867" s="1606"/>
      <c r="AB867" s="1606"/>
      <c r="AC867" s="1607"/>
      <c r="AD867" s="529"/>
      <c r="AZ867" s="34"/>
      <c r="BA867" s="34"/>
      <c r="BB867" s="34"/>
      <c r="BC867" s="34"/>
    </row>
    <row r="868" spans="3:55" ht="12.9" customHeight="1">
      <c r="C868" s="2"/>
      <c r="J868" s="121" t="s">
        <v>1644</v>
      </c>
      <c r="K868" s="5"/>
      <c r="L868" s="5"/>
      <c r="M868" s="5"/>
      <c r="N868" s="5"/>
      <c r="O868" s="5"/>
      <c r="P868" s="5"/>
      <c r="Q868" s="5"/>
      <c r="R868" s="5"/>
      <c r="S868" s="5"/>
      <c r="T868" s="1725"/>
      <c r="U868" s="1726"/>
      <c r="V868" s="1727"/>
      <c r="W868" s="865"/>
      <c r="X868" s="866"/>
      <c r="Y868" s="866"/>
      <c r="Z868" s="866"/>
      <c r="AA868" s="866"/>
      <c r="AB868" s="866"/>
      <c r="AC868" s="867"/>
      <c r="AD868" s="529"/>
      <c r="AZ868" s="34"/>
      <c r="BA868" s="34"/>
      <c r="BB868" s="34"/>
      <c r="BC868" s="34"/>
    </row>
    <row r="869" spans="3:55" ht="12.9" customHeight="1">
      <c r="J869" s="45" t="s">
        <v>170</v>
      </c>
      <c r="K869" s="5"/>
      <c r="L869" s="5"/>
      <c r="M869" s="1598" t="s">
        <v>2721</v>
      </c>
      <c r="N869" s="1599"/>
      <c r="O869" s="1599"/>
      <c r="P869" s="1599"/>
      <c r="Q869" s="1599"/>
      <c r="R869" s="1599"/>
      <c r="S869" s="1599"/>
      <c r="T869" s="1599"/>
      <c r="U869" s="1599"/>
      <c r="V869" s="1600"/>
      <c r="W869" s="1605">
        <f>26916+34803+28710</f>
        <v>90429</v>
      </c>
      <c r="X869" s="1606"/>
      <c r="Y869" s="1606"/>
      <c r="Z869" s="1606"/>
      <c r="AA869" s="1606"/>
      <c r="AB869" s="1606"/>
      <c r="AC869" s="1607"/>
      <c r="AD869" s="524"/>
      <c r="AU869" s="14"/>
      <c r="AZ869" s="34"/>
      <c r="BA869" s="34"/>
      <c r="BB869" s="34"/>
      <c r="BC869" s="34"/>
    </row>
    <row r="870" spans="3:55" ht="12.9" customHeight="1">
      <c r="J870" s="45"/>
      <c r="K870" s="5"/>
      <c r="L870" s="5"/>
      <c r="M870" s="5"/>
      <c r="N870" s="5"/>
      <c r="O870" s="5"/>
      <c r="P870" s="5"/>
      <c r="Q870" s="5"/>
      <c r="R870" s="5"/>
      <c r="S870" s="5"/>
      <c r="T870" s="5"/>
      <c r="U870" s="5"/>
      <c r="V870" s="54" t="s">
        <v>273</v>
      </c>
      <c r="W870" s="1719">
        <f>SUM(W865:W869)</f>
        <v>415949</v>
      </c>
      <c r="X870" s="1720"/>
      <c r="Y870" s="1720"/>
      <c r="Z870" s="1720"/>
      <c r="AA870" s="1720"/>
      <c r="AB870" s="1720"/>
      <c r="AC870" s="1721"/>
      <c r="AD870" s="529"/>
      <c r="AU870" s="14"/>
      <c r="AZ870" s="34"/>
      <c r="BA870" s="34"/>
      <c r="BB870" s="34"/>
      <c r="BC870" s="34"/>
    </row>
    <row r="871" spans="3:55" ht="12.9" customHeight="1">
      <c r="AU871" s="14"/>
      <c r="AZ871" s="34"/>
      <c r="BA871" s="34"/>
      <c r="BB871" s="34"/>
      <c r="BC871" s="34"/>
    </row>
    <row r="872" spans="3:55" ht="12.9" customHeight="1">
      <c r="C872" s="2" t="s">
        <v>155</v>
      </c>
      <c r="J872" s="45"/>
      <c r="K872" s="5"/>
      <c r="L872" s="5"/>
      <c r="M872" s="5"/>
      <c r="N872" s="5"/>
      <c r="O872" s="5"/>
      <c r="P872" s="5"/>
      <c r="Q872" s="5"/>
      <c r="R872" s="5"/>
      <c r="S872" s="5"/>
      <c r="T872" s="5"/>
      <c r="U872" s="5"/>
      <c r="V872" s="54" t="s">
        <v>274</v>
      </c>
      <c r="W872" s="1605">
        <v>60000</v>
      </c>
      <c r="X872" s="1606"/>
      <c r="Y872" s="1606"/>
      <c r="Z872" s="1606"/>
      <c r="AA872" s="1606"/>
      <c r="AB872" s="1606"/>
      <c r="AC872" s="1607"/>
      <c r="AU872" s="14"/>
      <c r="AZ872" s="34"/>
      <c r="BA872" s="34"/>
      <c r="BB872" s="34"/>
      <c r="BC872" s="34"/>
    </row>
    <row r="873" spans="3:55" ht="12.9" customHeight="1">
      <c r="J873" s="508"/>
      <c r="AU873" s="14"/>
      <c r="AZ873" s="34"/>
      <c r="BA873" s="34"/>
      <c r="BB873" s="34"/>
      <c r="BC873" s="34"/>
    </row>
    <row r="874" spans="3:55" ht="12.9" customHeight="1">
      <c r="C874" s="2" t="s">
        <v>390</v>
      </c>
      <c r="J874" s="45" t="s">
        <v>617</v>
      </c>
      <c r="K874" s="5"/>
      <c r="L874" s="5"/>
      <c r="M874" s="5"/>
      <c r="N874" s="5"/>
      <c r="O874" s="5"/>
      <c r="P874" s="5"/>
      <c r="Q874" s="5"/>
      <c r="R874" s="5"/>
      <c r="S874" s="5"/>
      <c r="T874" s="5"/>
      <c r="U874" s="5"/>
      <c r="V874" s="46"/>
      <c r="W874" s="1621">
        <v>14400</v>
      </c>
      <c r="X874" s="1621"/>
      <c r="Y874" s="1621"/>
      <c r="Z874" s="1621"/>
      <c r="AA874" s="1621"/>
      <c r="AB874" s="1621"/>
      <c r="AC874" s="1621"/>
      <c r="AU874" s="14"/>
      <c r="AZ874" s="34"/>
      <c r="BA874" s="34"/>
      <c r="BB874" s="34"/>
      <c r="BC874" s="34"/>
    </row>
    <row r="875" spans="3:55" ht="12.9" customHeight="1">
      <c r="J875" s="45" t="s">
        <v>522</v>
      </c>
      <c r="K875" s="5"/>
      <c r="L875" s="5"/>
      <c r="M875" s="5"/>
      <c r="N875" s="5"/>
      <c r="O875" s="5"/>
      <c r="P875" s="5"/>
      <c r="Q875" s="5"/>
      <c r="R875" s="5"/>
      <c r="S875" s="5"/>
      <c r="T875" s="5"/>
      <c r="U875" s="5"/>
      <c r="V875" s="46"/>
      <c r="W875" s="1621">
        <v>50800</v>
      </c>
      <c r="X875" s="1621"/>
      <c r="Y875" s="1621"/>
      <c r="Z875" s="1621"/>
      <c r="AA875" s="1621"/>
      <c r="AB875" s="1621"/>
      <c r="AC875" s="1621"/>
      <c r="AU875" s="4"/>
      <c r="AZ875" s="34"/>
      <c r="BA875" s="34"/>
      <c r="BB875" s="34"/>
      <c r="BC875" s="34"/>
    </row>
    <row r="876" spans="3:55" ht="12.9" customHeight="1">
      <c r="J876" s="45" t="s">
        <v>521</v>
      </c>
      <c r="K876" s="5"/>
      <c r="L876" s="5"/>
      <c r="M876" s="5"/>
      <c r="N876" s="5"/>
      <c r="O876" s="5"/>
      <c r="P876" s="5"/>
      <c r="Q876" s="5"/>
      <c r="R876" s="5"/>
      <c r="S876" s="5"/>
      <c r="T876" s="5"/>
      <c r="U876" s="5"/>
      <c r="V876" s="46"/>
      <c r="W876" s="1621">
        <v>50000</v>
      </c>
      <c r="X876" s="1621"/>
      <c r="Y876" s="1621"/>
      <c r="Z876" s="1621"/>
      <c r="AA876" s="1621"/>
      <c r="AB876" s="1621"/>
      <c r="AC876" s="1621"/>
      <c r="AU876" s="4"/>
      <c r="AZ876" s="34"/>
      <c r="BA876" s="34"/>
      <c r="BB876" s="34"/>
      <c r="BC876" s="34"/>
    </row>
    <row r="877" spans="3:55" ht="12.9" customHeight="1">
      <c r="J877" s="45" t="s">
        <v>520</v>
      </c>
      <c r="K877" s="5"/>
      <c r="L877" s="5"/>
      <c r="M877" s="5"/>
      <c r="N877" s="5"/>
      <c r="O877" s="5"/>
      <c r="P877" s="5"/>
      <c r="Q877" s="5"/>
      <c r="R877" s="5"/>
      <c r="S877" s="5"/>
      <c r="T877" s="5"/>
      <c r="U877" s="5"/>
      <c r="V877" s="46"/>
      <c r="W877" s="1621">
        <v>4800</v>
      </c>
      <c r="X877" s="1621"/>
      <c r="Y877" s="1621"/>
      <c r="Z877" s="1621"/>
      <c r="AA877" s="1621"/>
      <c r="AB877" s="1621"/>
      <c r="AC877" s="1621"/>
      <c r="AU877" s="4"/>
      <c r="AZ877" s="34"/>
      <c r="BA877" s="34"/>
      <c r="BB877" s="34"/>
      <c r="BC877" s="34"/>
    </row>
    <row r="878" spans="3:55" ht="12.9" customHeight="1">
      <c r="J878" s="45" t="s">
        <v>519</v>
      </c>
      <c r="K878" s="5"/>
      <c r="L878" s="5"/>
      <c r="M878" s="5"/>
      <c r="N878" s="5"/>
      <c r="O878" s="5"/>
      <c r="P878" s="5"/>
      <c r="Q878" s="5"/>
      <c r="R878" s="5"/>
      <c r="S878" s="5"/>
      <c r="T878" s="5"/>
      <c r="U878" s="5"/>
      <c r="V878" s="46"/>
      <c r="W878" s="1621">
        <v>9000</v>
      </c>
      <c r="X878" s="1621"/>
      <c r="Y878" s="1621"/>
      <c r="Z878" s="1621"/>
      <c r="AA878" s="1621"/>
      <c r="AB878" s="1621"/>
      <c r="AC878" s="1621"/>
      <c r="AU878" s="4"/>
      <c r="AZ878" s="34"/>
      <c r="BA878" s="34"/>
      <c r="BB878" s="34"/>
      <c r="BC878" s="34"/>
    </row>
    <row r="879" spans="3:55" ht="12.9" customHeight="1">
      <c r="J879" s="45" t="s">
        <v>518</v>
      </c>
      <c r="K879" s="5"/>
      <c r="L879" s="5"/>
      <c r="M879" s="5"/>
      <c r="N879" s="5"/>
      <c r="O879" s="5"/>
      <c r="P879" s="5"/>
      <c r="Q879" s="5"/>
      <c r="R879" s="5"/>
      <c r="S879" s="5"/>
      <c r="T879" s="5"/>
      <c r="U879" s="5"/>
      <c r="V879" s="46"/>
      <c r="W879" s="1621">
        <v>12000</v>
      </c>
      <c r="X879" s="1621"/>
      <c r="Y879" s="1621"/>
      <c r="Z879" s="1621"/>
      <c r="AA879" s="1621"/>
      <c r="AB879" s="1621"/>
      <c r="AC879" s="1621"/>
      <c r="AU879" s="4"/>
      <c r="AZ879" s="34"/>
      <c r="BA879" s="34"/>
      <c r="BB879" s="34"/>
      <c r="BC879" s="34"/>
    </row>
    <row r="880" spans="3:55" ht="12.9" customHeight="1">
      <c r="J880" s="45" t="s">
        <v>170</v>
      </c>
      <c r="K880" s="5"/>
      <c r="L880" s="5"/>
      <c r="M880" s="1598" t="s">
        <v>2818</v>
      </c>
      <c r="N880" s="1599"/>
      <c r="O880" s="1599"/>
      <c r="P880" s="1599"/>
      <c r="Q880" s="1599"/>
      <c r="R880" s="1599"/>
      <c r="S880" s="1599"/>
      <c r="T880" s="1599"/>
      <c r="U880" s="1599"/>
      <c r="V880" s="1600"/>
      <c r="W880" s="1621">
        <v>49350</v>
      </c>
      <c r="X880" s="1621"/>
      <c r="Y880" s="1621"/>
      <c r="Z880" s="1621"/>
      <c r="AA880" s="1621"/>
      <c r="AB880" s="1621"/>
      <c r="AC880" s="1621"/>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275</v>
      </c>
      <c r="W881" s="1627">
        <f>SUM(W874:W880)</f>
        <v>190350</v>
      </c>
      <c r="X881" s="1627"/>
      <c r="Y881" s="1627"/>
      <c r="Z881" s="1627"/>
      <c r="AA881" s="1627"/>
      <c r="AB881" s="1627"/>
      <c r="AC881" s="1627"/>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1242</v>
      </c>
      <c r="J883" s="45" t="s">
        <v>170</v>
      </c>
      <c r="K883" s="5"/>
      <c r="L883" s="5"/>
      <c r="M883" s="1598"/>
      <c r="N883" s="1599"/>
      <c r="O883" s="1599"/>
      <c r="P883" s="1599"/>
      <c r="Q883" s="1599"/>
      <c r="R883" s="1599"/>
      <c r="S883" s="1599"/>
      <c r="T883" s="1599"/>
      <c r="U883" s="1599"/>
      <c r="V883" s="1600"/>
      <c r="W883" s="1489"/>
      <c r="X883" s="1490"/>
      <c r="Y883" s="1490"/>
      <c r="Z883" s="1490"/>
      <c r="AA883" s="1490"/>
      <c r="AB883" s="1490"/>
      <c r="AC883" s="1491"/>
      <c r="AD883" s="529"/>
      <c r="AV883" s="14"/>
      <c r="AW883" s="14"/>
      <c r="AX883" s="14"/>
      <c r="AY883" s="14"/>
      <c r="AZ883" s="34"/>
      <c r="BA883" s="34"/>
      <c r="BB883" s="34"/>
      <c r="BC883" s="34"/>
    </row>
    <row r="884" spans="3:55" ht="12.9" customHeight="1">
      <c r="C884" s="2" t="s">
        <v>1243</v>
      </c>
      <c r="J884" s="45" t="s">
        <v>170</v>
      </c>
      <c r="K884" s="5"/>
      <c r="L884" s="5"/>
      <c r="M884" s="1598"/>
      <c r="N884" s="1599"/>
      <c r="O884" s="1599"/>
      <c r="P884" s="1599"/>
      <c r="Q884" s="1599"/>
      <c r="R884" s="1599"/>
      <c r="S884" s="1599"/>
      <c r="T884" s="1599"/>
      <c r="U884" s="1599"/>
      <c r="V884" s="1600"/>
      <c r="W884" s="1489"/>
      <c r="X884" s="1490"/>
      <c r="Y884" s="1490"/>
      <c r="Z884" s="1490"/>
      <c r="AA884" s="1490"/>
      <c r="AB884" s="1490"/>
      <c r="AC884" s="1491"/>
      <c r="AD884" s="529"/>
      <c r="AV884" s="14"/>
      <c r="AW884" s="14"/>
      <c r="AX884" s="14"/>
      <c r="AY884" s="14"/>
      <c r="AZ884" s="34"/>
      <c r="BA884" s="34"/>
      <c r="BB884" s="34"/>
      <c r="BC884" s="34"/>
    </row>
    <row r="885" spans="3:55" ht="12.9" customHeight="1">
      <c r="J885" s="45" t="s">
        <v>170</v>
      </c>
      <c r="K885" s="5"/>
      <c r="L885" s="5"/>
      <c r="M885" s="1598"/>
      <c r="N885" s="1599"/>
      <c r="O885" s="1599"/>
      <c r="P885" s="1599"/>
      <c r="Q885" s="1599"/>
      <c r="R885" s="1599"/>
      <c r="S885" s="1599"/>
      <c r="T885" s="1599"/>
      <c r="U885" s="1599"/>
      <c r="V885" s="1600"/>
      <c r="W885" s="1489"/>
      <c r="X885" s="1490"/>
      <c r="Y885" s="1490"/>
      <c r="Z885" s="1490"/>
      <c r="AA885" s="1490"/>
      <c r="AB885" s="1490"/>
      <c r="AC885" s="1491"/>
      <c r="AL885" s="14"/>
      <c r="AM885" s="14"/>
      <c r="AN885" s="14"/>
      <c r="AO885" s="14"/>
      <c r="AP885" s="14"/>
      <c r="AQ885" s="14"/>
      <c r="AR885" s="14"/>
      <c r="AS885" s="14"/>
      <c r="AT885" s="14"/>
      <c r="AV885" s="4"/>
      <c r="AW885" s="4"/>
      <c r="AX885" s="4"/>
      <c r="AY885" s="4"/>
      <c r="AZ885" s="34"/>
      <c r="BA885" s="34"/>
      <c r="BB885" s="34"/>
      <c r="BC885" s="34"/>
    </row>
    <row r="886" spans="3:55" ht="12.9" customHeight="1">
      <c r="J886" s="45" t="s">
        <v>170</v>
      </c>
      <c r="K886" s="5"/>
      <c r="L886" s="5"/>
      <c r="M886" s="1598" t="s">
        <v>334</v>
      </c>
      <c r="N886" s="1599"/>
      <c r="O886" s="1599"/>
      <c r="P886" s="1599"/>
      <c r="Q886" s="1599"/>
      <c r="R886" s="1599"/>
      <c r="S886" s="1599"/>
      <c r="T886" s="1599"/>
      <c r="U886" s="1599"/>
      <c r="V886" s="1600"/>
      <c r="W886" s="1489"/>
      <c r="X886" s="1490"/>
      <c r="Y886" s="1490"/>
      <c r="Z886" s="1490"/>
      <c r="AA886" s="1490"/>
      <c r="AB886" s="1490"/>
      <c r="AC886" s="1491"/>
      <c r="AL886" s="14"/>
      <c r="AM886" s="14"/>
      <c r="AN886" s="14"/>
      <c r="AO886" s="14"/>
      <c r="AP886" s="14"/>
      <c r="AQ886" s="14"/>
      <c r="AR886" s="14"/>
      <c r="AS886" s="14"/>
      <c r="AT886" s="14"/>
      <c r="AV886" s="4"/>
      <c r="AW886" s="4"/>
      <c r="AX886" s="4"/>
      <c r="AY886" s="4"/>
      <c r="AZ886" s="34"/>
      <c r="BA886" s="34"/>
      <c r="BB886" s="34"/>
      <c r="BC886" s="34"/>
    </row>
    <row r="887" spans="3:55" ht="12.9" customHeight="1">
      <c r="J887" s="45" t="s">
        <v>170</v>
      </c>
      <c r="K887" s="5"/>
      <c r="L887" s="5"/>
      <c r="M887" s="1598" t="s">
        <v>334</v>
      </c>
      <c r="N887" s="1599"/>
      <c r="O887" s="1599"/>
      <c r="P887" s="1599"/>
      <c r="Q887" s="1599"/>
      <c r="R887" s="1599"/>
      <c r="S887" s="1599"/>
      <c r="T887" s="1599"/>
      <c r="U887" s="1599"/>
      <c r="V887" s="1600"/>
      <c r="W887" s="1489"/>
      <c r="X887" s="1490"/>
      <c r="Y887" s="1490"/>
      <c r="Z887" s="1490"/>
      <c r="AA887" s="1490"/>
      <c r="AB887" s="1490"/>
      <c r="AC887" s="1491"/>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276</v>
      </c>
      <c r="W888" s="1450">
        <f>SUM(W883:W887)</f>
        <v>0</v>
      </c>
      <c r="X888" s="1451"/>
      <c r="Y888" s="1451"/>
      <c r="Z888" s="1451"/>
      <c r="AA888" s="1451"/>
      <c r="AB888" s="1451"/>
      <c r="AC888" s="1452"/>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51">
        <f>W855+W863+W870+W872+W881+W888+W857</f>
        <v>1136124</v>
      </c>
      <c r="AD892" s="1451"/>
      <c r="AE892" s="1451"/>
      <c r="AF892" s="1451"/>
      <c r="AG892" s="1451"/>
      <c r="AH892" s="1452"/>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713">
        <f>O805+O785+G761</f>
        <v>184</v>
      </c>
      <c r="AD893" s="1713"/>
      <c r="AE893" s="1713"/>
      <c r="AF893" s="1713"/>
      <c r="AG893" s="1713"/>
      <c r="AH893" s="1714"/>
      <c r="AL893" s="4"/>
      <c r="AM893" s="4"/>
      <c r="AN893" s="4"/>
      <c r="AO893" s="4"/>
      <c r="AP893" s="4"/>
      <c r="AQ893" s="4"/>
      <c r="AR893" s="4"/>
      <c r="AS893" s="4"/>
      <c r="AT893" s="4"/>
      <c r="AZ893" s="34"/>
      <c r="BA893" s="34"/>
      <c r="BB893" s="34"/>
      <c r="BC893" s="34"/>
    </row>
    <row r="894" spans="3:55" ht="12.9" customHeight="1">
      <c r="C894" s="41"/>
      <c r="D894" s="42"/>
      <c r="E894" s="1715" t="s">
        <v>32</v>
      </c>
      <c r="F894" s="1715"/>
      <c r="G894" s="1715"/>
      <c r="H894" s="1715"/>
      <c r="I894" s="1715"/>
      <c r="J894" s="1715"/>
      <c r="K894" s="1715"/>
      <c r="L894" s="1715"/>
      <c r="M894" s="1715"/>
      <c r="N894" s="1715"/>
      <c r="O894" s="1715"/>
      <c r="P894" s="1715"/>
      <c r="Q894" s="1715"/>
      <c r="R894" s="1715"/>
      <c r="S894" s="1715"/>
      <c r="T894" s="1715"/>
      <c r="U894" s="1715"/>
      <c r="V894" s="1715"/>
      <c r="W894" s="1715"/>
      <c r="X894" s="1715"/>
      <c r="Y894" s="1715"/>
      <c r="Z894" s="1715"/>
      <c r="AA894" s="1715"/>
      <c r="AB894" s="1716"/>
      <c r="AC894" s="1627">
        <f>IF(ISERROR((ROUNDDOWN(AC892/AC893,0))),0,(ROUNDDOWN(AC892/AC893,0)))</f>
        <v>6174</v>
      </c>
      <c r="AD894" s="1627"/>
      <c r="AE894" s="1627"/>
      <c r="AF894" s="1627"/>
      <c r="AG894" s="1627"/>
      <c r="AH894" s="1627"/>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17">
        <v>1161301</v>
      </c>
      <c r="AD895" s="1718"/>
      <c r="AE895" s="1718"/>
      <c r="AF895" s="1718"/>
      <c r="AG895" s="1718"/>
      <c r="AH895" s="1718"/>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91"/>
      <c r="AD896" s="1621"/>
      <c r="AE896" s="1621"/>
      <c r="AF896" s="1621"/>
      <c r="AG896" s="1621"/>
      <c r="AH896" s="1621"/>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90">
        <v>30000</v>
      </c>
      <c r="AD897" s="1490"/>
      <c r="AE897" s="1490"/>
      <c r="AF897" s="1490"/>
      <c r="AG897" s="1490"/>
      <c r="AH897" s="1491"/>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90">
        <v>55200</v>
      </c>
      <c r="AD898" s="1490"/>
      <c r="AE898" s="1490"/>
      <c r="AF898" s="1490"/>
      <c r="AG898" s="1490"/>
      <c r="AH898" s="1491"/>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4"/>
      <c r="AD899" s="1505"/>
      <c r="AE899" s="1505"/>
      <c r="AF899" s="1505"/>
      <c r="AG899" s="1505"/>
      <c r="AH899" s="1506"/>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90"/>
      <c r="AD900" s="1490"/>
      <c r="AE900" s="1490"/>
      <c r="AF900" s="1490"/>
      <c r="AG900" s="1490"/>
      <c r="AH900" s="1491"/>
      <c r="AZ900" s="34"/>
      <c r="BA900" s="34"/>
      <c r="BB900" s="34"/>
      <c r="BC900" s="34"/>
    </row>
    <row r="901" spans="1:58" ht="12.9" hidden="1" customHeight="1">
      <c r="C901" s="1512" t="s">
        <v>2181</v>
      </c>
      <c r="D901" s="1513"/>
      <c r="E901" s="1513"/>
      <c r="F901" s="1513"/>
      <c r="G901" s="1513"/>
      <c r="H901" s="1513"/>
      <c r="I901" s="1513"/>
      <c r="J901" s="1513"/>
      <c r="K901" s="1513"/>
      <c r="L901" s="1513"/>
      <c r="M901" s="1513"/>
      <c r="N901" s="1513"/>
      <c r="O901" s="1513"/>
      <c r="P901" s="1513"/>
      <c r="Q901" s="1513"/>
      <c r="R901" s="1513"/>
      <c r="S901" s="1513"/>
      <c r="T901" s="1513"/>
      <c r="U901" s="1513"/>
      <c r="V901" s="1513"/>
      <c r="W901" s="1513"/>
      <c r="X901" s="1513"/>
      <c r="Y901" s="1513"/>
      <c r="Z901" s="1513"/>
      <c r="AA901" s="1513"/>
      <c r="AB901" s="1514"/>
      <c r="AC901" s="1490"/>
      <c r="AD901" s="1490"/>
      <c r="AE901" s="1490"/>
      <c r="AF901" s="1490"/>
      <c r="AG901" s="1490"/>
      <c r="AH901" s="1491"/>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90"/>
      <c r="AD902" s="1490"/>
      <c r="AE902" s="1490"/>
      <c r="AF902" s="1490"/>
      <c r="AG902" s="1490"/>
      <c r="AH902" s="1491"/>
      <c r="AZ902" s="34"/>
      <c r="BA902" s="34"/>
      <c r="BB902" s="34"/>
      <c r="BC902" s="34"/>
    </row>
    <row r="903" spans="1:58" ht="12.9" customHeight="1">
      <c r="C903" s="1608" t="s">
        <v>956</v>
      </c>
      <c r="D903" s="1609"/>
      <c r="E903" s="1609"/>
      <c r="F903" s="1609"/>
      <c r="G903" s="1609"/>
      <c r="H903" s="1609"/>
      <c r="I903" s="1609"/>
      <c r="J903" s="1609"/>
      <c r="K903" s="1609"/>
      <c r="L903" s="1609"/>
      <c r="M903" s="1609"/>
      <c r="N903" s="1609"/>
      <c r="O903" s="1609"/>
      <c r="P903" s="1609"/>
      <c r="Q903" s="1609"/>
      <c r="R903" s="1609"/>
      <c r="S903" s="1609"/>
      <c r="T903" s="1609"/>
      <c r="U903" s="1609"/>
      <c r="V903" s="1609"/>
      <c r="W903" s="1609"/>
      <c r="X903" s="1609"/>
      <c r="Y903" s="1609"/>
      <c r="Z903" s="1609"/>
      <c r="AA903" s="1609"/>
      <c r="AB903" s="1610"/>
      <c r="AC903" s="1621"/>
      <c r="AD903" s="1621"/>
      <c r="AE903" s="1621"/>
      <c r="AF903" s="1621"/>
      <c r="AG903" s="1621"/>
      <c r="AH903" s="1621"/>
      <c r="AZ903" s="34"/>
      <c r="BA903" s="34"/>
      <c r="BB903" s="34"/>
      <c r="BC903" s="34"/>
    </row>
    <row r="904" spans="1:58" ht="12.9" customHeight="1">
      <c r="C904" s="1608" t="s">
        <v>956</v>
      </c>
      <c r="D904" s="1609"/>
      <c r="E904" s="1609"/>
      <c r="F904" s="1609"/>
      <c r="G904" s="1609"/>
      <c r="H904" s="1609"/>
      <c r="I904" s="1609"/>
      <c r="J904" s="1609"/>
      <c r="K904" s="1609"/>
      <c r="L904" s="1609"/>
      <c r="M904" s="1609"/>
      <c r="N904" s="1609"/>
      <c r="O904" s="1609"/>
      <c r="P904" s="1609"/>
      <c r="Q904" s="1609"/>
      <c r="R904" s="1609"/>
      <c r="S904" s="1609"/>
      <c r="T904" s="1609"/>
      <c r="U904" s="1609"/>
      <c r="V904" s="1609"/>
      <c r="W904" s="1609"/>
      <c r="X904" s="1609"/>
      <c r="Y904" s="1609"/>
      <c r="Z904" s="1609"/>
      <c r="AA904" s="1609"/>
      <c r="AB904" s="1610"/>
      <c r="AC904" s="1621"/>
      <c r="AD904" s="1621"/>
      <c r="AE904" s="1621"/>
      <c r="AF904" s="1621"/>
      <c r="AG904" s="1621"/>
      <c r="AH904" s="1621"/>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613</v>
      </c>
      <c r="C906" s="2" t="s">
        <v>237</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238</v>
      </c>
      <c r="I908" s="5"/>
      <c r="J908" s="5"/>
      <c r="K908" s="5"/>
      <c r="L908" s="5"/>
      <c r="M908" s="5"/>
      <c r="N908" s="5"/>
      <c r="O908" s="5"/>
      <c r="P908" s="5"/>
      <c r="Q908" s="5"/>
      <c r="R908" s="5"/>
      <c r="S908" s="5"/>
      <c r="T908" s="5"/>
      <c r="U908" s="5"/>
      <c r="V908" s="5"/>
      <c r="W908" s="5"/>
      <c r="X908" s="5"/>
      <c r="Y908" s="46"/>
      <c r="Z908" s="1489"/>
      <c r="AA908" s="1490"/>
      <c r="AB908" s="1490"/>
      <c r="AC908" s="1490"/>
      <c r="AD908" s="1490"/>
      <c r="AE908" s="1491"/>
      <c r="AF908" s="529"/>
      <c r="AZ908" s="34"/>
      <c r="BB908" s="30"/>
      <c r="BC908" s="807"/>
      <c r="BD908" s="1635"/>
      <c r="BE908" s="1635"/>
      <c r="BF908" s="14"/>
    </row>
    <row r="909" spans="1:58" ht="12.9" customHeight="1">
      <c r="H909" s="121" t="s">
        <v>239</v>
      </c>
      <c r="I909" s="5"/>
      <c r="J909" s="5"/>
      <c r="K909" s="5"/>
      <c r="L909" s="5"/>
      <c r="M909" s="5"/>
      <c r="N909" s="5"/>
      <c r="O909" s="5"/>
      <c r="P909" s="5"/>
      <c r="Q909" s="5"/>
      <c r="R909" s="5"/>
      <c r="S909" s="5"/>
      <c r="T909" s="5"/>
      <c r="U909" s="5"/>
      <c r="V909" s="5"/>
      <c r="W909" s="5"/>
      <c r="X909" s="5"/>
      <c r="Y909" s="5"/>
      <c r="Z909" s="1489"/>
      <c r="AA909" s="1490"/>
      <c r="AB909" s="1490"/>
      <c r="AC909" s="1490"/>
      <c r="AD909" s="1490"/>
      <c r="AE909" s="1491"/>
      <c r="AZ909" s="34"/>
      <c r="BB909" s="30"/>
      <c r="BC909" s="807"/>
      <c r="BD909" s="1635"/>
      <c r="BE909" s="1635"/>
      <c r="BF909" s="14"/>
    </row>
    <row r="910" spans="1:58" ht="12.9" customHeight="1">
      <c r="H910" s="121" t="s">
        <v>240</v>
      </c>
      <c r="I910" s="5"/>
      <c r="J910" s="5"/>
      <c r="K910" s="5"/>
      <c r="L910" s="5"/>
      <c r="M910" s="5"/>
      <c r="N910" s="5"/>
      <c r="O910" s="5"/>
      <c r="P910" s="5"/>
      <c r="Q910" s="5"/>
      <c r="R910" s="5"/>
      <c r="S910" s="5"/>
      <c r="T910" s="5"/>
      <c r="U910" s="5"/>
      <c r="V910" s="5"/>
      <c r="W910" s="5"/>
      <c r="X910" s="5"/>
      <c r="Y910" s="5"/>
      <c r="Z910" s="1489"/>
      <c r="AA910" s="1490"/>
      <c r="AB910" s="1490"/>
      <c r="AC910" s="1490"/>
      <c r="AD910" s="1490"/>
      <c r="AE910" s="1491"/>
      <c r="AZ910" s="34"/>
      <c r="BB910" s="30"/>
      <c r="BC910" s="807"/>
      <c r="BD910" s="1634"/>
      <c r="BE910" s="1634"/>
      <c r="BF910" s="14"/>
    </row>
    <row r="911" spans="1:58" ht="12.9" customHeight="1">
      <c r="H911" s="45"/>
      <c r="I911" s="5"/>
      <c r="J911" s="5"/>
      <c r="K911" s="5"/>
      <c r="L911" s="5"/>
      <c r="M911" s="5"/>
      <c r="N911" s="5"/>
      <c r="O911" s="5"/>
      <c r="P911" s="5"/>
      <c r="Q911" s="5"/>
      <c r="R911" s="5"/>
      <c r="S911" s="5"/>
      <c r="T911" s="5"/>
      <c r="U911" s="5"/>
      <c r="V911" s="5"/>
      <c r="W911" s="5"/>
      <c r="X911" s="5"/>
      <c r="Y911" s="181" t="s">
        <v>241</v>
      </c>
      <c r="Z911" s="1450">
        <f>Z908-(Z909+Z910)</f>
        <v>0</v>
      </c>
      <c r="AA911" s="1451"/>
      <c r="AB911" s="1451"/>
      <c r="AC911" s="1451"/>
      <c r="AD911" s="1451"/>
      <c r="AE911" s="1452"/>
      <c r="AZ911" s="34"/>
      <c r="BB911" s="30"/>
      <c r="BC911" s="807"/>
      <c r="BD911" s="1634"/>
      <c r="BE911" s="1634"/>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34"/>
      <c r="BE912" s="1634"/>
      <c r="BF912" s="14"/>
    </row>
    <row r="913" spans="1:58" ht="12.9"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35"/>
      <c r="BE913" s="1634"/>
      <c r="BF913" s="14"/>
    </row>
    <row r="914" spans="1:58" ht="12.9"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45"/>
      <c r="BE914" s="1645"/>
      <c r="BF914" s="1645"/>
    </row>
    <row r="915" spans="1:58" ht="12.9"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37"/>
      <c r="BE915" s="1637"/>
      <c r="BF915" s="1637"/>
    </row>
    <row r="916" spans="1:58" ht="12.9"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34"/>
      <c r="BE916" s="1634"/>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35"/>
      <c r="BE917" s="1634"/>
      <c r="BF917" s="14"/>
    </row>
    <row r="918" spans="1:58" ht="12.9" customHeight="1">
      <c r="AZ918" s="34"/>
      <c r="BB918" s="30"/>
      <c r="BC918" s="807"/>
    </row>
    <row r="919" spans="1:58" ht="12.9" customHeight="1">
      <c r="A919" s="1359" t="s">
        <v>96</v>
      </c>
      <c r="B919" s="1359"/>
      <c r="C919" s="1359"/>
      <c r="D919" s="1359"/>
      <c r="E919" s="1359"/>
      <c r="F919" s="1359"/>
      <c r="G919" s="1359"/>
      <c r="H919" s="1359"/>
      <c r="I919" s="1359"/>
      <c r="J919" s="1359"/>
      <c r="K919" s="1359"/>
      <c r="L919" s="1359"/>
      <c r="M919" s="1359"/>
      <c r="N919" s="1359"/>
      <c r="O919" s="1359"/>
      <c r="P919" s="1359"/>
      <c r="Q919" s="1359"/>
      <c r="R919" s="1359"/>
      <c r="S919" s="1359"/>
      <c r="T919" s="1359"/>
      <c r="U919" s="1359"/>
      <c r="V919" s="1359"/>
      <c r="W919" s="1359"/>
      <c r="X919" s="1359"/>
      <c r="Y919" s="1359"/>
      <c r="Z919" s="1359"/>
      <c r="AA919" s="1359"/>
      <c r="AB919" s="1359"/>
      <c r="AC919" s="1359"/>
      <c r="AD919" s="1359"/>
      <c r="AE919" s="1359"/>
      <c r="AF919" s="1359"/>
      <c r="AG919" s="1359"/>
      <c r="AH919" s="1359"/>
      <c r="AI919" s="1359"/>
      <c r="AJ919" s="1359"/>
      <c r="AK919" s="1359"/>
      <c r="AL919" s="1359"/>
      <c r="AM919" s="1359"/>
      <c r="AN919" s="1359"/>
      <c r="AO919" s="1359"/>
      <c r="AP919" s="1359"/>
      <c r="AQ919" s="1359"/>
      <c r="AR919" s="1359"/>
      <c r="AS919" s="1359"/>
      <c r="AT919" s="1359"/>
      <c r="AZ919" s="34"/>
      <c r="BA919" s="34"/>
      <c r="BB919" s="30"/>
      <c r="BC919" s="30"/>
      <c r="BD919" s="1635"/>
      <c r="BE919" s="1634"/>
      <c r="BF919" s="902"/>
    </row>
    <row r="920" spans="1:58" ht="12.9" customHeight="1">
      <c r="A920" s="1359"/>
      <c r="B920" s="1359"/>
      <c r="C920" s="1359"/>
      <c r="D920" s="1359"/>
      <c r="E920" s="1359"/>
      <c r="F920" s="1359"/>
      <c r="G920" s="1359"/>
      <c r="H920" s="1359"/>
      <c r="I920" s="1359"/>
      <c r="J920" s="1359"/>
      <c r="K920" s="1359"/>
      <c r="L920" s="1359"/>
      <c r="M920" s="1359"/>
      <c r="N920" s="1359"/>
      <c r="O920" s="1359"/>
      <c r="P920" s="1359"/>
      <c r="Q920" s="1359"/>
      <c r="R920" s="1359"/>
      <c r="S920" s="1359"/>
      <c r="T920" s="1359"/>
      <c r="U920" s="1359"/>
      <c r="V920" s="1359"/>
      <c r="W920" s="1359"/>
      <c r="X920" s="1359"/>
      <c r="Y920" s="1359"/>
      <c r="Z920" s="1359"/>
      <c r="AA920" s="1359"/>
      <c r="AB920" s="1359"/>
      <c r="AC920" s="1359"/>
      <c r="AD920" s="1359"/>
      <c r="AE920" s="1359"/>
      <c r="AF920" s="1359"/>
      <c r="AG920" s="1359"/>
      <c r="AH920" s="1359"/>
      <c r="AI920" s="1359"/>
      <c r="AJ920" s="1359"/>
      <c r="AK920" s="1359"/>
      <c r="AL920" s="1359"/>
      <c r="AM920" s="1359"/>
      <c r="AN920" s="1359"/>
      <c r="AO920" s="1359"/>
      <c r="AP920" s="1359"/>
      <c r="AQ920" s="1359"/>
      <c r="AR920" s="1359"/>
      <c r="AS920" s="1359"/>
      <c r="AT920" s="1359"/>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638" t="s">
        <v>792</v>
      </c>
      <c r="G924" s="1639"/>
      <c r="H924" s="1639"/>
      <c r="I924" s="1639"/>
      <c r="J924" s="1639"/>
      <c r="K924" s="1639"/>
      <c r="L924" s="1639"/>
      <c r="M924" s="1639"/>
      <c r="N924" s="1639"/>
      <c r="O924" s="1639"/>
      <c r="P924" s="1639"/>
      <c r="Q924" s="1639"/>
      <c r="R924" s="1639"/>
      <c r="S924" s="1639"/>
      <c r="T924" s="1640"/>
      <c r="U924" s="1578" t="s">
        <v>31</v>
      </c>
      <c r="V924" s="1579"/>
      <c r="W924" s="1579"/>
      <c r="X924" s="1579"/>
      <c r="Y924" s="1579"/>
      <c r="Z924" s="1579"/>
      <c r="AA924" s="43"/>
      <c r="AB924" s="105"/>
      <c r="AC924" s="105"/>
      <c r="AD924" s="105"/>
      <c r="AE924" s="105"/>
      <c r="AF924" s="106"/>
      <c r="AZ924" s="34"/>
      <c r="BA924" s="34"/>
      <c r="BB924" s="34"/>
      <c r="BC924" s="34"/>
    </row>
    <row r="925" spans="1:58" ht="12.9" customHeight="1">
      <c r="B925" s="2"/>
      <c r="F925" s="1580" t="s">
        <v>818</v>
      </c>
      <c r="G925" s="1581"/>
      <c r="H925" s="1581"/>
      <c r="I925" s="1581"/>
      <c r="J925" s="1581"/>
      <c r="K925" s="1581"/>
      <c r="L925" s="1581"/>
      <c r="M925" s="1581"/>
      <c r="N925" s="1581"/>
      <c r="O925" s="1581"/>
      <c r="P925" s="1581"/>
      <c r="Q925" s="1581"/>
      <c r="R925" s="1581"/>
      <c r="S925" s="1581"/>
      <c r="T925" s="1643"/>
      <c r="U925" s="1580"/>
      <c r="V925" s="1581"/>
      <c r="W925" s="1581"/>
      <c r="X925" s="1581"/>
      <c r="Y925" s="1581"/>
      <c r="Z925" s="1581"/>
      <c r="AA925" s="44"/>
      <c r="AB925" s="4"/>
      <c r="AC925" s="4"/>
      <c r="AD925" s="4"/>
      <c r="AE925" s="4"/>
      <c r="AF925" s="107"/>
      <c r="AZ925" s="34"/>
      <c r="BA925" s="34"/>
      <c r="BB925" s="34"/>
      <c r="BC925" s="34"/>
    </row>
    <row r="926" spans="1:58" ht="12.9" customHeight="1">
      <c r="B926" s="2"/>
      <c r="F926" s="1582"/>
      <c r="G926" s="1583"/>
      <c r="H926" s="1583"/>
      <c r="I926" s="1583"/>
      <c r="J926" s="1583"/>
      <c r="K926" s="1583"/>
      <c r="L926" s="1583"/>
      <c r="M926" s="1583"/>
      <c r="N926" s="1583"/>
      <c r="O926" s="1583"/>
      <c r="P926" s="1583"/>
      <c r="Q926" s="1583"/>
      <c r="R926" s="1583"/>
      <c r="S926" s="1583"/>
      <c r="T926" s="1629"/>
      <c r="U926" s="1582"/>
      <c r="V926" s="1583"/>
      <c r="W926" s="1583"/>
      <c r="X926" s="1583"/>
      <c r="Y926" s="1583"/>
      <c r="Z926" s="1583"/>
      <c r="AA926" s="108"/>
      <c r="AB926" s="1728" t="s">
        <v>391</v>
      </c>
      <c r="AC926" s="1728"/>
      <c r="AD926" s="1728"/>
      <c r="AE926" s="1728"/>
      <c r="AF926" s="109"/>
      <c r="AZ926" s="34"/>
      <c r="BA926" s="34"/>
      <c r="BB926" s="34"/>
      <c r="BC926" s="34"/>
    </row>
    <row r="927" spans="1:58" ht="12.9" customHeight="1">
      <c r="B927" s="2"/>
      <c r="F927" s="45" t="s">
        <v>758</v>
      </c>
      <c r="G927" s="48"/>
      <c r="H927" s="48"/>
      <c r="I927" s="48"/>
      <c r="J927" s="48"/>
      <c r="K927" s="48"/>
      <c r="L927" s="48"/>
      <c r="M927" s="48"/>
      <c r="N927" s="48"/>
      <c r="O927" s="48"/>
      <c r="P927" s="48"/>
      <c r="Q927" s="48"/>
      <c r="R927" s="48"/>
      <c r="S927" s="48"/>
      <c r="T927" s="49"/>
      <c r="U927" s="1383" t="s">
        <v>545</v>
      </c>
      <c r="V927" s="1384"/>
      <c r="W927" s="1384"/>
      <c r="X927" s="1384"/>
      <c r="Y927" s="1384"/>
      <c r="Z927" s="1385"/>
      <c r="AA927" s="1332">
        <v>26883715</v>
      </c>
      <c r="AB927" s="1333"/>
      <c r="AC927" s="1333"/>
      <c r="AD927" s="1333"/>
      <c r="AE927" s="1333"/>
      <c r="AF927" s="1334"/>
      <c r="AG927" s="1186" t="str">
        <f>IF(NOT(AA927=AW927),"!","")</f>
        <v/>
      </c>
      <c r="AH927" s="3"/>
      <c r="AW927" s="1288">
        <f>SUMIF($M$562:$M$573,"Loan, Tax-Exempt",$AM$562:$AM$573)</f>
        <v>26883715</v>
      </c>
      <c r="AX927" s="1288"/>
      <c r="AY927" s="1288"/>
      <c r="AZ927" s="3" t="s">
        <v>2529</v>
      </c>
      <c r="BA927" s="34"/>
      <c r="BB927" s="34"/>
      <c r="BC927" s="34"/>
    </row>
    <row r="928" spans="1:58" ht="12.9" customHeight="1">
      <c r="B928" s="2"/>
      <c r="F928" s="66" t="s">
        <v>675</v>
      </c>
      <c r="G928" s="48"/>
      <c r="H928" s="48"/>
      <c r="I928" s="48"/>
      <c r="J928" s="48"/>
      <c r="K928" s="48"/>
      <c r="L928" s="48"/>
      <c r="M928" s="48"/>
      <c r="N928" s="48"/>
      <c r="O928" s="48"/>
      <c r="P928" s="48"/>
      <c r="Q928" s="48"/>
      <c r="R928" s="48"/>
      <c r="S928" s="48"/>
      <c r="T928" s="49"/>
      <c r="U928" s="1383" t="s">
        <v>591</v>
      </c>
      <c r="V928" s="1384"/>
      <c r="W928" s="1384"/>
      <c r="X928" s="1384"/>
      <c r="Y928" s="1384"/>
      <c r="Z928" s="1385"/>
      <c r="AA928" s="1332"/>
      <c r="AB928" s="1333"/>
      <c r="AC928" s="1333"/>
      <c r="AD928" s="1333"/>
      <c r="AE928" s="1333"/>
      <c r="AF928" s="1334"/>
      <c r="AZ928" s="34"/>
      <c r="BA928" s="34"/>
      <c r="BB928" s="34"/>
      <c r="BC928" s="34"/>
    </row>
    <row r="929" spans="6:55" ht="12.9" customHeight="1">
      <c r="F929" s="45" t="s">
        <v>801</v>
      </c>
      <c r="G929" s="5"/>
      <c r="H929" s="5"/>
      <c r="I929" s="5"/>
      <c r="J929" s="5"/>
      <c r="K929" s="5"/>
      <c r="L929" s="5"/>
      <c r="M929" s="5"/>
      <c r="N929" s="5"/>
      <c r="O929" s="5"/>
      <c r="P929" s="5"/>
      <c r="Q929" s="5"/>
      <c r="R929" s="5"/>
      <c r="S929" s="5"/>
      <c r="T929" s="46"/>
      <c r="U929" s="1383" t="s">
        <v>591</v>
      </c>
      <c r="V929" s="1384"/>
      <c r="W929" s="1384"/>
      <c r="X929" s="1384"/>
      <c r="Y929" s="1384"/>
      <c r="Z929" s="1385"/>
      <c r="AA929" s="1332"/>
      <c r="AB929" s="1333"/>
      <c r="AC929" s="1333"/>
      <c r="AD929" s="1333"/>
      <c r="AE929" s="1333"/>
      <c r="AF929" s="1334"/>
      <c r="AZ929" s="34"/>
      <c r="BA929" s="34"/>
      <c r="BB929" s="34"/>
      <c r="BC929" s="34"/>
    </row>
    <row r="930" spans="6:55" ht="12.9" customHeight="1">
      <c r="F930" s="45" t="s">
        <v>678</v>
      </c>
      <c r="G930" s="5"/>
      <c r="H930" s="5"/>
      <c r="I930" s="5"/>
      <c r="J930" s="5"/>
      <c r="K930" s="5"/>
      <c r="L930" s="5"/>
      <c r="M930" s="5"/>
      <c r="N930" s="5"/>
      <c r="O930" s="5"/>
      <c r="P930" s="5"/>
      <c r="Q930" s="5"/>
      <c r="R930" s="5"/>
      <c r="S930" s="5"/>
      <c r="T930" s="46"/>
      <c r="U930" s="1383" t="s">
        <v>591</v>
      </c>
      <c r="V930" s="1384"/>
      <c r="W930" s="1384"/>
      <c r="X930" s="1384"/>
      <c r="Y930" s="1384"/>
      <c r="Z930" s="1385"/>
      <c r="AA930" s="1332"/>
      <c r="AB930" s="1333"/>
      <c r="AC930" s="1333"/>
      <c r="AD930" s="1333"/>
      <c r="AE930" s="1333"/>
      <c r="AF930" s="1334"/>
      <c r="AZ930" s="34"/>
      <c r="BA930" s="34"/>
      <c r="BB930" s="34"/>
      <c r="BC930" s="34"/>
    </row>
    <row r="931" spans="6:55" ht="12.9" customHeight="1">
      <c r="F931" s="66" t="s">
        <v>786</v>
      </c>
      <c r="G931" s="5"/>
      <c r="H931" s="5"/>
      <c r="I931" s="5"/>
      <c r="J931" s="5"/>
      <c r="K931" s="5"/>
      <c r="L931" s="5"/>
      <c r="M931" s="5"/>
      <c r="N931" s="5"/>
      <c r="O931" s="5"/>
      <c r="P931" s="5"/>
      <c r="Q931" s="5"/>
      <c r="R931" s="5"/>
      <c r="S931" s="5"/>
      <c r="T931" s="46"/>
      <c r="U931" s="1383" t="s">
        <v>591</v>
      </c>
      <c r="V931" s="1384"/>
      <c r="W931" s="1384"/>
      <c r="X931" s="1384"/>
      <c r="Y931" s="1384"/>
      <c r="Z931" s="1385"/>
      <c r="AA931" s="1332"/>
      <c r="AB931" s="1333"/>
      <c r="AC931" s="1333"/>
      <c r="AD931" s="1333"/>
      <c r="AE931" s="1333"/>
      <c r="AF931" s="1334"/>
      <c r="AZ931" s="34"/>
      <c r="BA931" s="34"/>
      <c r="BB931" s="34"/>
      <c r="BC931" s="34"/>
    </row>
    <row r="932" spans="6:55" ht="12.9" customHeight="1">
      <c r="F932" s="66" t="s">
        <v>787</v>
      </c>
      <c r="G932" s="5"/>
      <c r="H932" s="5"/>
      <c r="I932" s="5"/>
      <c r="J932" s="5"/>
      <c r="K932" s="5"/>
      <c r="L932" s="5"/>
      <c r="M932" s="5"/>
      <c r="N932" s="5"/>
      <c r="O932" s="5"/>
      <c r="P932" s="5"/>
      <c r="Q932" s="5"/>
      <c r="R932" s="5"/>
      <c r="S932" s="5"/>
      <c r="T932" s="46"/>
      <c r="U932" s="1383" t="s">
        <v>591</v>
      </c>
      <c r="V932" s="1384"/>
      <c r="W932" s="1384"/>
      <c r="X932" s="1384"/>
      <c r="Y932" s="1384"/>
      <c r="Z932" s="1385"/>
      <c r="AA932" s="1332"/>
      <c r="AB932" s="1333"/>
      <c r="AC932" s="1333"/>
      <c r="AD932" s="1333"/>
      <c r="AE932" s="1333"/>
      <c r="AF932" s="1334"/>
      <c r="AZ932" s="34"/>
      <c r="BA932" s="34"/>
      <c r="BB932" s="34"/>
      <c r="BC932" s="34"/>
    </row>
    <row r="933" spans="6:55" ht="12.9" customHeight="1">
      <c r="F933" s="66" t="s">
        <v>788</v>
      </c>
      <c r="G933" s="5"/>
      <c r="H933" s="5"/>
      <c r="I933" s="5"/>
      <c r="J933" s="5"/>
      <c r="K933" s="5"/>
      <c r="L933" s="5"/>
      <c r="M933" s="5"/>
      <c r="N933" s="5"/>
      <c r="O933" s="5"/>
      <c r="P933" s="5"/>
      <c r="Q933" s="5"/>
      <c r="R933" s="5"/>
      <c r="S933" s="5"/>
      <c r="T933" s="46"/>
      <c r="U933" s="1383" t="s">
        <v>591</v>
      </c>
      <c r="V933" s="1384"/>
      <c r="W933" s="1384"/>
      <c r="X933" s="1384"/>
      <c r="Y933" s="1384"/>
      <c r="Z933" s="1385"/>
      <c r="AA933" s="1332"/>
      <c r="AB933" s="1333"/>
      <c r="AC933" s="1333"/>
      <c r="AD933" s="1333"/>
      <c r="AE933" s="1333"/>
      <c r="AF933" s="1334"/>
      <c r="AZ933" s="34"/>
      <c r="BA933" s="34"/>
      <c r="BB933" s="34"/>
      <c r="BC933" s="34"/>
    </row>
    <row r="934" spans="6:55" ht="12.9" customHeight="1">
      <c r="F934" s="45" t="s">
        <v>677</v>
      </c>
      <c r="G934" s="5"/>
      <c r="H934" s="5"/>
      <c r="I934" s="5"/>
      <c r="J934" s="5"/>
      <c r="K934" s="5"/>
      <c r="L934" s="5"/>
      <c r="M934" s="5"/>
      <c r="N934" s="5"/>
      <c r="O934" s="5"/>
      <c r="P934" s="5"/>
      <c r="Q934" s="5"/>
      <c r="R934" s="5"/>
      <c r="S934" s="5"/>
      <c r="T934" s="46"/>
      <c r="U934" s="1383" t="s">
        <v>591</v>
      </c>
      <c r="V934" s="1384"/>
      <c r="W934" s="1384"/>
      <c r="X934" s="1384"/>
      <c r="Y934" s="1384"/>
      <c r="Z934" s="1385"/>
      <c r="AA934" s="1332"/>
      <c r="AB934" s="1333"/>
      <c r="AC934" s="1333"/>
      <c r="AD934" s="1333"/>
      <c r="AE934" s="1333"/>
      <c r="AF934" s="1334"/>
      <c r="AZ934" s="34"/>
      <c r="BA934" s="34"/>
      <c r="BB934" s="34"/>
      <c r="BC934" s="34"/>
    </row>
    <row r="935" spans="6:55" ht="12.9" customHeight="1">
      <c r="F935" s="1601" t="s">
        <v>2141</v>
      </c>
      <c r="G935" s="1602"/>
      <c r="H935" s="1602"/>
      <c r="I935" s="1602"/>
      <c r="J935" s="1602"/>
      <c r="K935" s="1602"/>
      <c r="L935" s="1602"/>
      <c r="M935" s="1602"/>
      <c r="N935" s="1602"/>
      <c r="O935" s="1602"/>
      <c r="P935" s="1602"/>
      <c r="Q935" s="1602"/>
      <c r="R935" s="1602"/>
      <c r="S935" s="1602"/>
      <c r="T935" s="1603"/>
      <c r="U935" s="1383" t="s">
        <v>591</v>
      </c>
      <c r="V935" s="1384"/>
      <c r="W935" s="1384"/>
      <c r="X935" s="1384"/>
      <c r="Y935" s="1384"/>
      <c r="Z935" s="1385"/>
      <c r="AA935" s="1332"/>
      <c r="AB935" s="1333"/>
      <c r="AC935" s="1333"/>
      <c r="AD935" s="1333"/>
      <c r="AE935" s="1333"/>
      <c r="AF935" s="1334"/>
      <c r="AZ935" s="34"/>
      <c r="BA935" s="34"/>
      <c r="BB935" s="34"/>
      <c r="BC935" s="34"/>
    </row>
    <row r="936" spans="6:55" ht="12.9" customHeight="1">
      <c r="F936" s="1601" t="s">
        <v>679</v>
      </c>
      <c r="G936" s="1602"/>
      <c r="H936" s="1602"/>
      <c r="I936" s="1602"/>
      <c r="J936" s="1602"/>
      <c r="K936" s="1602"/>
      <c r="L936" s="1602"/>
      <c r="M936" s="1602"/>
      <c r="N936" s="1602"/>
      <c r="O936" s="1602"/>
      <c r="P936" s="1602"/>
      <c r="Q936" s="1602"/>
      <c r="R936" s="1602"/>
      <c r="S936" s="1602"/>
      <c r="T936" s="1603"/>
      <c r="U936" s="1383" t="s">
        <v>591</v>
      </c>
      <c r="V936" s="1384"/>
      <c r="W936" s="1384"/>
      <c r="X936" s="1384"/>
      <c r="Y936" s="1384"/>
      <c r="Z936" s="1385"/>
      <c r="AA936" s="1332"/>
      <c r="AB936" s="1333"/>
      <c r="AC936" s="1333"/>
      <c r="AD936" s="1333"/>
      <c r="AE936" s="1333"/>
      <c r="AF936" s="1334"/>
      <c r="AU936" s="2"/>
      <c r="AZ936" s="34"/>
      <c r="BA936" s="34"/>
      <c r="BB936" s="34"/>
      <c r="BC936" s="34"/>
    </row>
    <row r="937" spans="6:55" ht="12.9" customHeight="1">
      <c r="F937" s="1601" t="s">
        <v>2142</v>
      </c>
      <c r="G937" s="1602"/>
      <c r="H937" s="1602"/>
      <c r="I937" s="1602"/>
      <c r="J937" s="1602"/>
      <c r="K937" s="1602"/>
      <c r="L937" s="1602"/>
      <c r="M937" s="1602"/>
      <c r="N937" s="1602"/>
      <c r="O937" s="1602"/>
      <c r="P937" s="1602"/>
      <c r="Q937" s="1602"/>
      <c r="R937" s="1602"/>
      <c r="S937" s="1602"/>
      <c r="T937" s="1603"/>
      <c r="U937" s="1383" t="s">
        <v>591</v>
      </c>
      <c r="V937" s="1384"/>
      <c r="W937" s="1384"/>
      <c r="X937" s="1384"/>
      <c r="Y937" s="1384"/>
      <c r="Z937" s="1385"/>
      <c r="AA937" s="1332"/>
      <c r="AB937" s="1333"/>
      <c r="AC937" s="1333"/>
      <c r="AD937" s="1333"/>
      <c r="AE937" s="1333"/>
      <c r="AF937" s="1334"/>
      <c r="AU937" s="2"/>
      <c r="AZ937" s="34"/>
      <c r="BA937" s="34"/>
      <c r="BB937" s="34"/>
      <c r="BC937" s="34"/>
    </row>
    <row r="938" spans="6:55" ht="12.9" customHeight="1">
      <c r="F938" s="1601" t="s">
        <v>2143</v>
      </c>
      <c r="G938" s="1602"/>
      <c r="H938" s="1602"/>
      <c r="I938" s="1602"/>
      <c r="J938" s="1602"/>
      <c r="K938" s="1602"/>
      <c r="L938" s="1602"/>
      <c r="M938" s="1602"/>
      <c r="N938" s="1602"/>
      <c r="O938" s="1602"/>
      <c r="P938" s="1602"/>
      <c r="Q938" s="1602"/>
      <c r="R938" s="1602"/>
      <c r="S938" s="1602"/>
      <c r="T938" s="1603"/>
      <c r="U938" s="1383" t="s">
        <v>591</v>
      </c>
      <c r="V938" s="1384"/>
      <c r="W938" s="1384"/>
      <c r="X938" s="1384"/>
      <c r="Y938" s="1384"/>
      <c r="Z938" s="1385"/>
      <c r="AA938" s="1332"/>
      <c r="AB938" s="1333"/>
      <c r="AC938" s="1333"/>
      <c r="AD938" s="1333"/>
      <c r="AE938" s="1333"/>
      <c r="AF938" s="1334"/>
      <c r="AU938" s="2"/>
      <c r="AZ938" s="34"/>
      <c r="BA938" s="34"/>
      <c r="BB938" s="34"/>
      <c r="BC938" s="34"/>
    </row>
    <row r="939" spans="6:55" ht="12.9" customHeight="1">
      <c r="F939" s="1601" t="s">
        <v>2144</v>
      </c>
      <c r="G939" s="1602"/>
      <c r="H939" s="1602"/>
      <c r="I939" s="1602"/>
      <c r="J939" s="1602"/>
      <c r="K939" s="1602"/>
      <c r="L939" s="1602"/>
      <c r="M939" s="1602"/>
      <c r="N939" s="1602"/>
      <c r="O939" s="1602"/>
      <c r="P939" s="1602"/>
      <c r="Q939" s="1602"/>
      <c r="R939" s="1602"/>
      <c r="S939" s="1602"/>
      <c r="T939" s="1603"/>
      <c r="U939" s="1383" t="s">
        <v>591</v>
      </c>
      <c r="V939" s="1384"/>
      <c r="W939" s="1384"/>
      <c r="X939" s="1384"/>
      <c r="Y939" s="1384"/>
      <c r="Z939" s="1385"/>
      <c r="AA939" s="1332"/>
      <c r="AB939" s="1333"/>
      <c r="AC939" s="1333"/>
      <c r="AD939" s="1333"/>
      <c r="AE939" s="1333"/>
      <c r="AF939" s="1334"/>
      <c r="AU939" s="2"/>
      <c r="AZ939" s="34"/>
      <c r="BA939" s="34"/>
      <c r="BB939" s="34"/>
      <c r="BC939" s="34"/>
    </row>
    <row r="940" spans="6:55" ht="12.9" customHeight="1">
      <c r="F940" s="1601" t="s">
        <v>2145</v>
      </c>
      <c r="G940" s="1602"/>
      <c r="H940" s="1602"/>
      <c r="I940" s="1602"/>
      <c r="J940" s="1602"/>
      <c r="K940" s="1602"/>
      <c r="L940" s="1602"/>
      <c r="M940" s="1602"/>
      <c r="N940" s="1602"/>
      <c r="O940" s="1602"/>
      <c r="P940" s="1602"/>
      <c r="Q940" s="1602"/>
      <c r="R940" s="1602"/>
      <c r="S940" s="1602"/>
      <c r="T940" s="1603"/>
      <c r="U940" s="1383" t="s">
        <v>591</v>
      </c>
      <c r="V940" s="1384"/>
      <c r="W940" s="1384"/>
      <c r="X940" s="1384"/>
      <c r="Y940" s="1384"/>
      <c r="Z940" s="1385"/>
      <c r="AA940" s="1332"/>
      <c r="AB940" s="1333"/>
      <c r="AC940" s="1333"/>
      <c r="AD940" s="1333"/>
      <c r="AE940" s="1333"/>
      <c r="AF940" s="1334"/>
      <c r="AU940" s="2"/>
      <c r="AZ940" s="34"/>
      <c r="BA940" s="34"/>
      <c r="BB940" s="34"/>
      <c r="BC940" s="34"/>
    </row>
    <row r="941" spans="6:55" ht="12.9" customHeight="1">
      <c r="F941" s="1601" t="s">
        <v>2146</v>
      </c>
      <c r="G941" s="1602"/>
      <c r="H941" s="1602"/>
      <c r="I941" s="1602"/>
      <c r="J941" s="1602"/>
      <c r="K941" s="1602"/>
      <c r="L941" s="1602"/>
      <c r="M941" s="1602"/>
      <c r="N941" s="1602"/>
      <c r="O941" s="1602"/>
      <c r="P941" s="1602"/>
      <c r="Q941" s="1602"/>
      <c r="R941" s="1602"/>
      <c r="S941" s="1602"/>
      <c r="T941" s="1603"/>
      <c r="U941" s="1383" t="s">
        <v>591</v>
      </c>
      <c r="V941" s="1384"/>
      <c r="W941" s="1384"/>
      <c r="X941" s="1384"/>
      <c r="Y941" s="1384"/>
      <c r="Z941" s="1385"/>
      <c r="AA941" s="1332"/>
      <c r="AB941" s="1333"/>
      <c r="AC941" s="1333"/>
      <c r="AD941" s="1333"/>
      <c r="AE941" s="1333"/>
      <c r="AF941" s="1334"/>
      <c r="AZ941" s="30"/>
      <c r="BA941" s="30"/>
    </row>
    <row r="942" spans="6:55" ht="12.9" customHeight="1">
      <c r="F942" s="178" t="s">
        <v>676</v>
      </c>
      <c r="G942" s="5"/>
      <c r="H942" s="5"/>
      <c r="I942" s="5"/>
      <c r="J942" s="5"/>
      <c r="K942" s="5"/>
      <c r="L942" s="5"/>
      <c r="M942" s="5"/>
      <c r="N942" s="5"/>
      <c r="O942" s="5"/>
      <c r="P942" s="5"/>
      <c r="Q942" s="5"/>
      <c r="R942" s="5"/>
      <c r="S942" s="5"/>
      <c r="T942" s="46"/>
      <c r="U942" s="1383" t="s">
        <v>591</v>
      </c>
      <c r="V942" s="1384"/>
      <c r="W942" s="1384"/>
      <c r="X942" s="1384"/>
      <c r="Y942" s="1384"/>
      <c r="Z942" s="1385"/>
      <c r="AA942" s="1332"/>
      <c r="AB942" s="1333"/>
      <c r="AC942" s="1333"/>
      <c r="AD942" s="1333"/>
      <c r="AE942" s="1333"/>
      <c r="AF942" s="1334"/>
    </row>
    <row r="943" spans="6:55" ht="12.9" customHeight="1">
      <c r="F943" s="121" t="s">
        <v>1276</v>
      </c>
      <c r="G943" s="5"/>
      <c r="H943" s="5"/>
      <c r="I943" s="5"/>
      <c r="J943" s="5"/>
      <c r="K943" s="5"/>
      <c r="L943" s="5"/>
      <c r="M943" s="5"/>
      <c r="N943" s="5"/>
      <c r="O943" s="5"/>
      <c r="P943" s="5"/>
      <c r="Q943" s="5"/>
      <c r="R943" s="5"/>
      <c r="S943" s="5"/>
      <c r="T943" s="46"/>
      <c r="U943" s="1383" t="s">
        <v>591</v>
      </c>
      <c r="V943" s="1384"/>
      <c r="W943" s="1384"/>
      <c r="X943" s="1384"/>
      <c r="Y943" s="1384"/>
      <c r="Z943" s="1385"/>
      <c r="AA943" s="1332"/>
      <c r="AB943" s="1333"/>
      <c r="AC943" s="1333"/>
      <c r="AD943" s="1333"/>
      <c r="AE943" s="1333"/>
      <c r="AF943" s="1334"/>
      <c r="AZ943" s="30"/>
      <c r="BA943" s="14"/>
    </row>
    <row r="944" spans="6:55" ht="12.9" customHeight="1">
      <c r="F944" s="66" t="s">
        <v>802</v>
      </c>
      <c r="G944" s="5"/>
      <c r="H944" s="5"/>
      <c r="I944" s="5"/>
      <c r="J944" s="5"/>
      <c r="K944" s="5"/>
      <c r="L944" s="5"/>
      <c r="M944" s="5"/>
      <c r="N944" s="5"/>
      <c r="O944" s="5"/>
      <c r="P944" s="5"/>
      <c r="Q944" s="5"/>
      <c r="R944" s="5"/>
      <c r="S944" s="5"/>
      <c r="T944" s="46"/>
      <c r="U944" s="1383" t="s">
        <v>591</v>
      </c>
      <c r="V944" s="1384"/>
      <c r="W944" s="1384"/>
      <c r="X944" s="1384"/>
      <c r="Y944" s="1384"/>
      <c r="Z944" s="1385"/>
      <c r="AA944" s="1332"/>
      <c r="AB944" s="1333"/>
      <c r="AC944" s="1333"/>
      <c r="AD944" s="1333"/>
      <c r="AE944" s="1333"/>
      <c r="AF944" s="1334"/>
      <c r="AZ944" s="30"/>
      <c r="BA944" s="14"/>
    </row>
    <row r="945" spans="6:55" ht="12.9" customHeight="1">
      <c r="F945" s="1326" t="s">
        <v>2150</v>
      </c>
      <c r="G945" s="1327"/>
      <c r="H945" s="1327"/>
      <c r="I945" s="1327"/>
      <c r="J945" s="1327"/>
      <c r="K945" s="1327"/>
      <c r="L945" s="1327"/>
      <c r="M945" s="1327"/>
      <c r="N945" s="1327"/>
      <c r="O945" s="1327"/>
      <c r="P945" s="1327"/>
      <c r="Q945" s="1327"/>
      <c r="R945" s="1327"/>
      <c r="S945" s="1327"/>
      <c r="T945" s="1328"/>
      <c r="U945" s="1383" t="s">
        <v>591</v>
      </c>
      <c r="V945" s="1384"/>
      <c r="W945" s="1384"/>
      <c r="X945" s="1384"/>
      <c r="Y945" s="1384"/>
      <c r="Z945" s="1385"/>
      <c r="AA945" s="1332"/>
      <c r="AB945" s="1333"/>
      <c r="AC945" s="1333"/>
      <c r="AD945" s="1333"/>
      <c r="AE945" s="1333"/>
      <c r="AF945" s="1334"/>
      <c r="AZ945" s="30"/>
      <c r="BA945" s="14"/>
    </row>
    <row r="946" spans="6:55" ht="12.9" customHeight="1">
      <c r="F946" s="1326" t="s">
        <v>2151</v>
      </c>
      <c r="G946" s="1327"/>
      <c r="H946" s="1327"/>
      <c r="I946" s="1327"/>
      <c r="J946" s="1327"/>
      <c r="K946" s="1327"/>
      <c r="L946" s="1327"/>
      <c r="M946" s="1327"/>
      <c r="N946" s="1327"/>
      <c r="O946" s="1327"/>
      <c r="P946" s="1327"/>
      <c r="Q946" s="1327"/>
      <c r="R946" s="1327"/>
      <c r="S946" s="1327"/>
      <c r="T946" s="1328"/>
      <c r="U946" s="1383" t="s">
        <v>591</v>
      </c>
      <c r="V946" s="1384"/>
      <c r="W946" s="1384"/>
      <c r="X946" s="1384"/>
      <c r="Y946" s="1384"/>
      <c r="Z946" s="1385"/>
      <c r="AA946" s="1332"/>
      <c r="AB946" s="1333"/>
      <c r="AC946" s="1333"/>
      <c r="AD946" s="1333"/>
      <c r="AE946" s="1333"/>
      <c r="AF946" s="1334"/>
      <c r="AZ946" s="30"/>
      <c r="BA946" s="30"/>
    </row>
    <row r="947" spans="6:55" ht="12.9" customHeight="1">
      <c r="F947" s="1601" t="s">
        <v>2147</v>
      </c>
      <c r="G947" s="1602"/>
      <c r="H947" s="1602"/>
      <c r="I947" s="1602"/>
      <c r="J947" s="1602"/>
      <c r="K947" s="1602"/>
      <c r="L947" s="1602"/>
      <c r="M947" s="1602"/>
      <c r="N947" s="1602"/>
      <c r="O947" s="1602"/>
      <c r="P947" s="1602"/>
      <c r="Q947" s="1602"/>
      <c r="R947" s="1602"/>
      <c r="S947" s="1602"/>
      <c r="T947" s="1603"/>
      <c r="U947" s="1383" t="s">
        <v>591</v>
      </c>
      <c r="V947" s="1384"/>
      <c r="W947" s="1384"/>
      <c r="X947" s="1384"/>
      <c r="Y947" s="1384"/>
      <c r="Z947" s="1385"/>
      <c r="AA947" s="1332"/>
      <c r="AB947" s="1333"/>
      <c r="AC947" s="1333"/>
      <c r="AD947" s="1333"/>
      <c r="AE947" s="1333"/>
      <c r="AF947" s="1334"/>
      <c r="AZ947" s="30"/>
      <c r="BA947" s="30"/>
    </row>
    <row r="948" spans="6:55" ht="12.9" customHeight="1">
      <c r="F948" s="1601" t="s">
        <v>2148</v>
      </c>
      <c r="G948" s="1602"/>
      <c r="H948" s="1602"/>
      <c r="I948" s="1602"/>
      <c r="J948" s="1602"/>
      <c r="K948" s="1602"/>
      <c r="L948" s="1602"/>
      <c r="M948" s="1602"/>
      <c r="N948" s="1602"/>
      <c r="O948" s="1602"/>
      <c r="P948" s="1602"/>
      <c r="Q948" s="1602"/>
      <c r="R948" s="1602"/>
      <c r="S948" s="1602"/>
      <c r="T948" s="1603"/>
      <c r="U948" s="1383" t="s">
        <v>591</v>
      </c>
      <c r="V948" s="1384"/>
      <c r="W948" s="1384"/>
      <c r="X948" s="1384"/>
      <c r="Y948" s="1384"/>
      <c r="Z948" s="1385"/>
      <c r="AA948" s="1332"/>
      <c r="AB948" s="1333"/>
      <c r="AC948" s="1333"/>
      <c r="AD948" s="1333"/>
      <c r="AE948" s="1333"/>
      <c r="AF948" s="1334"/>
      <c r="AZ948" s="30"/>
      <c r="BA948" s="30"/>
    </row>
    <row r="949" spans="6:55" ht="12.9" customHeight="1">
      <c r="F949" s="1601" t="s">
        <v>2149</v>
      </c>
      <c r="G949" s="1602"/>
      <c r="H949" s="1602"/>
      <c r="I949" s="1602"/>
      <c r="J949" s="1602"/>
      <c r="K949" s="1602"/>
      <c r="L949" s="1602"/>
      <c r="M949" s="1602"/>
      <c r="N949" s="1602"/>
      <c r="O949" s="1602"/>
      <c r="P949" s="1602"/>
      <c r="Q949" s="1602"/>
      <c r="R949" s="1602"/>
      <c r="S949" s="1602"/>
      <c r="T949" s="1603"/>
      <c r="U949" s="1383" t="s">
        <v>591</v>
      </c>
      <c r="V949" s="1384"/>
      <c r="W949" s="1384"/>
      <c r="X949" s="1384"/>
      <c r="Y949" s="1384"/>
      <c r="Z949" s="1385"/>
      <c r="AA949" s="1332"/>
      <c r="AB949" s="1333"/>
      <c r="AC949" s="1333"/>
      <c r="AD949" s="1333"/>
      <c r="AE949" s="1333"/>
      <c r="AF949" s="1334"/>
      <c r="AZ949" s="34"/>
      <c r="BA949" s="34"/>
      <c r="BB949" s="14"/>
      <c r="BC949" s="14"/>
    </row>
    <row r="950" spans="6:55" ht="12.9" customHeight="1">
      <c r="F950" s="121" t="s">
        <v>1260</v>
      </c>
      <c r="G950" s="5"/>
      <c r="H950" s="5"/>
      <c r="I950" s="5"/>
      <c r="J950" s="5"/>
      <c r="K950" s="5"/>
      <c r="L950" s="5"/>
      <c r="M950" s="5"/>
      <c r="N950" s="5"/>
      <c r="O950" s="5"/>
      <c r="P950" s="5"/>
      <c r="Q950" s="5"/>
      <c r="R950" s="5"/>
      <c r="S950" s="5"/>
      <c r="T950" s="46"/>
      <c r="U950" s="1383" t="s">
        <v>591</v>
      </c>
      <c r="V950" s="1384"/>
      <c r="W950" s="1384"/>
      <c r="X950" s="1384"/>
      <c r="Y950" s="1384"/>
      <c r="Z950" s="1385"/>
      <c r="AA950" s="1332"/>
      <c r="AB950" s="1333"/>
      <c r="AC950" s="1333"/>
      <c r="AD950" s="1333"/>
      <c r="AE950" s="1333"/>
      <c r="AF950" s="1334"/>
      <c r="AZ950" s="34"/>
      <c r="BA950" s="34"/>
      <c r="BB950" s="14"/>
      <c r="BC950" s="14"/>
    </row>
    <row r="951" spans="6:55" ht="12.9" customHeight="1">
      <c r="F951" s="1326" t="s">
        <v>2152</v>
      </c>
      <c r="G951" s="1327"/>
      <c r="H951" s="1327"/>
      <c r="I951" s="1327"/>
      <c r="J951" s="1327"/>
      <c r="K951" s="1327"/>
      <c r="L951" s="1327"/>
      <c r="M951" s="1327"/>
      <c r="N951" s="1327"/>
      <c r="O951" s="1327"/>
      <c r="P951" s="1327"/>
      <c r="Q951" s="1327"/>
      <c r="R951" s="1327"/>
      <c r="S951" s="1327"/>
      <c r="T951" s="1328"/>
      <c r="U951" s="1383" t="s">
        <v>591</v>
      </c>
      <c r="V951" s="1384"/>
      <c r="W951" s="1384"/>
      <c r="X951" s="1384"/>
      <c r="Y951" s="1384"/>
      <c r="Z951" s="1385"/>
      <c r="AA951" s="1332"/>
      <c r="AB951" s="1333"/>
      <c r="AC951" s="1333"/>
      <c r="AD951" s="1333"/>
      <c r="AE951" s="1333"/>
      <c r="AF951" s="1334"/>
      <c r="AZ951" s="34"/>
      <c r="BA951" s="34"/>
      <c r="BB951" s="34"/>
      <c r="BC951" s="34"/>
    </row>
    <row r="952" spans="6:55" ht="12.9" customHeight="1">
      <c r="F952" s="121" t="s">
        <v>1261</v>
      </c>
      <c r="G952" s="5"/>
      <c r="H952" s="5"/>
      <c r="I952" s="5"/>
      <c r="J952" s="5"/>
      <c r="K952" s="5"/>
      <c r="L952" s="5"/>
      <c r="M952" s="5"/>
      <c r="N952" s="5"/>
      <c r="O952" s="5"/>
      <c r="P952" s="5"/>
      <c r="Q952" s="5"/>
      <c r="R952" s="5"/>
      <c r="S952" s="5"/>
      <c r="T952" s="46"/>
      <c r="U952" s="1383" t="s">
        <v>591</v>
      </c>
      <c r="V952" s="1384"/>
      <c r="W952" s="1384"/>
      <c r="X952" s="1384"/>
      <c r="Y952" s="1384"/>
      <c r="Z952" s="1385"/>
      <c r="AA952" s="1332"/>
      <c r="AB952" s="1333"/>
      <c r="AC952" s="1333"/>
      <c r="AD952" s="1333"/>
      <c r="AE952" s="1333"/>
      <c r="AF952" s="1334"/>
      <c r="AZ952" s="34"/>
      <c r="BA952" s="34"/>
      <c r="BB952" s="34"/>
      <c r="BC952" s="34"/>
    </row>
    <row r="953" spans="6:55" ht="12.9" customHeight="1">
      <c r="F953" s="1326" t="s">
        <v>2153</v>
      </c>
      <c r="G953" s="1327"/>
      <c r="H953" s="1327"/>
      <c r="I953" s="1327"/>
      <c r="J953" s="1327"/>
      <c r="K953" s="1327"/>
      <c r="L953" s="1327"/>
      <c r="M953" s="1327"/>
      <c r="N953" s="1327"/>
      <c r="O953" s="1327"/>
      <c r="P953" s="1327"/>
      <c r="Q953" s="1327"/>
      <c r="R953" s="1327"/>
      <c r="S953" s="1327"/>
      <c r="T953" s="1328"/>
      <c r="U953" s="1383" t="s">
        <v>591</v>
      </c>
      <c r="V953" s="1384"/>
      <c r="W953" s="1384"/>
      <c r="X953" s="1384"/>
      <c r="Y953" s="1384"/>
      <c r="Z953" s="1385"/>
      <c r="AA953" s="1332"/>
      <c r="AB953" s="1333"/>
      <c r="AC953" s="1333"/>
      <c r="AD953" s="1333"/>
      <c r="AE953" s="1333"/>
      <c r="AF953" s="1334"/>
      <c r="AZ953" s="34"/>
      <c r="BA953" s="34"/>
      <c r="BB953" s="34"/>
      <c r="BC953" s="34"/>
    </row>
    <row r="954" spans="6:55" ht="12.9" customHeight="1">
      <c r="F954" s="45" t="s">
        <v>806</v>
      </c>
      <c r="G954" s="5"/>
      <c r="H954" s="5"/>
      <c r="I954" s="5"/>
      <c r="J954" s="5"/>
      <c r="K954" s="5"/>
      <c r="L954" s="5"/>
      <c r="M954" s="5"/>
      <c r="N954" s="5"/>
      <c r="O954" s="5"/>
      <c r="P954" s="1383" t="s">
        <v>669</v>
      </c>
      <c r="Q954" s="1384"/>
      <c r="R954" s="1384"/>
      <c r="S954" s="1384"/>
      <c r="T954" s="1385"/>
      <c r="U954" s="1383" t="s">
        <v>591</v>
      </c>
      <c r="V954" s="1384"/>
      <c r="W954" s="1384"/>
      <c r="X954" s="1384"/>
      <c r="Y954" s="1384"/>
      <c r="Z954" s="1385"/>
      <c r="AA954" s="1332"/>
      <c r="AB954" s="1333"/>
      <c r="AC954" s="1333"/>
      <c r="AD954" s="1333"/>
      <c r="AE954" s="1333"/>
      <c r="AF954" s="1334"/>
      <c r="AZ954" s="34"/>
      <c r="BA954" s="34"/>
      <c r="BB954" s="34"/>
      <c r="BC954" s="34"/>
    </row>
    <row r="955" spans="6:55" ht="12.9" customHeight="1">
      <c r="F955" s="1601" t="s">
        <v>2140</v>
      </c>
      <c r="G955" s="1602"/>
      <c r="H955" s="1603"/>
      <c r="I955" s="1598" t="s">
        <v>334</v>
      </c>
      <c r="J955" s="1599"/>
      <c r="K955" s="1599"/>
      <c r="L955" s="1599"/>
      <c r="M955" s="1599"/>
      <c r="N955" s="1599"/>
      <c r="O955" s="1599"/>
      <c r="P955" s="1599"/>
      <c r="Q955" s="1599"/>
      <c r="R955" s="1599"/>
      <c r="S955" s="1599"/>
      <c r="T955" s="1600"/>
      <c r="U955" s="1383" t="s">
        <v>591</v>
      </c>
      <c r="V955" s="1384"/>
      <c r="W955" s="1384"/>
      <c r="X955" s="1384"/>
      <c r="Y955" s="1384"/>
      <c r="Z955" s="1385"/>
      <c r="AA955" s="1332"/>
      <c r="AB955" s="1333"/>
      <c r="AC955" s="1333"/>
      <c r="AD955" s="1333"/>
      <c r="AE955" s="1333"/>
      <c r="AF955" s="1334"/>
      <c r="AZ955" s="34"/>
      <c r="BA955" s="34"/>
      <c r="BB955" s="34"/>
      <c r="BC955" s="34"/>
    </row>
    <row r="956" spans="6:55" ht="12.9" customHeight="1">
      <c r="F956" s="45" t="s">
        <v>86</v>
      </c>
      <c r="G956" s="48"/>
      <c r="H956" s="48"/>
      <c r="I956" s="1598" t="s">
        <v>334</v>
      </c>
      <c r="J956" s="1599"/>
      <c r="K956" s="1599"/>
      <c r="L956" s="1599"/>
      <c r="M956" s="1599"/>
      <c r="N956" s="1599"/>
      <c r="O956" s="1599"/>
      <c r="P956" s="1599"/>
      <c r="Q956" s="1599"/>
      <c r="R956" s="1599"/>
      <c r="S956" s="1599"/>
      <c r="T956" s="1600"/>
      <c r="U956" s="1383" t="s">
        <v>591</v>
      </c>
      <c r="V956" s="1384"/>
      <c r="W956" s="1384"/>
      <c r="X956" s="1384"/>
      <c r="Y956" s="1384"/>
      <c r="Z956" s="1385"/>
      <c r="AA956" s="1332"/>
      <c r="AB956" s="1333"/>
      <c r="AC956" s="1333"/>
      <c r="AD956" s="1333"/>
      <c r="AE956" s="1333"/>
      <c r="AF956" s="1334"/>
      <c r="AZ956" s="34"/>
      <c r="BA956" s="34"/>
      <c r="BB956" s="34"/>
      <c r="BC956" s="34"/>
    </row>
    <row r="957" spans="6:55" ht="12.9" customHeight="1">
      <c r="F957" s="45" t="s">
        <v>10</v>
      </c>
      <c r="G957" s="48"/>
      <c r="H957" s="48"/>
      <c r="I957" s="1389" t="s">
        <v>334</v>
      </c>
      <c r="J957" s="1390"/>
      <c r="K957" s="1390"/>
      <c r="L957" s="1390"/>
      <c r="M957" s="1390"/>
      <c r="N957" s="1390"/>
      <c r="O957" s="1390"/>
      <c r="P957" s="1390"/>
      <c r="Q957" s="1390"/>
      <c r="R957" s="1390"/>
      <c r="S957" s="1390"/>
      <c r="T957" s="1391"/>
      <c r="U957" s="1383" t="s">
        <v>591</v>
      </c>
      <c r="V957" s="1384"/>
      <c r="W957" s="1384"/>
      <c r="X957" s="1384"/>
      <c r="Y957" s="1384"/>
      <c r="Z957" s="1385"/>
      <c r="AA957" s="1332"/>
      <c r="AB957" s="1333"/>
      <c r="AC957" s="1333"/>
      <c r="AD957" s="1333"/>
      <c r="AE957" s="1333"/>
      <c r="AF957" s="1334"/>
      <c r="AV957" s="2"/>
      <c r="AW957" s="2"/>
      <c r="AX957" s="2"/>
      <c r="AY957" s="2"/>
      <c r="AZ957" s="34"/>
      <c r="BA957" s="34"/>
      <c r="BB957" s="34"/>
      <c r="BC957" s="34"/>
    </row>
    <row r="958" spans="6:55" ht="12.9" customHeight="1">
      <c r="F958" s="47" t="s">
        <v>170</v>
      </c>
      <c r="G958" s="48"/>
      <c r="H958" s="48"/>
      <c r="I958" s="1389" t="s">
        <v>334</v>
      </c>
      <c r="J958" s="1390"/>
      <c r="K958" s="1390"/>
      <c r="L958" s="1390"/>
      <c r="M958" s="1390"/>
      <c r="N958" s="1390"/>
      <c r="O958" s="1390"/>
      <c r="P958" s="1390"/>
      <c r="Q958" s="1390"/>
      <c r="R958" s="1390"/>
      <c r="S958" s="1390"/>
      <c r="T958" s="1391"/>
      <c r="U958" s="1383" t="s">
        <v>591</v>
      </c>
      <c r="V958" s="1384"/>
      <c r="W958" s="1384"/>
      <c r="X958" s="1384"/>
      <c r="Y958" s="1384"/>
      <c r="Z958" s="1385"/>
      <c r="AA958" s="1332"/>
      <c r="AB958" s="1333"/>
      <c r="AC958" s="1333"/>
      <c r="AD958" s="1333"/>
      <c r="AE958" s="1333"/>
      <c r="AF958" s="1334"/>
      <c r="AU958" s="2"/>
      <c r="AZ958" s="34"/>
      <c r="BA958" s="34"/>
      <c r="BB958" s="34"/>
      <c r="BC958" s="34"/>
    </row>
    <row r="959" spans="6:55" ht="12.9" customHeight="1">
      <c r="F959" s="47" t="s">
        <v>170</v>
      </c>
      <c r="G959" s="48"/>
      <c r="H959" s="48"/>
      <c r="I959" s="1389" t="s">
        <v>334</v>
      </c>
      <c r="J959" s="1390"/>
      <c r="K959" s="1390"/>
      <c r="L959" s="1390"/>
      <c r="M959" s="1390"/>
      <c r="N959" s="1390"/>
      <c r="O959" s="1390"/>
      <c r="P959" s="1390"/>
      <c r="Q959" s="1390"/>
      <c r="R959" s="1390"/>
      <c r="S959" s="1390"/>
      <c r="T959" s="1391"/>
      <c r="U959" s="1383" t="s">
        <v>591</v>
      </c>
      <c r="V959" s="1384"/>
      <c r="W959" s="1384"/>
      <c r="X959" s="1384"/>
      <c r="Y959" s="1384"/>
      <c r="Z959" s="1385"/>
      <c r="AA959" s="1332"/>
      <c r="AB959" s="1333"/>
      <c r="AC959" s="1333"/>
      <c r="AD959" s="1333"/>
      <c r="AE959" s="1333"/>
      <c r="AF959" s="1334"/>
      <c r="AU959" s="2"/>
      <c r="AZ959" s="34"/>
      <c r="BA959" s="34"/>
      <c r="BB959" s="34"/>
      <c r="BC959" s="34"/>
    </row>
    <row r="960" spans="6:55" ht="12.9" customHeight="1">
      <c r="AU960" s="2"/>
      <c r="AZ960" s="34"/>
      <c r="BA960" s="34"/>
      <c r="BB960" s="34"/>
      <c r="BC960" s="34"/>
    </row>
    <row r="961" spans="1:64" ht="12.9" customHeight="1">
      <c r="A961" s="2" t="s">
        <v>576</v>
      </c>
      <c r="C961" s="2" t="s">
        <v>751</v>
      </c>
      <c r="AZ961" s="34"/>
      <c r="BA961" s="34"/>
      <c r="BB961" s="34"/>
      <c r="BC961" s="34"/>
    </row>
    <row r="962" spans="1:64" ht="12.9"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11</v>
      </c>
      <c r="D964" s="5"/>
      <c r="E964" s="5"/>
      <c r="F964" s="5"/>
      <c r="G964" s="5"/>
      <c r="H964" s="5"/>
      <c r="I964" s="5"/>
      <c r="J964" s="5"/>
      <c r="K964" s="5"/>
      <c r="L964" s="46"/>
      <c r="M964" s="1322"/>
      <c r="N964" s="1323"/>
      <c r="O964" s="1323"/>
      <c r="P964" s="1323"/>
      <c r="Q964" s="1323"/>
      <c r="R964" s="1323"/>
      <c r="S964" s="1324"/>
      <c r="U964" s="66" t="s">
        <v>11</v>
      </c>
      <c r="V964" s="5"/>
      <c r="W964" s="5"/>
      <c r="X964" s="5"/>
      <c r="Y964" s="5"/>
      <c r="Z964" s="5"/>
      <c r="AA964" s="5"/>
      <c r="AB964" s="5"/>
      <c r="AC964" s="5"/>
      <c r="AD964" s="46"/>
      <c r="AE964" s="1322"/>
      <c r="AF964" s="1323"/>
      <c r="AG964" s="1323"/>
      <c r="AH964" s="1323"/>
      <c r="AI964" s="1323"/>
      <c r="AJ964" s="1323"/>
      <c r="AK964" s="1324"/>
      <c r="AZ964" s="34"/>
      <c r="BA964" s="34"/>
      <c r="BB964" s="34"/>
      <c r="BC964" s="34"/>
    </row>
    <row r="965" spans="1:64" ht="12.9" customHeight="1">
      <c r="C965" s="66" t="s">
        <v>12</v>
      </c>
      <c r="D965" s="5"/>
      <c r="E965" s="5"/>
      <c r="F965" s="5"/>
      <c r="G965" s="5"/>
      <c r="H965" s="5"/>
      <c r="I965" s="5"/>
      <c r="J965" s="5"/>
      <c r="K965" s="5"/>
      <c r="L965" s="46"/>
      <c r="M965" s="1386"/>
      <c r="N965" s="1387"/>
      <c r="O965" s="1387"/>
      <c r="P965" s="1387"/>
      <c r="Q965" s="1387"/>
      <c r="R965" s="1387"/>
      <c r="S965" s="1388"/>
      <c r="U965" s="66" t="s">
        <v>12</v>
      </c>
      <c r="V965" s="5"/>
      <c r="W965" s="5"/>
      <c r="X965" s="5"/>
      <c r="Y965" s="5"/>
      <c r="Z965" s="5"/>
      <c r="AA965" s="5"/>
      <c r="AB965" s="5"/>
      <c r="AC965" s="5"/>
      <c r="AD965" s="46"/>
      <c r="AE965" s="1386"/>
      <c r="AF965" s="1387"/>
      <c r="AG965" s="1387"/>
      <c r="AH965" s="1387"/>
      <c r="AI965" s="1387"/>
      <c r="AJ965" s="1387"/>
      <c r="AK965" s="1388"/>
      <c r="AZ965" s="34"/>
      <c r="BA965" s="34"/>
      <c r="BB965" s="34"/>
      <c r="BC965" s="34"/>
    </row>
    <row r="966" spans="1:64" ht="12.9" customHeight="1">
      <c r="C966" s="66" t="s">
        <v>880</v>
      </c>
      <c r="D966" s="5"/>
      <c r="E966" s="5"/>
      <c r="J966" s="1342" t="s">
        <v>307</v>
      </c>
      <c r="K966" s="1343"/>
      <c r="L966" s="1343"/>
      <c r="M966" s="1343"/>
      <c r="N966" s="1343"/>
      <c r="O966" s="1343"/>
      <c r="P966" s="1343"/>
      <c r="Q966" s="1343"/>
      <c r="R966" s="1343"/>
      <c r="S966" s="1344"/>
      <c r="U966" s="66" t="s">
        <v>880</v>
      </c>
      <c r="V966" s="5"/>
      <c r="W966" s="5"/>
      <c r="AB966" s="1342" t="s">
        <v>307</v>
      </c>
      <c r="AC966" s="1343"/>
      <c r="AD966" s="1343"/>
      <c r="AE966" s="1343"/>
      <c r="AF966" s="1343"/>
      <c r="AG966" s="1343"/>
      <c r="AH966" s="1343"/>
      <c r="AI966" s="1343"/>
      <c r="AJ966" s="1343"/>
      <c r="AK966" s="1344"/>
      <c r="AZ966" s="34"/>
      <c r="BA966" s="34"/>
      <c r="BB966" s="34"/>
      <c r="BC966" s="34"/>
    </row>
    <row r="967" spans="1:64" ht="12.9" customHeight="1">
      <c r="C967" s="66" t="s">
        <v>13</v>
      </c>
      <c r="D967" s="5"/>
      <c r="E967" s="5"/>
      <c r="F967" s="5"/>
      <c r="G967" s="5"/>
      <c r="H967" s="5"/>
      <c r="I967" s="5"/>
      <c r="J967" s="5"/>
      <c r="K967" s="5"/>
      <c r="L967" s="46"/>
      <c r="M967" s="1633"/>
      <c r="N967" s="1336"/>
      <c r="O967" s="1336"/>
      <c r="P967" s="1336"/>
      <c r="Q967" s="1336"/>
      <c r="R967" s="1336"/>
      <c r="S967" s="1337"/>
      <c r="U967" s="66" t="s">
        <v>13</v>
      </c>
      <c r="V967" s="5"/>
      <c r="W967" s="5"/>
      <c r="X967" s="5"/>
      <c r="Y967" s="5"/>
      <c r="Z967" s="5"/>
      <c r="AA967" s="5"/>
      <c r="AB967" s="5"/>
      <c r="AC967" s="5"/>
      <c r="AD967" s="46"/>
      <c r="AE967" s="1335"/>
      <c r="AF967" s="1336"/>
      <c r="AG967" s="1336"/>
      <c r="AH967" s="1336"/>
      <c r="AI967" s="1336"/>
      <c r="AJ967" s="1336"/>
      <c r="AK967" s="1337"/>
      <c r="AZ967" s="34"/>
      <c r="BA967" s="34"/>
      <c r="BB967" s="34"/>
      <c r="BC967" s="34"/>
    </row>
    <row r="968" spans="1:64" ht="12.9" customHeight="1">
      <c r="C968" s="66" t="s">
        <v>14</v>
      </c>
      <c r="D968" s="5"/>
      <c r="E968" s="5"/>
      <c r="F968" s="5"/>
      <c r="G968" s="5"/>
      <c r="H968" s="5"/>
      <c r="I968" s="5"/>
      <c r="J968" s="5"/>
      <c r="K968" s="5"/>
      <c r="L968" s="46"/>
      <c r="M968" s="1401"/>
      <c r="N968" s="1402"/>
      <c r="O968" s="1402"/>
      <c r="P968" s="1402"/>
      <c r="Q968" s="1402"/>
      <c r="R968" s="1402"/>
      <c r="S968" s="1403"/>
      <c r="U968" s="66" t="s">
        <v>14</v>
      </c>
      <c r="V968" s="5"/>
      <c r="W968" s="5"/>
      <c r="X968" s="5"/>
      <c r="Y968" s="5"/>
      <c r="Z968" s="5"/>
      <c r="AA968" s="5"/>
      <c r="AB968" s="5"/>
      <c r="AC968" s="5"/>
      <c r="AD968" s="46"/>
      <c r="AE968" s="1401"/>
      <c r="AF968" s="1402"/>
      <c r="AG968" s="1402"/>
      <c r="AH968" s="1402"/>
      <c r="AI968" s="1402"/>
      <c r="AJ968" s="1402"/>
      <c r="AK968" s="1403"/>
      <c r="AV968" s="2"/>
      <c r="AW968" s="2"/>
      <c r="AX968" s="2"/>
      <c r="AY968" s="2"/>
      <c r="AZ968" s="34"/>
      <c r="BA968" s="34"/>
      <c r="BB968" s="34"/>
      <c r="BC968" s="34"/>
    </row>
    <row r="969" spans="1:64" ht="12.9" customHeight="1">
      <c r="C969" s="66" t="s">
        <v>15</v>
      </c>
      <c r="D969" s="5"/>
      <c r="E969" s="5"/>
      <c r="F969" s="5"/>
      <c r="G969" s="5"/>
      <c r="H969" s="5"/>
      <c r="I969" s="5"/>
      <c r="J969" s="5"/>
      <c r="K969" s="5"/>
      <c r="L969" s="46"/>
      <c r="M969" s="1332"/>
      <c r="N969" s="1333"/>
      <c r="O969" s="1333"/>
      <c r="P969" s="1333"/>
      <c r="Q969" s="1333"/>
      <c r="R969" s="1333"/>
      <c r="S969" s="1334"/>
      <c r="U969" s="66" t="s">
        <v>15</v>
      </c>
      <c r="V969" s="5"/>
      <c r="W969" s="5"/>
      <c r="X969" s="5"/>
      <c r="Y969" s="5"/>
      <c r="Z969" s="5"/>
      <c r="AA969" s="5"/>
      <c r="AB969" s="5"/>
      <c r="AC969" s="5"/>
      <c r="AD969" s="46"/>
      <c r="AE969" s="1332"/>
      <c r="AF969" s="1333"/>
      <c r="AG969" s="1333"/>
      <c r="AH969" s="1333"/>
      <c r="AI969" s="1333"/>
      <c r="AJ969" s="1333"/>
      <c r="AK969" s="1334"/>
      <c r="AV969" s="2"/>
      <c r="AW969" s="2"/>
      <c r="AX969" s="2"/>
      <c r="AY969" s="2"/>
      <c r="AZ969" s="34"/>
      <c r="BA969" s="34"/>
      <c r="BB969" s="34"/>
      <c r="BC969" s="34"/>
    </row>
    <row r="970" spans="1:64" ht="12.9" customHeight="1">
      <c r="C970" s="66" t="s">
        <v>16</v>
      </c>
      <c r="D970" s="5"/>
      <c r="E970" s="5"/>
      <c r="F970" s="5"/>
      <c r="G970" s="5"/>
      <c r="H970" s="5"/>
      <c r="I970" s="5"/>
      <c r="J970" s="5"/>
      <c r="K970" s="5"/>
      <c r="L970" s="46"/>
      <c r="M970" s="1332"/>
      <c r="N970" s="1333"/>
      <c r="O970" s="1333"/>
      <c r="P970" s="1333"/>
      <c r="Q970" s="1333"/>
      <c r="R970" s="1333"/>
      <c r="S970" s="1334"/>
      <c r="U970" s="66" t="s">
        <v>16</v>
      </c>
      <c r="V970" s="5"/>
      <c r="W970" s="5"/>
      <c r="X970" s="5"/>
      <c r="Y970" s="5"/>
      <c r="Z970" s="5"/>
      <c r="AA970" s="5"/>
      <c r="AB970" s="5"/>
      <c r="AC970" s="5"/>
      <c r="AD970" s="46"/>
      <c r="AE970" s="1332"/>
      <c r="AF970" s="1333"/>
      <c r="AG970" s="1333"/>
      <c r="AH970" s="1333"/>
      <c r="AI970" s="1333"/>
      <c r="AJ970" s="1333"/>
      <c r="AK970" s="1334"/>
      <c r="AV970" s="2"/>
      <c r="AW970" s="2"/>
      <c r="AX970" s="2"/>
      <c r="AY970" s="2"/>
      <c r="AZ970" s="34"/>
      <c r="BB970" s="34"/>
      <c r="BC970" s="34"/>
    </row>
    <row r="971" spans="1:64" ht="12.9" customHeight="1">
      <c r="C971" s="121" t="s">
        <v>1649</v>
      </c>
      <c r="D971" s="5"/>
      <c r="E971" s="5"/>
      <c r="F971" s="5"/>
      <c r="G971" s="5"/>
      <c r="H971" s="5"/>
      <c r="I971" s="5"/>
      <c r="J971" s="5"/>
      <c r="K971" s="5"/>
      <c r="L971" s="46"/>
      <c r="M971" s="1329"/>
      <c r="N971" s="1330"/>
      <c r="O971" s="1330"/>
      <c r="P971" s="1330"/>
      <c r="Q971" s="1330"/>
      <c r="R971" s="1330"/>
      <c r="S971" s="1331"/>
      <c r="U971" s="121" t="s">
        <v>1649</v>
      </c>
      <c r="V971" s="5"/>
      <c r="W971" s="5"/>
      <c r="X971" s="5"/>
      <c r="Y971" s="5"/>
      <c r="Z971" s="5"/>
      <c r="AA971" s="5"/>
      <c r="AB971" s="5"/>
      <c r="AC971" s="5"/>
      <c r="AD971" s="46"/>
      <c r="AE971" s="1329"/>
      <c r="AF971" s="1330"/>
      <c r="AG971" s="1330"/>
      <c r="AH971" s="1330"/>
      <c r="AI971" s="1330"/>
      <c r="AJ971" s="1330"/>
      <c r="AK971" s="1331"/>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 customHeight="1">
      <c r="A976"/>
      <c r="B976"/>
      <c r="C976"/>
      <c r="D976"/>
      <c r="E976"/>
      <c r="F976" s="45" t="s">
        <v>571</v>
      </c>
      <c r="G976" s="5"/>
      <c r="H976" s="5"/>
      <c r="I976" s="5"/>
      <c r="J976" s="5"/>
      <c r="K976" s="5"/>
      <c r="L976" s="46"/>
      <c r="M976" s="1296"/>
      <c r="N976" s="1297"/>
      <c r="O976" s="1297"/>
      <c r="P976" s="1297"/>
      <c r="Q976" s="1297"/>
      <c r="R976" s="1297"/>
      <c r="S976" s="1298"/>
      <c r="T976" s="66" t="s">
        <v>790</v>
      </c>
      <c r="U976" s="5"/>
      <c r="V976" s="5"/>
      <c r="W976" s="5"/>
      <c r="X976" s="5"/>
      <c r="Y976" s="5"/>
      <c r="Z976" s="46"/>
      <c r="AA976" s="1296"/>
      <c r="AB976" s="1297"/>
      <c r="AC976" s="1297"/>
      <c r="AD976" s="1297"/>
      <c r="AE976" s="1297"/>
      <c r="AF976" s="1297"/>
      <c r="AG976" s="129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 customHeight="1">
      <c r="A977"/>
      <c r="B977"/>
      <c r="C977"/>
      <c r="D977"/>
      <c r="E977"/>
      <c r="F977" s="45" t="s">
        <v>572</v>
      </c>
      <c r="G977" s="5"/>
      <c r="H977" s="5"/>
      <c r="I977" s="5"/>
      <c r="J977" s="5"/>
      <c r="K977" s="5"/>
      <c r="L977" s="46"/>
      <c r="M977" s="1296"/>
      <c r="N977" s="1297"/>
      <c r="O977" s="1297"/>
      <c r="P977" s="1297"/>
      <c r="Q977" s="1297"/>
      <c r="R977" s="1297"/>
      <c r="S977" s="1298"/>
      <c r="T977" s="66" t="s">
        <v>789</v>
      </c>
      <c r="U977" s="5"/>
      <c r="V977" s="5"/>
      <c r="W977" s="5"/>
      <c r="X977" s="5"/>
      <c r="Y977" s="5"/>
      <c r="Z977" s="46"/>
      <c r="AA977" s="1296"/>
      <c r="AB977" s="1297"/>
      <c r="AC977" s="1297"/>
      <c r="AD977" s="1297"/>
      <c r="AE977" s="1297"/>
      <c r="AF977" s="1297"/>
      <c r="AG977" s="129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 customHeight="1">
      <c r="A978"/>
      <c r="B978"/>
      <c r="C978"/>
      <c r="D978"/>
      <c r="E978"/>
      <c r="F978" s="45" t="s">
        <v>901</v>
      </c>
      <c r="G978" s="5"/>
      <c r="H978" s="5"/>
      <c r="I978" s="5"/>
      <c r="J978" s="5"/>
      <c r="K978" s="5"/>
      <c r="L978" s="46"/>
      <c r="M978" s="1615" t="s">
        <v>591</v>
      </c>
      <c r="N978" s="1616"/>
      <c r="O978" s="1616"/>
      <c r="P978" s="1616"/>
      <c r="Q978" s="1616"/>
      <c r="R978" s="1616"/>
      <c r="S978" s="1617"/>
      <c r="T978" s="45" t="s">
        <v>337</v>
      </c>
      <c r="U978" s="5"/>
      <c r="V978" s="5"/>
      <c r="W978" s="5"/>
      <c r="X978" s="5"/>
      <c r="Y978" s="5"/>
      <c r="Z978" s="46"/>
      <c r="AA978" s="1296"/>
      <c r="AB978" s="1297"/>
      <c r="AC978" s="1297"/>
      <c r="AD978" s="1297"/>
      <c r="AE978" s="1297"/>
      <c r="AF978" s="1297"/>
      <c r="AG978" s="129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 customHeight="1">
      <c r="A979"/>
      <c r="B979"/>
      <c r="C979"/>
      <c r="D979"/>
      <c r="E979"/>
      <c r="F979" s="45" t="s">
        <v>573</v>
      </c>
      <c r="G979" s="5"/>
      <c r="H979" s="5"/>
      <c r="I979" s="5"/>
      <c r="J979" s="5"/>
      <c r="K979" s="5"/>
      <c r="L979" s="46"/>
      <c r="M979" s="1296"/>
      <c r="N979" s="1297"/>
      <c r="O979" s="1297"/>
      <c r="P979" s="1297"/>
      <c r="Q979" s="1297"/>
      <c r="R979" s="1297"/>
      <c r="S979" s="1298"/>
      <c r="T979" s="45" t="s">
        <v>338</v>
      </c>
      <c r="U979" s="5"/>
      <c r="V979" s="5"/>
      <c r="W979" s="5"/>
      <c r="X979" s="5"/>
      <c r="Y979" s="5"/>
      <c r="Z979" s="46"/>
      <c r="AA979" s="1296"/>
      <c r="AB979" s="1297"/>
      <c r="AC979" s="1297"/>
      <c r="AD979" s="1297"/>
      <c r="AE979" s="1297"/>
      <c r="AF979" s="1297"/>
      <c r="AG979" s="129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 customHeight="1">
      <c r="A980"/>
      <c r="B980"/>
      <c r="C980"/>
      <c r="D980"/>
      <c r="E980"/>
      <c r="F980" s="45" t="s">
        <v>464</v>
      </c>
      <c r="G980" s="5"/>
      <c r="H980" s="5"/>
      <c r="I980" s="5"/>
      <c r="J980" s="5"/>
      <c r="K980" s="5"/>
      <c r="L980" s="46"/>
      <c r="M980" s="1296"/>
      <c r="N980" s="1297"/>
      <c r="O980" s="1297"/>
      <c r="P980" s="1297"/>
      <c r="Q980" s="1297"/>
      <c r="R980" s="1297"/>
      <c r="S980" s="1298"/>
      <c r="T980" s="45" t="s">
        <v>376</v>
      </c>
      <c r="U980" s="5"/>
      <c r="V980" s="5"/>
      <c r="W980" s="5"/>
      <c r="X980" s="5"/>
      <c r="Y980" s="5"/>
      <c r="Z980" s="46"/>
      <c r="AA980" s="1296"/>
      <c r="AB980" s="1297"/>
      <c r="AC980" s="1297"/>
      <c r="AD980" s="1297"/>
      <c r="AE980" s="1297"/>
      <c r="AF980" s="1297"/>
      <c r="AG980" s="129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 customHeight="1">
      <c r="A981"/>
      <c r="B981"/>
      <c r="C981"/>
      <c r="D981"/>
      <c r="E981"/>
      <c r="F981" s="242" t="s">
        <v>880</v>
      </c>
      <c r="G981" s="42"/>
      <c r="H981" s="42"/>
      <c r="I981" s="42"/>
      <c r="J981" s="42"/>
      <c r="K981" s="42"/>
      <c r="L981" s="58"/>
      <c r="M981" s="1342" t="s">
        <v>307</v>
      </c>
      <c r="N981" s="1343"/>
      <c r="O981" s="1343"/>
      <c r="P981" s="1343"/>
      <c r="Q981" s="1343"/>
      <c r="R981" s="1343"/>
      <c r="S981" s="1344"/>
      <c r="T981" s="1611"/>
      <c r="U981" s="1612"/>
      <c r="V981" s="1612"/>
      <c r="W981" s="1612"/>
      <c r="X981" s="1612"/>
      <c r="Y981" s="1612"/>
      <c r="Z981" s="1613"/>
      <c r="AA981" s="1296"/>
      <c r="AB981" s="1297"/>
      <c r="AC981" s="1297"/>
      <c r="AD981" s="1297"/>
      <c r="AE981" s="1297"/>
      <c r="AF981" s="1297"/>
      <c r="AG981" s="129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 customHeight="1">
      <c r="A982"/>
      <c r="B982"/>
      <c r="C982"/>
      <c r="D982"/>
      <c r="E982"/>
      <c r="F982" s="41" t="s">
        <v>465</v>
      </c>
      <c r="G982" s="42"/>
      <c r="H982" s="42"/>
      <c r="I982" s="42"/>
      <c r="J982" s="42"/>
      <c r="K982" s="42"/>
      <c r="L982" s="58"/>
      <c r="M982" s="1296"/>
      <c r="N982" s="1297"/>
      <c r="O982" s="1297"/>
      <c r="P982" s="1297"/>
      <c r="Q982" s="1297"/>
      <c r="R982" s="1297"/>
      <c r="S982" s="1298"/>
      <c r="T982" s="1611"/>
      <c r="U982" s="1612"/>
      <c r="V982" s="1612"/>
      <c r="W982" s="1612"/>
      <c r="X982" s="1612"/>
      <c r="Y982" s="1612"/>
      <c r="Z982" s="1613"/>
      <c r="AA982" s="1296"/>
      <c r="AB982" s="1297"/>
      <c r="AC982" s="1297"/>
      <c r="AD982" s="1297"/>
      <c r="AE982" s="1297"/>
      <c r="AF982" s="1297"/>
      <c r="AG982" s="129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 customHeight="1">
      <c r="F983" s="41" t="s">
        <v>336</v>
      </c>
      <c r="G983" s="42"/>
      <c r="H983" s="42"/>
      <c r="I983" s="42"/>
      <c r="J983" s="42"/>
      <c r="K983" s="42"/>
      <c r="L983" s="42"/>
      <c r="M983" s="42"/>
      <c r="N983" s="42"/>
      <c r="O983" s="1536" t="s">
        <v>669</v>
      </c>
      <c r="P983" s="1537"/>
      <c r="Q983" s="92"/>
      <c r="R983" s="92"/>
      <c r="S983" s="93"/>
      <c r="T983" s="41" t="s">
        <v>170</v>
      </c>
      <c r="U983" s="42"/>
      <c r="V983" s="42"/>
      <c r="W983" s="1560" t="s">
        <v>334</v>
      </c>
      <c r="X983" s="1561"/>
      <c r="Y983" s="1561"/>
      <c r="Z983" s="1561"/>
      <c r="AA983" s="1561"/>
      <c r="AB983" s="1561"/>
      <c r="AC983" s="1561"/>
      <c r="AD983" s="1561"/>
      <c r="AE983" s="1561"/>
      <c r="AF983" s="1561"/>
      <c r="AG983" s="1562"/>
      <c r="AU983" s="68"/>
      <c r="AV983" s="95"/>
      <c r="AW983" s="95"/>
      <c r="AX983" s="95"/>
      <c r="AY983" s="95"/>
      <c r="AZ983" s="34"/>
      <c r="BB983" s="34"/>
      <c r="BC983" s="34"/>
      <c r="BD983" s="34"/>
      <c r="BE983" s="34"/>
      <c r="BF983" s="34"/>
      <c r="BG983" s="34"/>
      <c r="BH983" s="34"/>
      <c r="BI983" s="34"/>
      <c r="BJ983" s="34"/>
      <c r="BK983" s="34"/>
      <c r="BL983" s="34"/>
    </row>
    <row r="984" spans="1:64" ht="12.9" customHeight="1">
      <c r="F984" s="1567" t="s">
        <v>33</v>
      </c>
      <c r="G984" s="1428"/>
      <c r="H984" s="1428"/>
      <c r="I984" s="1428"/>
      <c r="J984" s="1428"/>
      <c r="K984" s="1428"/>
      <c r="L984" s="1428"/>
      <c r="M984" s="1296"/>
      <c r="N984" s="1297"/>
      <c r="O984" s="1297"/>
      <c r="P984" s="1297"/>
      <c r="Q984" s="1297"/>
      <c r="R984" s="1297"/>
      <c r="S984" s="1298"/>
      <c r="T984" s="47"/>
      <c r="U984" s="48"/>
      <c r="V984" s="48"/>
      <c r="W984" s="48"/>
      <c r="X984" s="48"/>
      <c r="Y984" s="48"/>
      <c r="Z984" s="124" t="s">
        <v>134</v>
      </c>
      <c r="AA984" s="1584"/>
      <c r="AB984" s="1585"/>
      <c r="AC984" s="1585"/>
      <c r="AD984" s="1585"/>
      <c r="AE984" s="1585"/>
      <c r="AF984" s="1585"/>
      <c r="AG984" s="1586"/>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634"/>
      <c r="BH985" s="1634"/>
      <c r="BI985" s="1634"/>
      <c r="BJ985" s="1634"/>
      <c r="BK985" s="1634"/>
      <c r="BL985" s="1634"/>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359" t="s">
        <v>548</v>
      </c>
      <c r="B988" s="1359"/>
      <c r="C988" s="1359"/>
      <c r="D988" s="1359"/>
      <c r="E988" s="1359"/>
      <c r="F988" s="1359"/>
      <c r="G988" s="1359"/>
      <c r="H988" s="1359"/>
      <c r="I988" s="1359"/>
      <c r="J988" s="1359"/>
      <c r="K988" s="1359"/>
      <c r="L988" s="1359"/>
      <c r="M988" s="1359"/>
      <c r="N988" s="1359"/>
      <c r="O988" s="1359"/>
      <c r="P988" s="1359"/>
      <c r="Q988" s="1359"/>
      <c r="R988" s="1359"/>
      <c r="S988" s="1359"/>
      <c r="T988" s="1359"/>
      <c r="U988" s="1359"/>
      <c r="V988" s="1359"/>
      <c r="W988" s="1359"/>
      <c r="X988" s="1359"/>
      <c r="Y988" s="1359"/>
      <c r="Z988" s="1359"/>
      <c r="AA988" s="1359"/>
      <c r="AB988" s="1359"/>
      <c r="AC988" s="1359"/>
      <c r="AD988" s="1359"/>
      <c r="AE988" s="1359"/>
      <c r="AF988" s="1359"/>
      <c r="AG988" s="1359"/>
      <c r="AH988" s="1359"/>
      <c r="AI988" s="1359"/>
      <c r="AJ988" s="1359"/>
      <c r="AK988" s="1359"/>
      <c r="AL988" s="1359"/>
      <c r="AM988" s="1359"/>
      <c r="AN988" s="1359"/>
      <c r="AO988" s="1359"/>
      <c r="AP988" s="1359"/>
      <c r="AQ988" s="1359"/>
      <c r="AR988" s="1359"/>
      <c r="AS988" s="1359"/>
      <c r="AT988" s="1359"/>
      <c r="AU988" s="68"/>
      <c r="AV988" s="68"/>
      <c r="AW988" s="68"/>
      <c r="AX988" s="68"/>
      <c r="AY988" s="68"/>
      <c r="AZ988" s="14"/>
      <c r="BA988" s="14"/>
      <c r="BB988" s="903"/>
      <c r="BC988" s="903"/>
    </row>
    <row r="989" spans="1:64" ht="12.9" customHeight="1">
      <c r="A989" s="1359"/>
      <c r="B989" s="1359"/>
      <c r="C989" s="1359"/>
      <c r="D989" s="1359"/>
      <c r="E989" s="1359"/>
      <c r="F989" s="1359"/>
      <c r="G989" s="1359"/>
      <c r="H989" s="1359"/>
      <c r="I989" s="1359"/>
      <c r="J989" s="1359"/>
      <c r="K989" s="1359"/>
      <c r="L989" s="1359"/>
      <c r="M989" s="1359"/>
      <c r="N989" s="1359"/>
      <c r="O989" s="1359"/>
      <c r="P989" s="1359"/>
      <c r="Q989" s="1359"/>
      <c r="R989" s="1359"/>
      <c r="S989" s="1359"/>
      <c r="T989" s="1359"/>
      <c r="U989" s="1359"/>
      <c r="V989" s="1359"/>
      <c r="W989" s="1359"/>
      <c r="X989" s="1359"/>
      <c r="Y989" s="1359"/>
      <c r="Z989" s="1359"/>
      <c r="AA989" s="1359"/>
      <c r="AB989" s="1359"/>
      <c r="AC989" s="1359"/>
      <c r="AD989" s="1359"/>
      <c r="AE989" s="1359"/>
      <c r="AF989" s="1359"/>
      <c r="AG989" s="1359"/>
      <c r="AH989" s="1359"/>
      <c r="AI989" s="1359"/>
      <c r="AJ989" s="1359"/>
      <c r="AK989" s="1359"/>
      <c r="AL989" s="1359"/>
      <c r="AM989" s="1359"/>
      <c r="AN989" s="1359"/>
      <c r="AO989" s="1359"/>
      <c r="AP989" s="1359"/>
      <c r="AQ989" s="1359"/>
      <c r="AR989" s="1359"/>
      <c r="AS989" s="1359"/>
      <c r="AT989" s="1359"/>
      <c r="AU989" s="68"/>
      <c r="AV989" s="68"/>
      <c r="AW989" s="68"/>
      <c r="AX989" s="68"/>
      <c r="AY989" s="68"/>
      <c r="AZ989" s="30"/>
      <c r="BA989" s="14"/>
      <c r="BB989" s="14"/>
      <c r="BC989" s="14"/>
    </row>
    <row r="990" spans="1:64" ht="12.9" customHeight="1">
      <c r="A990" s="1359"/>
      <c r="B990" s="1359"/>
      <c r="C990" s="1359"/>
      <c r="D990" s="1359"/>
      <c r="E990" s="1359"/>
      <c r="F990" s="1359"/>
      <c r="G990" s="1359"/>
      <c r="H990" s="1359"/>
      <c r="I990" s="1359"/>
      <c r="J990" s="1359"/>
      <c r="K990" s="1359"/>
      <c r="L990" s="1359"/>
      <c r="M990" s="1359"/>
      <c r="N990" s="1359"/>
      <c r="O990" s="1359"/>
      <c r="P990" s="1359"/>
      <c r="Q990" s="1359"/>
      <c r="R990" s="1359"/>
      <c r="S990" s="1359"/>
      <c r="T990" s="1359"/>
      <c r="U990" s="1359"/>
      <c r="V990" s="1359"/>
      <c r="W990" s="1359"/>
      <c r="X990" s="1359"/>
      <c r="Y990" s="1359"/>
      <c r="Z990" s="1359"/>
      <c r="AA990" s="1359"/>
      <c r="AB990" s="1359"/>
      <c r="AC990" s="1359"/>
      <c r="AD990" s="1359"/>
      <c r="AE990" s="1359"/>
      <c r="AF990" s="1359"/>
      <c r="AG990" s="1359"/>
      <c r="AH990" s="1359"/>
      <c r="AI990" s="1359"/>
      <c r="AJ990" s="1359"/>
      <c r="AK990" s="1359"/>
      <c r="AL990" s="1359"/>
      <c r="AM990" s="1359"/>
      <c r="AN990" s="1359"/>
      <c r="AO990" s="1359"/>
      <c r="AP990" s="1359"/>
      <c r="AQ990" s="1359"/>
      <c r="AR990" s="1359"/>
      <c r="AS990" s="1359"/>
      <c r="AT990" s="1359"/>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293" t="s">
        <v>638</v>
      </c>
      <c r="E994" s="1294"/>
      <c r="F994" s="1294"/>
      <c r="G994" s="1294"/>
      <c r="H994" s="1294"/>
      <c r="I994" s="1294"/>
      <c r="J994" s="1294"/>
      <c r="K994" s="1294"/>
      <c r="L994" s="1294"/>
      <c r="M994" s="1294"/>
      <c r="N994" s="1294"/>
      <c r="O994" s="1294"/>
      <c r="P994" s="1294"/>
      <c r="Q994" s="1295"/>
      <c r="R994" s="1293" t="s">
        <v>639</v>
      </c>
      <c r="S994" s="1294"/>
      <c r="T994" s="1294"/>
      <c r="U994" s="1294"/>
      <c r="V994" s="1294"/>
      <c r="W994" s="1294"/>
      <c r="X994" s="1294"/>
      <c r="Y994" s="1294"/>
      <c r="Z994" s="1294"/>
      <c r="AA994" s="1295"/>
      <c r="AB994" s="1293" t="s">
        <v>640</v>
      </c>
      <c r="AC994" s="1294"/>
      <c r="AD994" s="1294"/>
      <c r="AE994" s="1294"/>
      <c r="AF994" s="1294"/>
      <c r="AG994" s="1294"/>
      <c r="AH994" s="1294"/>
      <c r="AI994" s="1295"/>
      <c r="AJ994" s="1293" t="s">
        <v>641</v>
      </c>
      <c r="AK994" s="1294"/>
      <c r="AL994" s="1294"/>
      <c r="AM994" s="1294"/>
      <c r="AN994" s="1294"/>
      <c r="AO994" s="1294"/>
      <c r="AP994" s="1294"/>
      <c r="AQ994" s="1295"/>
      <c r="AR994" s="68"/>
      <c r="AS994" s="68"/>
      <c r="AT994" s="68"/>
      <c r="AU994" s="68"/>
      <c r="AV994" s="68"/>
      <c r="AW994" s="68"/>
      <c r="AX994" s="68"/>
      <c r="AY994" s="68"/>
      <c r="AZ994" s="30"/>
      <c r="BB994" s="14"/>
      <c r="BC994" s="14"/>
    </row>
    <row r="995" spans="1:55" ht="12.9" customHeight="1">
      <c r="A995" s="14"/>
      <c r="B995" s="73"/>
      <c r="C995" s="920"/>
      <c r="D995" s="1407" t="s">
        <v>633</v>
      </c>
      <c r="E995" s="1408"/>
      <c r="F995" s="1408"/>
      <c r="G995" s="1408"/>
      <c r="H995" s="1408"/>
      <c r="I995" s="1408"/>
      <c r="J995" s="1408"/>
      <c r="K995" s="1408"/>
      <c r="L995" s="1408"/>
      <c r="M995" s="1408"/>
      <c r="N995" s="1408"/>
      <c r="O995" s="1408"/>
      <c r="P995" s="1408"/>
      <c r="Q995" s="1409"/>
      <c r="R995" s="1410">
        <f>IF(ISNA(IF($CU$122="4%",(INDEX($CS$160:$CW$217,MATCH($DG$122,$CR$160:$CR$217,0),MATCH(D995,$CS$159:$CW$159,0))),(INDEX($CZ$160:$DD$217,MATCH($DG$122,$CY$160:$CY$217,0),MATCH(D995,$CZ$159:$DD$159,0))))),0,IF($CU$122="4%",(INDEX($CS$160:$CW$217,MATCH($DG$122,$CR$160:$CR$217,0),MATCH(D995,$CS$159:$CW$159,0))),(INDEX($CZ$160:$DD$217,MATCH($DG$122,$CY$160:$CY$217,0),MATCH(D995,$CZ$159:$DD$159,0)))))</f>
        <v>392286</v>
      </c>
      <c r="S995" s="1410"/>
      <c r="T995" s="1410"/>
      <c r="U995" s="1410"/>
      <c r="V995" s="1410"/>
      <c r="W995" s="1410"/>
      <c r="X995" s="1410"/>
      <c r="Y995" s="1410"/>
      <c r="Z995" s="1410"/>
      <c r="AA995" s="1410"/>
      <c r="AB995" s="1404">
        <f>CP810</f>
        <v>34</v>
      </c>
      <c r="AC995" s="1405"/>
      <c r="AD995" s="1405"/>
      <c r="AE995" s="1405"/>
      <c r="AF995" s="1405"/>
      <c r="AG995" s="1405"/>
      <c r="AH995" s="1405"/>
      <c r="AI995" s="1406"/>
      <c r="AJ995" s="1411">
        <f>IF(ISERROR((R995*AB995)),0,(R995*AB995))</f>
        <v>13337724</v>
      </c>
      <c r="AK995" s="1412"/>
      <c r="AL995" s="1412"/>
      <c r="AM995" s="1412"/>
      <c r="AN995" s="1412"/>
      <c r="AO995" s="1412"/>
      <c r="AP995" s="1412"/>
      <c r="AQ995" s="1413"/>
      <c r="AR995" s="68"/>
      <c r="AS995" s="68"/>
      <c r="AT995" s="68"/>
      <c r="AU995" s="68"/>
      <c r="AV995" s="68"/>
      <c r="AW995" s="68"/>
      <c r="AX995" s="68"/>
      <c r="AY995" s="68"/>
      <c r="AZ995" s="30"/>
      <c r="BB995" s="14"/>
      <c r="BC995" s="14"/>
    </row>
    <row r="996" spans="1:55" ht="12.9" customHeight="1">
      <c r="A996" s="14"/>
      <c r="B996" s="73"/>
      <c r="C996" s="83"/>
      <c r="D996" s="1407" t="s">
        <v>325</v>
      </c>
      <c r="E996" s="1408"/>
      <c r="F996" s="1408"/>
      <c r="G996" s="1408"/>
      <c r="H996" s="1408"/>
      <c r="I996" s="1408"/>
      <c r="J996" s="1408"/>
      <c r="K996" s="1408"/>
      <c r="L996" s="1408"/>
      <c r="M996" s="1408"/>
      <c r="N996" s="1408"/>
      <c r="O996" s="1408"/>
      <c r="P996" s="1408"/>
      <c r="Q996" s="1409"/>
      <c r="R996" s="1410">
        <f>IF(ISNA(IF($CU$122="4%",(INDEX($CS$160:$CW$217,MATCH($DG$122,$CR$160:$CR$217,0),MATCH(D996,$CS$159:$CW$159,0))),(INDEX($CZ$160:$DD$217,MATCH($DG$122,$CY$160:$CY$217,0),MATCH(D996,$CZ$159:$DD$159,0))))),0,IF($CU$122="4%",(INDEX($CS$160:$CW$217,MATCH($DG$122,$CR$160:$CR$217,0),MATCH(D996,$CS$159:$CW$159,0))),(INDEX($CZ$160:$DD$217,MATCH($DG$122,$CY$160:$CY$217,0),MATCH(D996,$CZ$159:$DD$159,0)))))</f>
        <v>452302</v>
      </c>
      <c r="S996" s="1410"/>
      <c r="T996" s="1410"/>
      <c r="U996" s="1410"/>
      <c r="V996" s="1410"/>
      <c r="W996" s="1410"/>
      <c r="X996" s="1410"/>
      <c r="Y996" s="1410"/>
      <c r="Z996" s="1410"/>
      <c r="AA996" s="1410"/>
      <c r="AB996" s="1404">
        <f>CU810</f>
        <v>104</v>
      </c>
      <c r="AC996" s="1405"/>
      <c r="AD996" s="1405"/>
      <c r="AE996" s="1405"/>
      <c r="AF996" s="1405"/>
      <c r="AG996" s="1405"/>
      <c r="AH996" s="1405"/>
      <c r="AI996" s="1406"/>
      <c r="AJ996" s="1411">
        <f>IF(ISERROR((R996*AB996)),0,(R996*AB996))</f>
        <v>47039408</v>
      </c>
      <c r="AK996" s="1412"/>
      <c r="AL996" s="1412"/>
      <c r="AM996" s="1412"/>
      <c r="AN996" s="1412"/>
      <c r="AO996" s="1412"/>
      <c r="AP996" s="1412"/>
      <c r="AQ996" s="1413"/>
      <c r="AR996" s="68"/>
      <c r="AS996" s="68"/>
      <c r="AT996" s="68"/>
      <c r="AU996" s="68"/>
      <c r="AV996" s="68"/>
      <c r="AW996" s="68"/>
      <c r="AX996" s="68"/>
      <c r="AY996" s="68"/>
      <c r="AZ996" s="30"/>
      <c r="BB996" s="14"/>
      <c r="BC996" s="14"/>
    </row>
    <row r="997" spans="1:55" ht="12.9" customHeight="1">
      <c r="A997" s="14"/>
      <c r="B997" s="73"/>
      <c r="C997" s="83"/>
      <c r="D997" s="1407" t="s">
        <v>163</v>
      </c>
      <c r="E997" s="1408"/>
      <c r="F997" s="1408"/>
      <c r="G997" s="1408"/>
      <c r="H997" s="1408"/>
      <c r="I997" s="1408"/>
      <c r="J997" s="1408"/>
      <c r="K997" s="1408"/>
      <c r="L997" s="1408"/>
      <c r="M997" s="1408"/>
      <c r="N997" s="1408"/>
      <c r="O997" s="1408"/>
      <c r="P997" s="1408"/>
      <c r="Q997" s="1409"/>
      <c r="R997" s="1410">
        <f>IF(ISNA(IF($CU$122="4%",(INDEX($CS$160:$CW$217,MATCH($DG$122,$CR$160:$CR$217,0),MATCH(D997,$CS$159:$CW$159,0))),(INDEX($CZ$160:$DD$217,MATCH($DG$122,$CY$160:$CY$217,0),MATCH(D997,$CZ$159:$DD$159,0))))),0,IF($CU$122="4%",(INDEX($CS$160:$CW$217,MATCH($DG$122,$CR$160:$CR$217,0),MATCH(D997,$CS$159:$CW$159,0))),(INDEX($CZ$160:$DD$217,MATCH($DG$122,$CY$160:$CY$217,0),MATCH(D997,$CZ$159:$DD$159,0)))))</f>
        <v>545600</v>
      </c>
      <c r="S997" s="1410"/>
      <c r="T997" s="1410"/>
      <c r="U997" s="1410"/>
      <c r="V997" s="1410"/>
      <c r="W997" s="1410"/>
      <c r="X997" s="1410"/>
      <c r="Y997" s="1410"/>
      <c r="Z997" s="1410"/>
      <c r="AA997" s="1410"/>
      <c r="AB997" s="1404">
        <f>CZ810</f>
        <v>46</v>
      </c>
      <c r="AC997" s="1405"/>
      <c r="AD997" s="1405"/>
      <c r="AE997" s="1405"/>
      <c r="AF997" s="1405"/>
      <c r="AG997" s="1405"/>
      <c r="AH997" s="1405"/>
      <c r="AI997" s="1406"/>
      <c r="AJ997" s="1411">
        <f>IF(ISERROR((R997*AB997)),0,(R997*AB997))</f>
        <v>25097600</v>
      </c>
      <c r="AK997" s="1412"/>
      <c r="AL997" s="1412"/>
      <c r="AM997" s="1412"/>
      <c r="AN997" s="1412"/>
      <c r="AO997" s="1412"/>
      <c r="AP997" s="1412"/>
      <c r="AQ997" s="1413"/>
      <c r="AR997" s="68"/>
      <c r="AS997" s="68"/>
      <c r="AT997" s="68"/>
      <c r="AU997" s="68"/>
      <c r="AV997" s="68"/>
      <c r="AW997" s="68"/>
      <c r="AX997" s="68"/>
      <c r="AY997" s="68"/>
      <c r="AZ997" s="30"/>
      <c r="BB997" s="14"/>
      <c r="BC997" s="14"/>
    </row>
    <row r="998" spans="1:55" ht="12.9" customHeight="1">
      <c r="A998" s="14"/>
      <c r="B998" s="73"/>
      <c r="C998" s="83"/>
      <c r="D998" s="1407" t="s">
        <v>164</v>
      </c>
      <c r="E998" s="1408"/>
      <c r="F998" s="1408"/>
      <c r="G998" s="1408"/>
      <c r="H998" s="1408"/>
      <c r="I998" s="1408"/>
      <c r="J998" s="1408"/>
      <c r="K998" s="1408"/>
      <c r="L998" s="1408"/>
      <c r="M998" s="1408"/>
      <c r="N998" s="1408"/>
      <c r="O998" s="1408"/>
      <c r="P998" s="1408"/>
      <c r="Q998" s="1409"/>
      <c r="R998" s="1410">
        <f>IF(ISNA(IF($CU$122="4%",(INDEX($CS$160:$CW$217,MATCH($DG$122,$CR$160:$CR$217,0),MATCH(D998,$CS$159:$CW$159,0))),(INDEX($CZ$160:$DD$217,MATCH($DG$122,$CY$160:$CY$217,0),MATCH(D998,$CZ$159:$DD$159,0))))),0,IF($CU$122="4%",(INDEX($CS$160:$CW$217,MATCH($DG$122,$CR$160:$CR$217,0),MATCH(D998,$CS$159:$CW$159,0))),(INDEX($CZ$160:$DD$217,MATCH($DG$122,$CY$160:$CY$217,0),MATCH(D998,$CZ$159:$DD$159,0)))))</f>
        <v>698368</v>
      </c>
      <c r="S998" s="1410"/>
      <c r="T998" s="1410"/>
      <c r="U998" s="1410"/>
      <c r="V998" s="1410"/>
      <c r="W998" s="1410"/>
      <c r="X998" s="1410"/>
      <c r="Y998" s="1410"/>
      <c r="Z998" s="1410"/>
      <c r="AA998" s="1410"/>
      <c r="AB998" s="1404">
        <f>DE810</f>
        <v>0</v>
      </c>
      <c r="AC998" s="1405"/>
      <c r="AD998" s="1405"/>
      <c r="AE998" s="1405"/>
      <c r="AF998" s="1405"/>
      <c r="AG998" s="1405"/>
      <c r="AH998" s="1405"/>
      <c r="AI998" s="1406"/>
      <c r="AJ998" s="1411">
        <f>IF(ISERROR((R998*AB998)),0,(R998*AB998))</f>
        <v>0</v>
      </c>
      <c r="AK998" s="1412"/>
      <c r="AL998" s="1412"/>
      <c r="AM998" s="1412"/>
      <c r="AN998" s="1412"/>
      <c r="AO998" s="1412"/>
      <c r="AP998" s="1412"/>
      <c r="AQ998" s="1413"/>
      <c r="AR998" s="68"/>
      <c r="AS998" s="68"/>
      <c r="AT998" s="68"/>
      <c r="AU998" s="68"/>
      <c r="AV998" s="68"/>
      <c r="AW998" s="68"/>
      <c r="AX998" s="68"/>
      <c r="AY998" s="68"/>
      <c r="AZ998" s="30"/>
      <c r="BA998" s="34"/>
      <c r="BB998" s="14"/>
      <c r="BC998" s="14"/>
    </row>
    <row r="999" spans="1:55" ht="12.9" customHeight="1">
      <c r="A999" s="14"/>
      <c r="B999" s="47"/>
      <c r="C999" s="78"/>
      <c r="D999" s="1407" t="s">
        <v>460</v>
      </c>
      <c r="E999" s="1408"/>
      <c r="F999" s="1408"/>
      <c r="G999" s="1408"/>
      <c r="H999" s="1408"/>
      <c r="I999" s="1408"/>
      <c r="J999" s="1408"/>
      <c r="K999" s="1408"/>
      <c r="L999" s="1408"/>
      <c r="M999" s="1408"/>
      <c r="N999" s="1408"/>
      <c r="O999" s="1408"/>
      <c r="P999" s="1408"/>
      <c r="Q999" s="1409"/>
      <c r="R999" s="1410">
        <f>IF(ISNA(IF($CU$122="4%",(INDEX($CS$160:$CW$217,MATCH($DG$122,$CR$160:$CR$217,0),MATCH(D999,$CS$159:$CW$159,0))),(INDEX($CZ$160:$DD$217,MATCH($DG$122,$CY$160:$CY$217,0),MATCH(D999,$CZ$159:$DD$159,0))))),0,IF($CU$122="4%",(INDEX($CS$160:$CW$217,MATCH($DG$122,$CR$160:$CR$217,0),MATCH(D999,$CS$159:$CW$159,0))),(INDEX($CZ$160:$DD$217,MATCH($DG$122,$CY$160:$CY$217,0),MATCH(D999,$CZ$159:$DD$159,0)))))</f>
        <v>778026</v>
      </c>
      <c r="S999" s="1410"/>
      <c r="T999" s="1410"/>
      <c r="U999" s="1410"/>
      <c r="V999" s="1410"/>
      <c r="W999" s="1410"/>
      <c r="X999" s="1410"/>
      <c r="Y999" s="1410"/>
      <c r="Z999" s="1410"/>
      <c r="AA999" s="1410"/>
      <c r="AB999" s="1404">
        <f>DO810+DJ810</f>
        <v>0</v>
      </c>
      <c r="AC999" s="1405"/>
      <c r="AD999" s="1405"/>
      <c r="AE999" s="1405"/>
      <c r="AF999" s="1405"/>
      <c r="AG999" s="1405"/>
      <c r="AH999" s="1405"/>
      <c r="AI999" s="1406"/>
      <c r="AJ999" s="1411">
        <f>IF(ISERROR((R999*AB999)),0,(R999*AB999))</f>
        <v>0</v>
      </c>
      <c r="AK999" s="1412"/>
      <c r="AL999" s="1412"/>
      <c r="AM999" s="1412"/>
      <c r="AN999" s="1412"/>
      <c r="AO999" s="1412"/>
      <c r="AP999" s="1412"/>
      <c r="AQ999" s="1413"/>
      <c r="AR999" s="68"/>
      <c r="AS999" s="68"/>
      <c r="AT999" s="68"/>
      <c r="AU999" s="68"/>
      <c r="AV999" s="68"/>
      <c r="AW999" s="68"/>
      <c r="AX999" s="68"/>
      <c r="AY999" s="68"/>
      <c r="AZ999" s="30"/>
      <c r="BB999" s="14"/>
      <c r="BC999" s="14"/>
    </row>
    <row r="1000" spans="1:55" ht="12.9" customHeight="1">
      <c r="A1000" s="14"/>
      <c r="B1000" s="1592" t="s">
        <v>791</v>
      </c>
      <c r="C1000" s="1593"/>
      <c r="D1000" s="1593"/>
      <c r="E1000" s="1593"/>
      <c r="F1000" s="1593"/>
      <c r="G1000" s="1593"/>
      <c r="H1000" s="1593"/>
      <c r="I1000" s="1593"/>
      <c r="J1000" s="1593"/>
      <c r="K1000" s="1593"/>
      <c r="L1000" s="1593"/>
      <c r="M1000" s="1593"/>
      <c r="N1000" s="1593"/>
      <c r="O1000" s="1593"/>
      <c r="P1000" s="1593"/>
      <c r="Q1000" s="1593"/>
      <c r="R1000" s="1593"/>
      <c r="S1000" s="1593"/>
      <c r="T1000" s="1593"/>
      <c r="U1000" s="1593"/>
      <c r="V1000" s="1593"/>
      <c r="W1000" s="1593"/>
      <c r="X1000" s="1593"/>
      <c r="Y1000" s="1593"/>
      <c r="Z1000" s="1593"/>
      <c r="AA1000" s="1594"/>
      <c r="AB1000" s="1404">
        <f>SUM(AB995:AI999)</f>
        <v>184</v>
      </c>
      <c r="AC1000" s="1405"/>
      <c r="AD1000" s="1405"/>
      <c r="AE1000" s="1405"/>
      <c r="AF1000" s="1405"/>
      <c r="AG1000" s="1405"/>
      <c r="AH1000" s="1405"/>
      <c r="AI1000" s="1406"/>
      <c r="AJ1000" s="1411"/>
      <c r="AK1000" s="1412"/>
      <c r="AL1000" s="1412"/>
      <c r="AM1000" s="1412"/>
      <c r="AN1000" s="1412"/>
      <c r="AO1000" s="1412"/>
      <c r="AP1000" s="1412"/>
      <c r="AQ1000" s="1413"/>
      <c r="AR1000" s="68"/>
      <c r="AS1000" s="68"/>
      <c r="AT1000" s="68"/>
      <c r="AU1000" s="68"/>
      <c r="AV1000" s="68"/>
      <c r="AW1000" s="68"/>
      <c r="AX1000" s="68"/>
      <c r="AY1000" s="68"/>
      <c r="AZ1000" s="34"/>
      <c r="BA1000" s="34"/>
      <c r="BB1000" s="14"/>
      <c r="BC1000" s="14"/>
    </row>
    <row r="1001" spans="1:55" ht="12.9" customHeight="1">
      <c r="A1001" s="14"/>
      <c r="B1001" s="1618" t="s">
        <v>512</v>
      </c>
      <c r="C1001" s="1619"/>
      <c r="D1001" s="1619"/>
      <c r="E1001" s="1619"/>
      <c r="F1001" s="1619"/>
      <c r="G1001" s="1619"/>
      <c r="H1001" s="1619"/>
      <c r="I1001" s="1619"/>
      <c r="J1001" s="1619"/>
      <c r="K1001" s="1619"/>
      <c r="L1001" s="1619"/>
      <c r="M1001" s="1619"/>
      <c r="N1001" s="1619"/>
      <c r="O1001" s="1619"/>
      <c r="P1001" s="1619"/>
      <c r="Q1001" s="1619"/>
      <c r="R1001" s="1619"/>
      <c r="S1001" s="1619"/>
      <c r="T1001" s="1619"/>
      <c r="U1001" s="1619"/>
      <c r="V1001" s="1619"/>
      <c r="W1001" s="1619"/>
      <c r="X1001" s="1619"/>
      <c r="Y1001" s="1619"/>
      <c r="Z1001" s="1619"/>
      <c r="AA1001" s="1619"/>
      <c r="AB1001" s="1619"/>
      <c r="AC1001" s="1619"/>
      <c r="AD1001" s="1619"/>
      <c r="AE1001" s="1619"/>
      <c r="AF1001" s="1619"/>
      <c r="AG1001" s="1619"/>
      <c r="AH1001" s="1619"/>
      <c r="AI1001" s="1620"/>
      <c r="AJ1001" s="1411">
        <f>SUM(AJ995:AQ999)</f>
        <v>85474732</v>
      </c>
      <c r="AK1001" s="1412"/>
      <c r="AL1001" s="1412"/>
      <c r="AM1001" s="1412"/>
      <c r="AN1001" s="1412"/>
      <c r="AO1001" s="1412"/>
      <c r="AP1001" s="1412"/>
      <c r="AQ1001" s="1413"/>
      <c r="AR1001" s="68"/>
      <c r="AS1001" s="68"/>
      <c r="AT1001" s="68"/>
      <c r="AU1001" s="68"/>
      <c r="AV1001" s="68"/>
      <c r="AW1001" s="68"/>
      <c r="AX1001" s="68"/>
      <c r="AY1001" s="68"/>
      <c r="AZ1001" s="34"/>
      <c r="BB1001" s="34"/>
      <c r="BC1001" s="34"/>
    </row>
    <row r="1002" spans="1:55" ht="12.9" customHeight="1">
      <c r="A1002" s="14"/>
      <c r="B1002" s="1417"/>
      <c r="C1002" s="1418"/>
      <c r="D1002" s="1418"/>
      <c r="E1002" s="1418"/>
      <c r="F1002" s="1418"/>
      <c r="G1002" s="1418"/>
      <c r="H1002" s="1418"/>
      <c r="I1002" s="1418"/>
      <c r="J1002" s="1418"/>
      <c r="K1002" s="1418"/>
      <c r="L1002" s="1418"/>
      <c r="M1002" s="1418"/>
      <c r="N1002" s="1418"/>
      <c r="O1002" s="1418"/>
      <c r="P1002" s="1418"/>
      <c r="Q1002" s="1418"/>
      <c r="R1002" s="1418"/>
      <c r="S1002" s="1418"/>
      <c r="T1002" s="1418"/>
      <c r="U1002" s="1418"/>
      <c r="V1002" s="1418"/>
      <c r="W1002" s="1418"/>
      <c r="X1002" s="1418"/>
      <c r="Y1002" s="1418"/>
      <c r="Z1002" s="1418"/>
      <c r="AA1002" s="1418"/>
      <c r="AB1002" s="1418"/>
      <c r="AC1002" s="1418"/>
      <c r="AD1002" s="1418"/>
      <c r="AE1002" s="1419"/>
      <c r="AF1002" s="1587" t="s">
        <v>666</v>
      </c>
      <c r="AG1002" s="1588"/>
      <c r="AH1002" s="1588"/>
      <c r="AI1002" s="1589"/>
      <c r="AJ1002" s="1417"/>
      <c r="AK1002" s="1418"/>
      <c r="AL1002" s="1418"/>
      <c r="AM1002" s="1418"/>
      <c r="AN1002" s="1418"/>
      <c r="AO1002" s="1418"/>
      <c r="AP1002" s="1418"/>
      <c r="AQ1002" s="1419"/>
      <c r="AR1002" s="68"/>
      <c r="AS1002" s="68"/>
      <c r="AT1002" s="68"/>
      <c r="AU1002" s="68"/>
      <c r="AV1002" s="68"/>
      <c r="AW1002" s="68"/>
      <c r="AX1002" s="68"/>
      <c r="AY1002" s="68"/>
      <c r="AZ1002" s="34"/>
      <c r="BA1002" s="34"/>
      <c r="BB1002" s="34"/>
      <c r="BC1002" s="34"/>
    </row>
    <row r="1003" spans="1:55" ht="12.9" customHeight="1">
      <c r="A1003" s="14"/>
      <c r="B1003" s="73"/>
      <c r="C1003" s="918" t="s">
        <v>668</v>
      </c>
      <c r="D1003" s="1538" t="s">
        <v>1219</v>
      </c>
      <c r="E1003" s="1539"/>
      <c r="F1003" s="1539"/>
      <c r="G1003" s="1539"/>
      <c r="H1003" s="1539"/>
      <c r="I1003" s="1539"/>
      <c r="J1003" s="1539"/>
      <c r="K1003" s="1539"/>
      <c r="L1003" s="1539"/>
      <c r="M1003" s="1539"/>
      <c r="N1003" s="1539"/>
      <c r="O1003" s="1539"/>
      <c r="P1003" s="1539"/>
      <c r="Q1003" s="1539"/>
      <c r="R1003" s="1539"/>
      <c r="S1003" s="1539"/>
      <c r="T1003" s="1539"/>
      <c r="U1003" s="1539"/>
      <c r="V1003" s="1539"/>
      <c r="W1003" s="1539"/>
      <c r="X1003" s="1539"/>
      <c r="Y1003" s="1539"/>
      <c r="Z1003" s="1539"/>
      <c r="AA1003" s="1539"/>
      <c r="AB1003" s="1539"/>
      <c r="AC1003" s="1539"/>
      <c r="AD1003" s="1539"/>
      <c r="AE1003" s="1540"/>
      <c r="AF1003" s="79"/>
      <c r="AG1003" s="1590" t="s">
        <v>669</v>
      </c>
      <c r="AH1003" s="1591"/>
      <c r="AI1003" s="87"/>
      <c r="AJ1003" s="1313">
        <f>ROUND(IF(AND(AG1003="yes",D1009&gt;0),AJ1001*0.2,0),0)</f>
        <v>0</v>
      </c>
      <c r="AK1003" s="1314"/>
      <c r="AL1003" s="1314"/>
      <c r="AM1003" s="1314"/>
      <c r="AN1003" s="1314"/>
      <c r="AO1003" s="1314"/>
      <c r="AP1003" s="1314"/>
      <c r="AQ1003" s="1315"/>
      <c r="AR1003" s="68"/>
      <c r="AS1003" s="68"/>
      <c r="AT1003" s="68"/>
      <c r="AU1003" s="68"/>
      <c r="AV1003" s="68"/>
      <c r="AW1003" s="68"/>
      <c r="AX1003" s="68"/>
      <c r="AY1003" s="68"/>
      <c r="AZ1003" s="34"/>
      <c r="BA1003" s="34"/>
      <c r="BB1003" s="34"/>
      <c r="BC1003" s="34"/>
    </row>
    <row r="1004" spans="1:55" ht="12.9" customHeight="1">
      <c r="A1004" s="14"/>
      <c r="B1004" s="257"/>
      <c r="C1004" s="256"/>
      <c r="D1004" s="1554" t="s">
        <v>2183</v>
      </c>
      <c r="E1004" s="1555"/>
      <c r="F1004" s="1555"/>
      <c r="G1004" s="1555"/>
      <c r="H1004" s="1555"/>
      <c r="I1004" s="1555"/>
      <c r="J1004" s="1555"/>
      <c r="K1004" s="1555"/>
      <c r="L1004" s="1555"/>
      <c r="M1004" s="1555"/>
      <c r="N1004" s="1555"/>
      <c r="O1004" s="1555"/>
      <c r="P1004" s="1555"/>
      <c r="Q1004" s="1555"/>
      <c r="R1004" s="1555"/>
      <c r="S1004" s="1555"/>
      <c r="T1004" s="1555"/>
      <c r="U1004" s="1555"/>
      <c r="V1004" s="1555"/>
      <c r="W1004" s="1555"/>
      <c r="X1004" s="1555"/>
      <c r="Y1004" s="1555"/>
      <c r="Z1004" s="1555"/>
      <c r="AA1004" s="1555"/>
      <c r="AB1004" s="1555"/>
      <c r="AC1004" s="1555"/>
      <c r="AD1004" s="1555"/>
      <c r="AE1004" s="1556"/>
      <c r="AF1004" s="73"/>
      <c r="AG1004" s="14"/>
      <c r="AH1004" s="14"/>
      <c r="AI1004" s="83"/>
      <c r="AJ1004" s="1316"/>
      <c r="AK1004" s="1317"/>
      <c r="AL1004" s="1317"/>
      <c r="AM1004" s="1317"/>
      <c r="AN1004" s="1317"/>
      <c r="AO1004" s="1317"/>
      <c r="AP1004" s="1317"/>
      <c r="AQ1004" s="1318"/>
      <c r="AR1004" s="68"/>
      <c r="AS1004" s="68"/>
      <c r="AT1004" s="68"/>
      <c r="AU1004" s="68"/>
      <c r="AV1004" s="68"/>
      <c r="AW1004" s="68"/>
      <c r="AX1004" s="68"/>
      <c r="AY1004" s="68"/>
      <c r="AZ1004" s="34"/>
      <c r="BA1004" s="34"/>
      <c r="BB1004" s="34"/>
      <c r="BC1004" s="34"/>
    </row>
    <row r="1005" spans="1:55" ht="12.9" customHeight="1">
      <c r="A1005" s="14"/>
      <c r="B1005" s="257"/>
      <c r="C1005" s="256"/>
      <c r="D1005" s="1554"/>
      <c r="E1005" s="1555"/>
      <c r="F1005" s="1555"/>
      <c r="G1005" s="1555"/>
      <c r="H1005" s="1555"/>
      <c r="I1005" s="1555"/>
      <c r="J1005" s="1555"/>
      <c r="K1005" s="1555"/>
      <c r="L1005" s="1555"/>
      <c r="M1005" s="1555"/>
      <c r="N1005" s="1555"/>
      <c r="O1005" s="1555"/>
      <c r="P1005" s="1555"/>
      <c r="Q1005" s="1555"/>
      <c r="R1005" s="1555"/>
      <c r="S1005" s="1555"/>
      <c r="T1005" s="1555"/>
      <c r="U1005" s="1555"/>
      <c r="V1005" s="1555"/>
      <c r="W1005" s="1555"/>
      <c r="X1005" s="1555"/>
      <c r="Y1005" s="1555"/>
      <c r="Z1005" s="1555"/>
      <c r="AA1005" s="1555"/>
      <c r="AB1005" s="1555"/>
      <c r="AC1005" s="1555"/>
      <c r="AD1005" s="1555"/>
      <c r="AE1005" s="1556"/>
      <c r="AF1005" s="73"/>
      <c r="AG1005" s="14"/>
      <c r="AH1005" s="14"/>
      <c r="AI1005" s="83"/>
      <c r="AJ1005" s="1316"/>
      <c r="AK1005" s="1317"/>
      <c r="AL1005" s="1317"/>
      <c r="AM1005" s="1317"/>
      <c r="AN1005" s="1317"/>
      <c r="AO1005" s="1317"/>
      <c r="AP1005" s="1317"/>
      <c r="AQ1005" s="1318"/>
      <c r="AR1005" s="68"/>
      <c r="AS1005" s="68"/>
      <c r="AT1005" s="68"/>
      <c r="AU1005" s="68"/>
      <c r="AV1005" s="68"/>
      <c r="AW1005" s="68"/>
      <c r="AX1005" s="68"/>
      <c r="AY1005" s="68"/>
      <c r="AZ1005" s="34"/>
      <c r="BA1005" s="34"/>
      <c r="BB1005" s="34"/>
      <c r="BC1005" s="34"/>
    </row>
    <row r="1006" spans="1:55" ht="12.9" customHeight="1">
      <c r="A1006" s="14"/>
      <c r="B1006" s="257"/>
      <c r="C1006" s="256"/>
      <c r="D1006" s="1554"/>
      <c r="E1006" s="1555"/>
      <c r="F1006" s="1555"/>
      <c r="G1006" s="1555"/>
      <c r="H1006" s="1555"/>
      <c r="I1006" s="1555"/>
      <c r="J1006" s="1555"/>
      <c r="K1006" s="1555"/>
      <c r="L1006" s="1555"/>
      <c r="M1006" s="1555"/>
      <c r="N1006" s="1555"/>
      <c r="O1006" s="1555"/>
      <c r="P1006" s="1555"/>
      <c r="Q1006" s="1555"/>
      <c r="R1006" s="1555"/>
      <c r="S1006" s="1555"/>
      <c r="T1006" s="1555"/>
      <c r="U1006" s="1555"/>
      <c r="V1006" s="1555"/>
      <c r="W1006" s="1555"/>
      <c r="X1006" s="1555"/>
      <c r="Y1006" s="1555"/>
      <c r="Z1006" s="1555"/>
      <c r="AA1006" s="1555"/>
      <c r="AB1006" s="1555"/>
      <c r="AC1006" s="1555"/>
      <c r="AD1006" s="1555"/>
      <c r="AE1006" s="1556"/>
      <c r="AF1006" s="73"/>
      <c r="AG1006" s="14"/>
      <c r="AH1006" s="14"/>
      <c r="AI1006" s="83"/>
      <c r="AJ1006" s="1316"/>
      <c r="AK1006" s="1317"/>
      <c r="AL1006" s="1317"/>
      <c r="AM1006" s="1317"/>
      <c r="AN1006" s="1317"/>
      <c r="AO1006" s="1317"/>
      <c r="AP1006" s="1317"/>
      <c r="AQ1006" s="1318"/>
      <c r="AR1006" s="68"/>
      <c r="AS1006" s="68"/>
      <c r="AT1006" s="68"/>
      <c r="AU1006" s="68"/>
      <c r="AV1006" s="68"/>
      <c r="AW1006" s="68"/>
      <c r="AX1006" s="68"/>
      <c r="AY1006" s="68"/>
      <c r="AZ1006" s="34"/>
      <c r="BA1006" s="34"/>
      <c r="BB1006" s="34"/>
      <c r="BC1006" s="34"/>
    </row>
    <row r="1007" spans="1:55" ht="12.9" customHeight="1">
      <c r="A1007" s="14"/>
      <c r="B1007" s="257"/>
      <c r="C1007" s="256"/>
      <c r="D1007" s="1554"/>
      <c r="E1007" s="1555"/>
      <c r="F1007" s="1555"/>
      <c r="G1007" s="1555"/>
      <c r="H1007" s="1555"/>
      <c r="I1007" s="1555"/>
      <c r="J1007" s="1555"/>
      <c r="K1007" s="1555"/>
      <c r="L1007" s="1555"/>
      <c r="M1007" s="1555"/>
      <c r="N1007" s="1555"/>
      <c r="O1007" s="1555"/>
      <c r="P1007" s="1555"/>
      <c r="Q1007" s="1555"/>
      <c r="R1007" s="1555"/>
      <c r="S1007" s="1555"/>
      <c r="T1007" s="1555"/>
      <c r="U1007" s="1555"/>
      <c r="V1007" s="1555"/>
      <c r="W1007" s="1555"/>
      <c r="X1007" s="1555"/>
      <c r="Y1007" s="1555"/>
      <c r="Z1007" s="1555"/>
      <c r="AA1007" s="1555"/>
      <c r="AB1007" s="1555"/>
      <c r="AC1007" s="1555"/>
      <c r="AD1007" s="1555"/>
      <c r="AE1007" s="1556"/>
      <c r="AF1007" s="73"/>
      <c r="AG1007" s="14"/>
      <c r="AH1007" s="14"/>
      <c r="AI1007" s="83"/>
      <c r="AJ1007" s="1316"/>
      <c r="AK1007" s="1317"/>
      <c r="AL1007" s="1317"/>
      <c r="AM1007" s="1317"/>
      <c r="AN1007" s="1317"/>
      <c r="AO1007" s="1317"/>
      <c r="AP1007" s="1317"/>
      <c r="AQ1007" s="1318"/>
      <c r="AR1007" s="68"/>
      <c r="AS1007" s="68"/>
      <c r="AT1007" s="68"/>
      <c r="AU1007" s="68"/>
      <c r="AV1007" s="68"/>
      <c r="AW1007" s="68"/>
      <c r="AX1007" s="68"/>
      <c r="AY1007" s="68"/>
      <c r="AZ1007" s="34"/>
      <c r="BA1007" s="34"/>
      <c r="BB1007" s="34"/>
      <c r="BC1007" s="34"/>
    </row>
    <row r="1008" spans="1:55" ht="12.9" customHeight="1">
      <c r="A1008" s="14"/>
      <c r="B1008" s="257"/>
      <c r="C1008" s="256"/>
      <c r="D1008" s="1345" t="s">
        <v>2154</v>
      </c>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346"/>
      <c r="Y1008" s="1346"/>
      <c r="Z1008" s="1346"/>
      <c r="AA1008" s="1346"/>
      <c r="AB1008" s="1346"/>
      <c r="AC1008" s="1346"/>
      <c r="AD1008" s="1346"/>
      <c r="AE1008" s="1347"/>
      <c r="AF1008" s="73"/>
      <c r="AG1008" s="14"/>
      <c r="AH1008" s="14"/>
      <c r="AI1008" s="83"/>
      <c r="AJ1008" s="1316"/>
      <c r="AK1008" s="1317"/>
      <c r="AL1008" s="1317"/>
      <c r="AM1008" s="1317"/>
      <c r="AN1008" s="1317"/>
      <c r="AO1008" s="1317"/>
      <c r="AP1008" s="1317"/>
      <c r="AQ1008" s="1318"/>
      <c r="AR1008" s="68"/>
      <c r="AS1008" s="68"/>
      <c r="AT1008" s="68"/>
      <c r="AU1008" s="68"/>
      <c r="AV1008" s="68"/>
      <c r="AW1008" s="68"/>
      <c r="AX1008" s="68"/>
      <c r="AY1008" s="68"/>
      <c r="AZ1008" s="34"/>
      <c r="BA1008" s="34"/>
      <c r="BB1008" s="34"/>
      <c r="BC1008" s="34"/>
    </row>
    <row r="1009" spans="1:55" ht="12.9" customHeight="1">
      <c r="A1009" s="14"/>
      <c r="B1009" s="257"/>
      <c r="C1009" s="256"/>
      <c r="D1009" s="1564"/>
      <c r="E1009" s="1565"/>
      <c r="F1009" s="1565"/>
      <c r="G1009" s="1565"/>
      <c r="H1009" s="1565"/>
      <c r="I1009" s="1565"/>
      <c r="J1009" s="1565"/>
      <c r="K1009" s="1565"/>
      <c r="L1009" s="1565"/>
      <c r="M1009" s="1565"/>
      <c r="N1009" s="1565"/>
      <c r="O1009" s="1565"/>
      <c r="P1009" s="1565"/>
      <c r="Q1009" s="1565"/>
      <c r="R1009" s="1565"/>
      <c r="S1009" s="1565"/>
      <c r="T1009" s="1565"/>
      <c r="U1009" s="1565"/>
      <c r="V1009" s="1565"/>
      <c r="W1009" s="1565"/>
      <c r="X1009" s="1565"/>
      <c r="Y1009" s="1565"/>
      <c r="Z1009" s="1565"/>
      <c r="AA1009" s="1565"/>
      <c r="AB1009" s="1565"/>
      <c r="AC1009" s="1565"/>
      <c r="AD1009" s="1565"/>
      <c r="AE1009" s="1566"/>
      <c r="AF1009" s="77"/>
      <c r="AG1009" s="7"/>
      <c r="AH1009" s="7"/>
      <c r="AI1009" s="78"/>
      <c r="AJ1009" s="1319"/>
      <c r="AK1009" s="1320"/>
      <c r="AL1009" s="1320"/>
      <c r="AM1009" s="1320"/>
      <c r="AN1009" s="1320"/>
      <c r="AO1009" s="1320"/>
      <c r="AP1009" s="1320"/>
      <c r="AQ1009" s="1321"/>
      <c r="AR1009" s="68"/>
      <c r="AS1009" s="68"/>
      <c r="AT1009" s="68"/>
      <c r="AU1009" s="68"/>
      <c r="AV1009" s="68"/>
      <c r="AW1009" s="68"/>
      <c r="AX1009" s="68"/>
      <c r="AY1009" s="68"/>
      <c r="AZ1009" s="34"/>
      <c r="BA1009" s="34"/>
      <c r="BB1009" s="34"/>
      <c r="BC1009" s="34"/>
    </row>
    <row r="1010" spans="1:55" ht="12.9" customHeight="1">
      <c r="A1010" s="14"/>
      <c r="B1010" s="255"/>
      <c r="C1010" s="315"/>
      <c r="D1010" s="1305" t="s">
        <v>1285</v>
      </c>
      <c r="E1010" s="1306"/>
      <c r="F1010" s="1306"/>
      <c r="G1010" s="1306"/>
      <c r="H1010" s="1306"/>
      <c r="I1010" s="1306"/>
      <c r="J1010" s="1306"/>
      <c r="K1010" s="1306"/>
      <c r="L1010" s="1306"/>
      <c r="M1010" s="1306"/>
      <c r="N1010" s="1306"/>
      <c r="O1010" s="1306"/>
      <c r="P1010" s="1306"/>
      <c r="Q1010" s="1306"/>
      <c r="R1010" s="1306"/>
      <c r="S1010" s="1306"/>
      <c r="T1010" s="1306"/>
      <c r="U1010" s="1306"/>
      <c r="V1010" s="1306"/>
      <c r="W1010" s="1306"/>
      <c r="X1010" s="1306"/>
      <c r="Y1010" s="1306"/>
      <c r="Z1010" s="1306"/>
      <c r="AA1010" s="1306"/>
      <c r="AB1010" s="1306"/>
      <c r="AC1010" s="1306"/>
      <c r="AD1010" s="1306"/>
      <c r="AE1010" s="1307"/>
      <c r="AF1010" s="79"/>
      <c r="AG1010" s="1563" t="s">
        <v>669</v>
      </c>
      <c r="AH1010" s="1358"/>
      <c r="AI1010" s="87"/>
      <c r="AJ1010" s="1313">
        <f>ROUND(IF(AG1010="yes",AJ1001*0.05,0),0)</f>
        <v>0</v>
      </c>
      <c r="AK1010" s="1314"/>
      <c r="AL1010" s="1314"/>
      <c r="AM1010" s="1314"/>
      <c r="AN1010" s="1314"/>
      <c r="AO1010" s="1314"/>
      <c r="AP1010" s="1314"/>
      <c r="AQ1010" s="1315"/>
      <c r="AR1010" s="68"/>
      <c r="AS1010" s="68"/>
      <c r="AT1010" s="68"/>
      <c r="AU1010" s="68"/>
      <c r="AV1010" s="68"/>
      <c r="AW1010" s="68"/>
      <c r="AX1010" s="68"/>
      <c r="AY1010" s="68"/>
      <c r="AZ1010" s="34"/>
      <c r="BA1010" s="34"/>
      <c r="BB1010" s="34"/>
      <c r="BC1010" s="34"/>
    </row>
    <row r="1011" spans="1:55" ht="12.9" customHeight="1">
      <c r="A1011" s="14"/>
      <c r="B1011" s="257"/>
      <c r="C1011" s="82"/>
      <c r="D1011" s="1554" t="s">
        <v>1283</v>
      </c>
      <c r="E1011" s="1555"/>
      <c r="F1011" s="1555"/>
      <c r="G1011" s="1555"/>
      <c r="H1011" s="1555"/>
      <c r="I1011" s="1555"/>
      <c r="J1011" s="1555"/>
      <c r="K1011" s="1555"/>
      <c r="L1011" s="1555"/>
      <c r="M1011" s="1555"/>
      <c r="N1011" s="1555"/>
      <c r="O1011" s="1555"/>
      <c r="P1011" s="1555"/>
      <c r="Q1011" s="1555"/>
      <c r="R1011" s="1555"/>
      <c r="S1011" s="1555"/>
      <c r="T1011" s="1555"/>
      <c r="U1011" s="1555"/>
      <c r="V1011" s="1555"/>
      <c r="W1011" s="1555"/>
      <c r="X1011" s="1555"/>
      <c r="Y1011" s="1555"/>
      <c r="Z1011" s="1555"/>
      <c r="AA1011" s="1555"/>
      <c r="AB1011" s="1555"/>
      <c r="AC1011" s="1555"/>
      <c r="AD1011" s="1555"/>
      <c r="AE1011" s="1556"/>
      <c r="AF1011" s="73"/>
      <c r="AG1011" s="14"/>
      <c r="AH1011" s="14"/>
      <c r="AI1011" s="83"/>
      <c r="AJ1011" s="1316"/>
      <c r="AK1011" s="1317"/>
      <c r="AL1011" s="1317"/>
      <c r="AM1011" s="1317"/>
      <c r="AN1011" s="1317"/>
      <c r="AO1011" s="1317"/>
      <c r="AP1011" s="1317"/>
      <c r="AQ1011" s="1318"/>
      <c r="AR1011" s="68"/>
      <c r="AS1011" s="68"/>
      <c r="AT1011" s="68"/>
      <c r="AU1011" s="68"/>
      <c r="AV1011" s="68"/>
      <c r="AW1011" s="68"/>
      <c r="AX1011" s="68"/>
      <c r="AY1011" s="34"/>
      <c r="AZ1011" s="34"/>
      <c r="BB1011" s="34"/>
    </row>
    <row r="1012" spans="1:55" ht="12.9" customHeight="1">
      <c r="A1012" s="14"/>
      <c r="B1012" s="257"/>
      <c r="C1012" s="82"/>
      <c r="D1012" s="1554"/>
      <c r="E1012" s="1555"/>
      <c r="F1012" s="1555"/>
      <c r="G1012" s="1555"/>
      <c r="H1012" s="1555"/>
      <c r="I1012" s="1555"/>
      <c r="J1012" s="1555"/>
      <c r="K1012" s="1555"/>
      <c r="L1012" s="1555"/>
      <c r="M1012" s="1555"/>
      <c r="N1012" s="1555"/>
      <c r="O1012" s="1555"/>
      <c r="P1012" s="1555"/>
      <c r="Q1012" s="1555"/>
      <c r="R1012" s="1555"/>
      <c r="S1012" s="1555"/>
      <c r="T1012" s="1555"/>
      <c r="U1012" s="1555"/>
      <c r="V1012" s="1555"/>
      <c r="W1012" s="1555"/>
      <c r="X1012" s="1555"/>
      <c r="Y1012" s="1555"/>
      <c r="Z1012" s="1555"/>
      <c r="AA1012" s="1555"/>
      <c r="AB1012" s="1555"/>
      <c r="AC1012" s="1555"/>
      <c r="AD1012" s="1555"/>
      <c r="AE1012" s="1556"/>
      <c r="AF1012" s="73"/>
      <c r="AG1012" s="14"/>
      <c r="AH1012" s="14"/>
      <c r="AI1012" s="83"/>
      <c r="AJ1012" s="1316"/>
      <c r="AK1012" s="1317"/>
      <c r="AL1012" s="1317"/>
      <c r="AM1012" s="1317"/>
      <c r="AN1012" s="1317"/>
      <c r="AO1012" s="1317"/>
      <c r="AP1012" s="1317"/>
      <c r="AQ1012" s="1318"/>
      <c r="AR1012" s="68"/>
      <c r="AS1012" s="68"/>
      <c r="AT1012" s="68"/>
      <c r="AU1012" s="68"/>
      <c r="AV1012" s="68"/>
      <c r="AW1012" s="68"/>
      <c r="AX1012" s="68"/>
      <c r="AY1012" s="905">
        <f>G761+O805</f>
        <v>182</v>
      </c>
      <c r="AZ1012" s="34"/>
      <c r="BB1012" s="34"/>
    </row>
    <row r="1013" spans="1:55" ht="12.9" customHeight="1">
      <c r="A1013" s="14"/>
      <c r="B1013" s="257"/>
      <c r="C1013" s="82"/>
      <c r="D1013" s="1554"/>
      <c r="E1013" s="1555"/>
      <c r="F1013" s="1555"/>
      <c r="G1013" s="1555"/>
      <c r="H1013" s="1555"/>
      <c r="I1013" s="1555"/>
      <c r="J1013" s="1555"/>
      <c r="K1013" s="1555"/>
      <c r="L1013" s="1555"/>
      <c r="M1013" s="1555"/>
      <c r="N1013" s="1555"/>
      <c r="O1013" s="1555"/>
      <c r="P1013" s="1555"/>
      <c r="Q1013" s="1555"/>
      <c r="R1013" s="1555"/>
      <c r="S1013" s="1555"/>
      <c r="T1013" s="1555"/>
      <c r="U1013" s="1555"/>
      <c r="V1013" s="1555"/>
      <c r="W1013" s="1555"/>
      <c r="X1013" s="1555"/>
      <c r="Y1013" s="1555"/>
      <c r="Z1013" s="1555"/>
      <c r="AA1013" s="1555"/>
      <c r="AB1013" s="1555"/>
      <c r="AC1013" s="1555"/>
      <c r="AD1013" s="1555"/>
      <c r="AE1013" s="1556"/>
      <c r="AF1013" s="73"/>
      <c r="AG1013" s="14"/>
      <c r="AH1013" s="14"/>
      <c r="AI1013" s="83"/>
      <c r="AJ1013" s="1316"/>
      <c r="AK1013" s="1317"/>
      <c r="AL1013" s="1317"/>
      <c r="AM1013" s="1317"/>
      <c r="AN1013" s="1317"/>
      <c r="AO1013" s="1317"/>
      <c r="AP1013" s="1317"/>
      <c r="AQ1013" s="1318"/>
      <c r="AR1013" s="68"/>
      <c r="AS1013" s="68"/>
      <c r="AT1013" s="68"/>
      <c r="AU1013" s="68"/>
      <c r="AV1013" s="68"/>
      <c r="AW1013" s="68"/>
      <c r="AX1013" s="68"/>
      <c r="AY1013" s="14"/>
      <c r="AZ1013" s="34"/>
      <c r="BB1013" s="34"/>
    </row>
    <row r="1014" spans="1:55" ht="12.9" customHeight="1">
      <c r="A1014" s="14"/>
      <c r="B1014" s="257"/>
      <c r="C1014" s="82"/>
      <c r="D1014" s="1554"/>
      <c r="E1014" s="1555"/>
      <c r="F1014" s="1555"/>
      <c r="G1014" s="1555"/>
      <c r="H1014" s="1555"/>
      <c r="I1014" s="1555"/>
      <c r="J1014" s="1555"/>
      <c r="K1014" s="1555"/>
      <c r="L1014" s="1555"/>
      <c r="M1014" s="1555"/>
      <c r="N1014" s="1555"/>
      <c r="O1014" s="1555"/>
      <c r="P1014" s="1555"/>
      <c r="Q1014" s="1555"/>
      <c r="R1014" s="1555"/>
      <c r="S1014" s="1555"/>
      <c r="T1014" s="1555"/>
      <c r="U1014" s="1555"/>
      <c r="V1014" s="1555"/>
      <c r="W1014" s="1555"/>
      <c r="X1014" s="1555"/>
      <c r="Y1014" s="1555"/>
      <c r="Z1014" s="1555"/>
      <c r="AA1014" s="1555"/>
      <c r="AB1014" s="1555"/>
      <c r="AC1014" s="1555"/>
      <c r="AD1014" s="1555"/>
      <c r="AE1014" s="1556"/>
      <c r="AF1014" s="73"/>
      <c r="AG1014" s="14"/>
      <c r="AH1014" s="14"/>
      <c r="AI1014" s="83"/>
      <c r="AJ1014" s="1316"/>
      <c r="AK1014" s="1317"/>
      <c r="AL1014" s="1317"/>
      <c r="AM1014" s="1317"/>
      <c r="AN1014" s="1317"/>
      <c r="AO1014" s="1317"/>
      <c r="AP1014" s="1317"/>
      <c r="AQ1014" s="1318"/>
      <c r="AR1014" s="68"/>
      <c r="AS1014" s="68"/>
      <c r="AT1014" s="68"/>
      <c r="AU1014" s="68"/>
      <c r="AV1014" s="68"/>
      <c r="AW1014" s="68"/>
      <c r="AX1014" s="68"/>
      <c r="AY1014" s="904">
        <f>ROUNDDOWN(X1057/I1057,2)</f>
        <v>0.12</v>
      </c>
      <c r="AZ1014" s="34"/>
      <c r="BB1014" s="34"/>
    </row>
    <row r="1015" spans="1:55" ht="12.9" customHeight="1">
      <c r="A1015" s="14"/>
      <c r="B1015" s="75"/>
      <c r="C1015" s="76"/>
      <c r="D1015" s="1345"/>
      <c r="E1015" s="1346"/>
      <c r="F1015" s="1346"/>
      <c r="G1015" s="1346"/>
      <c r="H1015" s="1346"/>
      <c r="I1015" s="1346"/>
      <c r="J1015" s="1346"/>
      <c r="K1015" s="1346"/>
      <c r="L1015" s="1346"/>
      <c r="M1015" s="1346"/>
      <c r="N1015" s="1346"/>
      <c r="O1015" s="1346"/>
      <c r="P1015" s="1346"/>
      <c r="Q1015" s="1346"/>
      <c r="R1015" s="1346"/>
      <c r="S1015" s="1346"/>
      <c r="T1015" s="1346"/>
      <c r="U1015" s="1346"/>
      <c r="V1015" s="1346"/>
      <c r="W1015" s="1346"/>
      <c r="X1015" s="1346"/>
      <c r="Y1015" s="1346"/>
      <c r="Z1015" s="1346"/>
      <c r="AA1015" s="1346"/>
      <c r="AB1015" s="1346"/>
      <c r="AC1015" s="1346"/>
      <c r="AD1015" s="1346"/>
      <c r="AE1015" s="1347"/>
      <c r="AF1015" s="77"/>
      <c r="AG1015" s="7"/>
      <c r="AH1015" s="7"/>
      <c r="AI1015" s="78"/>
      <c r="AJ1015" s="1319"/>
      <c r="AK1015" s="1320"/>
      <c r="AL1015" s="1320"/>
      <c r="AM1015" s="1320"/>
      <c r="AN1015" s="1320"/>
      <c r="AO1015" s="1320"/>
      <c r="AP1015" s="1320"/>
      <c r="AQ1015" s="1321"/>
      <c r="AR1015" s="68"/>
      <c r="AS1015" s="68"/>
      <c r="AT1015" s="68"/>
      <c r="AU1015" s="68"/>
      <c r="AV1015" s="68"/>
      <c r="AW1015" s="68"/>
      <c r="AX1015" s="68"/>
      <c r="AY1015" s="904">
        <f>ROUNDDOWN(X1061/I1061,2)</f>
        <v>0.1</v>
      </c>
      <c r="AZ1015" s="34"/>
      <c r="BB1015" s="34"/>
    </row>
    <row r="1016" spans="1:55" ht="12.9" customHeight="1">
      <c r="A1016" s="14"/>
      <c r="B1016" s="255"/>
      <c r="C1016" s="80" t="s">
        <v>672</v>
      </c>
      <c r="D1016" s="1305" t="s">
        <v>1671</v>
      </c>
      <c r="E1016" s="1306"/>
      <c r="F1016" s="1306"/>
      <c r="G1016" s="1306"/>
      <c r="H1016" s="1306"/>
      <c r="I1016" s="1306"/>
      <c r="J1016" s="1306"/>
      <c r="K1016" s="1306"/>
      <c r="L1016" s="1306"/>
      <c r="M1016" s="1306"/>
      <c r="N1016" s="1306"/>
      <c r="O1016" s="1306"/>
      <c r="P1016" s="1306"/>
      <c r="Q1016" s="1306"/>
      <c r="R1016" s="1306"/>
      <c r="S1016" s="1306"/>
      <c r="T1016" s="1306"/>
      <c r="U1016" s="1306"/>
      <c r="V1016" s="1306"/>
      <c r="W1016" s="1306"/>
      <c r="X1016" s="1306"/>
      <c r="Y1016" s="1306"/>
      <c r="Z1016" s="1306"/>
      <c r="AA1016" s="1306"/>
      <c r="AB1016" s="1306"/>
      <c r="AC1016" s="1306"/>
      <c r="AD1016" s="1306"/>
      <c r="AE1016" s="1307"/>
      <c r="AF1016" s="86"/>
      <c r="AG1016" s="1563" t="s">
        <v>669</v>
      </c>
      <c r="AH1016" s="1358"/>
      <c r="AI1016" s="87"/>
      <c r="AJ1016" s="1313">
        <f>ROUND(IF(AG1016="yes",AJ1001*0.1,0),0)</f>
        <v>0</v>
      </c>
      <c r="AK1016" s="1314"/>
      <c r="AL1016" s="1314"/>
      <c r="AM1016" s="1314"/>
      <c r="AN1016" s="1314"/>
      <c r="AO1016" s="1314"/>
      <c r="AP1016" s="1314"/>
      <c r="AQ1016" s="1315"/>
      <c r="AR1016" s="68"/>
      <c r="AS1016" s="68"/>
      <c r="AT1016" s="68"/>
      <c r="AU1016" s="68"/>
      <c r="AV1016" s="68"/>
      <c r="AW1016" s="68"/>
      <c r="AX1016" s="68"/>
      <c r="BB1016" s="34"/>
    </row>
    <row r="1017" spans="1:55" ht="12.9" customHeight="1">
      <c r="A1017" s="14"/>
      <c r="B1017" s="73"/>
      <c r="C1017" s="74"/>
      <c r="D1017" s="1348" t="s">
        <v>1284</v>
      </c>
      <c r="E1017" s="1349"/>
      <c r="F1017" s="1349"/>
      <c r="G1017" s="1349"/>
      <c r="H1017" s="1349"/>
      <c r="I1017" s="1349"/>
      <c r="J1017" s="1349"/>
      <c r="K1017" s="1349"/>
      <c r="L1017" s="1349"/>
      <c r="M1017" s="1349"/>
      <c r="N1017" s="1349"/>
      <c r="O1017" s="1349"/>
      <c r="P1017" s="1349"/>
      <c r="Q1017" s="1349"/>
      <c r="R1017" s="1349"/>
      <c r="S1017" s="1349"/>
      <c r="T1017" s="1349"/>
      <c r="U1017" s="1349"/>
      <c r="V1017" s="1349"/>
      <c r="W1017" s="1349"/>
      <c r="X1017" s="1349"/>
      <c r="Y1017" s="1349"/>
      <c r="Z1017" s="1349"/>
      <c r="AA1017" s="1349"/>
      <c r="AB1017" s="1349"/>
      <c r="AC1017" s="1349"/>
      <c r="AD1017" s="1349"/>
      <c r="AE1017" s="1350"/>
      <c r="AF1017" s="73"/>
      <c r="AI1017" s="83"/>
      <c r="AJ1017" s="1316"/>
      <c r="AK1017" s="1317"/>
      <c r="AL1017" s="1317"/>
      <c r="AM1017" s="1317"/>
      <c r="AN1017" s="1317"/>
      <c r="AO1017" s="1317"/>
      <c r="AP1017" s="1317"/>
      <c r="AQ1017" s="1318"/>
      <c r="AR1017" s="68"/>
      <c r="AS1017" s="68"/>
      <c r="AT1017" s="68"/>
      <c r="AU1017" s="68"/>
      <c r="AV1017" s="68"/>
      <c r="AW1017" s="68"/>
      <c r="AX1017" s="68"/>
    </row>
    <row r="1018" spans="1:55" ht="12.9" customHeight="1">
      <c r="A1018" s="14"/>
      <c r="B1018" s="73"/>
      <c r="C1018" s="74"/>
      <c r="D1018" s="1348"/>
      <c r="E1018" s="1349"/>
      <c r="F1018" s="1349"/>
      <c r="G1018" s="1349"/>
      <c r="H1018" s="1349"/>
      <c r="I1018" s="1349"/>
      <c r="J1018" s="1349"/>
      <c r="K1018" s="1349"/>
      <c r="L1018" s="1349"/>
      <c r="M1018" s="1349"/>
      <c r="N1018" s="1349"/>
      <c r="O1018" s="1349"/>
      <c r="P1018" s="1349"/>
      <c r="Q1018" s="1349"/>
      <c r="R1018" s="1349"/>
      <c r="S1018" s="1349"/>
      <c r="T1018" s="1349"/>
      <c r="U1018" s="1349"/>
      <c r="V1018" s="1349"/>
      <c r="W1018" s="1349"/>
      <c r="X1018" s="1349"/>
      <c r="Y1018" s="1349"/>
      <c r="Z1018" s="1349"/>
      <c r="AA1018" s="1349"/>
      <c r="AB1018" s="1349"/>
      <c r="AC1018" s="1349"/>
      <c r="AD1018" s="1349"/>
      <c r="AE1018" s="1350"/>
      <c r="AF1018" s="73"/>
      <c r="AG1018" s="14"/>
      <c r="AH1018" s="14"/>
      <c r="AI1018" s="83"/>
      <c r="AJ1018" s="1316"/>
      <c r="AK1018" s="1317"/>
      <c r="AL1018" s="1317"/>
      <c r="AM1018" s="1317"/>
      <c r="AN1018" s="1317"/>
      <c r="AO1018" s="1317"/>
      <c r="AP1018" s="1317"/>
      <c r="AQ1018" s="1318"/>
      <c r="AR1018" s="68"/>
      <c r="AS1018" s="68"/>
      <c r="AT1018" s="68"/>
      <c r="AU1018" s="68"/>
      <c r="AV1018" s="68"/>
      <c r="AW1018" s="68"/>
      <c r="AX1018" s="68"/>
    </row>
    <row r="1019" spans="1:55" ht="12.9" customHeight="1">
      <c r="A1019" s="14"/>
      <c r="B1019" s="85"/>
      <c r="C1019" s="76"/>
      <c r="D1019" s="1338"/>
      <c r="E1019" s="1339"/>
      <c r="F1019" s="1339"/>
      <c r="G1019" s="1339"/>
      <c r="H1019" s="1339"/>
      <c r="I1019" s="1339"/>
      <c r="J1019" s="1339"/>
      <c r="K1019" s="1339"/>
      <c r="L1019" s="1339"/>
      <c r="M1019" s="1339"/>
      <c r="N1019" s="1339"/>
      <c r="O1019" s="1339"/>
      <c r="P1019" s="1339"/>
      <c r="Q1019" s="1339"/>
      <c r="R1019" s="1339"/>
      <c r="S1019" s="1339"/>
      <c r="T1019" s="1339"/>
      <c r="U1019" s="1339"/>
      <c r="V1019" s="1339"/>
      <c r="W1019" s="1339"/>
      <c r="X1019" s="1339"/>
      <c r="Y1019" s="1339"/>
      <c r="Z1019" s="1339"/>
      <c r="AA1019" s="1339"/>
      <c r="AB1019" s="1339"/>
      <c r="AC1019" s="1339"/>
      <c r="AD1019" s="1339"/>
      <c r="AE1019" s="1340"/>
      <c r="AF1019" s="77"/>
      <c r="AG1019" s="7"/>
      <c r="AH1019" s="7"/>
      <c r="AI1019" s="78"/>
      <c r="AJ1019" s="1319"/>
      <c r="AK1019" s="1320"/>
      <c r="AL1019" s="1320"/>
      <c r="AM1019" s="1320"/>
      <c r="AN1019" s="1320"/>
      <c r="AO1019" s="1320"/>
      <c r="AP1019" s="1320"/>
      <c r="AQ1019" s="1321"/>
      <c r="AR1019" s="68"/>
      <c r="AS1019" s="68"/>
      <c r="AT1019" s="68"/>
      <c r="AU1019" s="68"/>
      <c r="AV1019" s="68"/>
      <c r="AW1019" s="68"/>
      <c r="AX1019" s="68"/>
    </row>
    <row r="1020" spans="1:55" ht="12.9" customHeight="1">
      <c r="A1020" s="14"/>
      <c r="B1020" s="79"/>
      <c r="C1020" s="80" t="s">
        <v>212</v>
      </c>
      <c r="D1020" s="1305" t="s">
        <v>1286</v>
      </c>
      <c r="E1020" s="1306"/>
      <c r="F1020" s="1306"/>
      <c r="G1020" s="1306"/>
      <c r="H1020" s="1306"/>
      <c r="I1020" s="1306"/>
      <c r="J1020" s="1306"/>
      <c r="K1020" s="1306"/>
      <c r="L1020" s="1306"/>
      <c r="M1020" s="1306"/>
      <c r="N1020" s="1306"/>
      <c r="O1020" s="1306"/>
      <c r="P1020" s="1306"/>
      <c r="Q1020" s="1306"/>
      <c r="R1020" s="1306"/>
      <c r="S1020" s="1306"/>
      <c r="T1020" s="1306"/>
      <c r="U1020" s="1306"/>
      <c r="V1020" s="1306"/>
      <c r="W1020" s="1306"/>
      <c r="X1020" s="1306"/>
      <c r="Y1020" s="1306"/>
      <c r="Z1020" s="1306"/>
      <c r="AA1020" s="1306"/>
      <c r="AB1020" s="1306"/>
      <c r="AC1020" s="1306"/>
      <c r="AD1020" s="1306"/>
      <c r="AE1020" s="1307"/>
      <c r="AF1020" s="79"/>
      <c r="AG1020" s="1563" t="s">
        <v>669</v>
      </c>
      <c r="AH1020" s="1358"/>
      <c r="AI1020" s="87"/>
      <c r="AJ1020" s="1313">
        <f>ROUND(IF(AG1020="yes",AJ1001*0.02,0),0)</f>
        <v>0</v>
      </c>
      <c r="AK1020" s="1314"/>
      <c r="AL1020" s="1314"/>
      <c r="AM1020" s="1314"/>
      <c r="AN1020" s="1314"/>
      <c r="AO1020" s="1314"/>
      <c r="AP1020" s="1314"/>
      <c r="AQ1020" s="1315"/>
      <c r="AR1020" s="68"/>
      <c r="AS1020" s="68"/>
      <c r="AT1020" s="68"/>
      <c r="AU1020" s="68"/>
      <c r="AV1020" s="68"/>
      <c r="AW1020" s="68"/>
      <c r="AX1020" s="68"/>
    </row>
    <row r="1021" spans="1:55" ht="14.25" customHeight="1">
      <c r="A1021" s="14"/>
      <c r="B1021" s="73"/>
      <c r="C1021" s="74"/>
      <c r="D1021" s="1338" t="s">
        <v>1287</v>
      </c>
      <c r="E1021" s="1339"/>
      <c r="F1021" s="1339"/>
      <c r="G1021" s="1339"/>
      <c r="H1021" s="1339"/>
      <c r="I1021" s="1339"/>
      <c r="J1021" s="1339"/>
      <c r="K1021" s="1339"/>
      <c r="L1021" s="1339"/>
      <c r="M1021" s="1339"/>
      <c r="N1021" s="1339"/>
      <c r="O1021" s="1339"/>
      <c r="P1021" s="1339"/>
      <c r="Q1021" s="1339"/>
      <c r="R1021" s="1339"/>
      <c r="S1021" s="1339"/>
      <c r="T1021" s="1339"/>
      <c r="U1021" s="1339"/>
      <c r="V1021" s="1339"/>
      <c r="W1021" s="1339"/>
      <c r="X1021" s="1339"/>
      <c r="Y1021" s="1339"/>
      <c r="Z1021" s="1339"/>
      <c r="AA1021" s="1339"/>
      <c r="AB1021" s="1339"/>
      <c r="AC1021" s="1339"/>
      <c r="AD1021" s="1339"/>
      <c r="AE1021" s="1340"/>
      <c r="AF1021" s="77"/>
      <c r="AG1021" s="7"/>
      <c r="AH1021" s="7"/>
      <c r="AI1021" s="78"/>
      <c r="AJ1021" s="1319"/>
      <c r="AK1021" s="1320"/>
      <c r="AL1021" s="1320"/>
      <c r="AM1021" s="1320"/>
      <c r="AN1021" s="1320"/>
      <c r="AO1021" s="1320"/>
      <c r="AP1021" s="1320"/>
      <c r="AQ1021" s="1321"/>
      <c r="AR1021" s="68"/>
      <c r="AS1021" s="68"/>
      <c r="AT1021" s="68"/>
      <c r="AU1021" s="68"/>
      <c r="AV1021" s="68"/>
      <c r="AW1021" s="68"/>
      <c r="AX1021" s="3" t="s">
        <v>1812</v>
      </c>
      <c r="AZ1021" s="3" t="s">
        <v>2525</v>
      </c>
    </row>
    <row r="1022" spans="1:55" ht="12.9" customHeight="1">
      <c r="A1022" s="14"/>
      <c r="B1022" s="79"/>
      <c r="C1022" s="80" t="s">
        <v>215</v>
      </c>
      <c r="D1022" s="1305" t="s">
        <v>1288</v>
      </c>
      <c r="E1022" s="1306"/>
      <c r="F1022" s="1306"/>
      <c r="G1022" s="1306"/>
      <c r="H1022" s="1306"/>
      <c r="I1022" s="1306"/>
      <c r="J1022" s="1306"/>
      <c r="K1022" s="1306"/>
      <c r="L1022" s="1306"/>
      <c r="M1022" s="1306"/>
      <c r="N1022" s="1306"/>
      <c r="O1022" s="1306"/>
      <c r="P1022" s="1306"/>
      <c r="Q1022" s="1306"/>
      <c r="R1022" s="1306"/>
      <c r="S1022" s="1306"/>
      <c r="T1022" s="1306"/>
      <c r="U1022" s="1306"/>
      <c r="V1022" s="1306"/>
      <c r="W1022" s="1306"/>
      <c r="X1022" s="1306"/>
      <c r="Y1022" s="1306"/>
      <c r="Z1022" s="1306"/>
      <c r="AA1022" s="1306"/>
      <c r="AB1022" s="1306"/>
      <c r="AC1022" s="1306"/>
      <c r="AD1022" s="1306"/>
      <c r="AE1022" s="1307"/>
      <c r="AF1022" s="79"/>
      <c r="AG1022" s="1563" t="s">
        <v>669</v>
      </c>
      <c r="AH1022" s="1358"/>
      <c r="AI1022" s="79"/>
      <c r="AJ1022" s="1313">
        <f>ROUND(IF(AG1022="yes",AJ1001*0.02,0),0)</f>
        <v>0</v>
      </c>
      <c r="AK1022" s="1314"/>
      <c r="AL1022" s="1314"/>
      <c r="AM1022" s="1314"/>
      <c r="AN1022" s="1314"/>
      <c r="AO1022" s="1314"/>
      <c r="AP1022" s="1314"/>
      <c r="AQ1022" s="1315"/>
      <c r="AR1022" s="68"/>
      <c r="AS1022" s="68"/>
      <c r="AT1022" s="68"/>
      <c r="AU1022" s="68"/>
      <c r="AV1022" s="68"/>
      <c r="AW1022" s="68"/>
      <c r="AX1022" s="3">
        <v>1</v>
      </c>
      <c r="AY1022" s="200">
        <f>IF((_xlfn.XLOOKUP(AX1022,$C$1074:$C$1112,$A$1074:$A$1112,"",0,1))="Yes",AZ1022,0)</f>
        <v>0</v>
      </c>
      <c r="AZ1022" s="1184">
        <v>0.2</v>
      </c>
    </row>
    <row r="1023" spans="1:55" ht="12.9" customHeight="1">
      <c r="A1023" s="14"/>
      <c r="B1023" s="73"/>
      <c r="C1023" s="74"/>
      <c r="D1023" s="1348" t="s">
        <v>1289</v>
      </c>
      <c r="E1023" s="1349"/>
      <c r="F1023" s="1349"/>
      <c r="G1023" s="1349"/>
      <c r="H1023" s="1349"/>
      <c r="I1023" s="1349"/>
      <c r="J1023" s="1349"/>
      <c r="K1023" s="1349"/>
      <c r="L1023" s="1349"/>
      <c r="M1023" s="1349"/>
      <c r="N1023" s="1349"/>
      <c r="O1023" s="1349"/>
      <c r="P1023" s="1349"/>
      <c r="Q1023" s="1349"/>
      <c r="R1023" s="1349"/>
      <c r="S1023" s="1349"/>
      <c r="T1023" s="1349"/>
      <c r="U1023" s="1349"/>
      <c r="V1023" s="1349"/>
      <c r="W1023" s="1349"/>
      <c r="X1023" s="1349"/>
      <c r="Y1023" s="1349"/>
      <c r="Z1023" s="1349"/>
      <c r="AA1023" s="1349"/>
      <c r="AB1023" s="1349"/>
      <c r="AC1023" s="1349"/>
      <c r="AD1023" s="1349"/>
      <c r="AE1023" s="1350"/>
      <c r="AF1023" s="1376" t="str">
        <f>IF(AND(AG1022="yes",T212&lt;&gt;1),"The project may not be eligible for this boost","")</f>
        <v/>
      </c>
      <c r="AG1023" s="1377"/>
      <c r="AH1023" s="1377"/>
      <c r="AI1023" s="1378"/>
      <c r="AJ1023" s="1316"/>
      <c r="AK1023" s="1317"/>
      <c r="AL1023" s="1317"/>
      <c r="AM1023" s="1317"/>
      <c r="AN1023" s="1317"/>
      <c r="AO1023" s="1317"/>
      <c r="AP1023" s="1317"/>
      <c r="AQ1023" s="1318"/>
      <c r="AR1023" s="68"/>
      <c r="AS1023" s="68"/>
      <c r="AT1023" s="68"/>
      <c r="AU1023" s="68"/>
      <c r="AV1023" s="68"/>
      <c r="AW1023" s="68"/>
      <c r="AX1023" s="3">
        <v>2</v>
      </c>
      <c r="AY1023" s="200">
        <f t="shared" ref="AY1023:AY1032" si="55">IF((_xlfn.XLOOKUP(AX1023,$C$1074:$C$1112,$A$1074:$A$1112,"",0,1))="Yes",AZ1023,0)</f>
        <v>0</v>
      </c>
      <c r="AZ1023" s="1184">
        <v>0.15</v>
      </c>
    </row>
    <row r="1024" spans="1:55" ht="12.9" customHeight="1">
      <c r="A1024" s="14"/>
      <c r="B1024" s="75"/>
      <c r="C1024" s="76"/>
      <c r="D1024" s="1338"/>
      <c r="E1024" s="1339"/>
      <c r="F1024" s="1339"/>
      <c r="G1024" s="1339"/>
      <c r="H1024" s="1339"/>
      <c r="I1024" s="1339"/>
      <c r="J1024" s="1339"/>
      <c r="K1024" s="1339"/>
      <c r="L1024" s="1339"/>
      <c r="M1024" s="1339"/>
      <c r="N1024" s="1339"/>
      <c r="O1024" s="1339"/>
      <c r="P1024" s="1339"/>
      <c r="Q1024" s="1339"/>
      <c r="R1024" s="1339"/>
      <c r="S1024" s="1339"/>
      <c r="T1024" s="1339"/>
      <c r="U1024" s="1339"/>
      <c r="V1024" s="1339"/>
      <c r="W1024" s="1339"/>
      <c r="X1024" s="1339"/>
      <c r="Y1024" s="1339"/>
      <c r="Z1024" s="1339"/>
      <c r="AA1024" s="1339"/>
      <c r="AB1024" s="1339"/>
      <c r="AC1024" s="1339"/>
      <c r="AD1024" s="1339"/>
      <c r="AE1024" s="1340"/>
      <c r="AF1024" s="1379"/>
      <c r="AG1024" s="1380"/>
      <c r="AH1024" s="1380"/>
      <c r="AI1024" s="1381"/>
      <c r="AJ1024" s="1319"/>
      <c r="AK1024" s="1320"/>
      <c r="AL1024" s="1320"/>
      <c r="AM1024" s="1320"/>
      <c r="AN1024" s="1320"/>
      <c r="AO1024" s="1320"/>
      <c r="AP1024" s="1320"/>
      <c r="AQ1024" s="1321"/>
      <c r="AR1024" s="68"/>
      <c r="AS1024" s="68"/>
      <c r="AT1024" s="68"/>
      <c r="AU1024" s="68"/>
      <c r="AV1024" s="68"/>
      <c r="AW1024" s="68"/>
      <c r="AX1024" s="3">
        <v>3</v>
      </c>
      <c r="AY1024" s="200">
        <f t="shared" si="55"/>
        <v>0</v>
      </c>
      <c r="AZ1024" s="1184">
        <v>0.05</v>
      </c>
    </row>
    <row r="1025" spans="1:52" ht="12.9" customHeight="1">
      <c r="A1025" s="14"/>
      <c r="B1025" s="79"/>
      <c r="C1025" s="80" t="s">
        <v>218</v>
      </c>
      <c r="D1025" s="1538" t="s">
        <v>2184</v>
      </c>
      <c r="E1025" s="1539"/>
      <c r="F1025" s="1539"/>
      <c r="G1025" s="1539"/>
      <c r="H1025" s="1539"/>
      <c r="I1025" s="1539"/>
      <c r="J1025" s="1539"/>
      <c r="K1025" s="1539"/>
      <c r="L1025" s="1539"/>
      <c r="M1025" s="1539"/>
      <c r="N1025" s="1539"/>
      <c r="O1025" s="1539"/>
      <c r="P1025" s="1539"/>
      <c r="Q1025" s="1539"/>
      <c r="R1025" s="1539"/>
      <c r="S1025" s="1539"/>
      <c r="T1025" s="1539"/>
      <c r="U1025" s="1539"/>
      <c r="V1025" s="1539"/>
      <c r="W1025" s="1539"/>
      <c r="X1025" s="1539"/>
      <c r="Y1025" s="1539"/>
      <c r="Z1025" s="1539"/>
      <c r="AA1025" s="1539"/>
      <c r="AB1025" s="1539"/>
      <c r="AC1025" s="1539"/>
      <c r="AD1025" s="1539"/>
      <c r="AE1025" s="1540"/>
      <c r="AF1025" s="79"/>
      <c r="AG1025" s="1563" t="s">
        <v>669</v>
      </c>
      <c r="AH1025" s="1358"/>
      <c r="AI1025" s="87"/>
      <c r="AJ1025" s="1313">
        <f>IF(AG1025="yes",AJ1001*AY1033,0)</f>
        <v>0</v>
      </c>
      <c r="AK1025" s="1314"/>
      <c r="AL1025" s="1314"/>
      <c r="AM1025" s="1314"/>
      <c r="AN1025" s="1314"/>
      <c r="AO1025" s="1314"/>
      <c r="AP1025" s="1314"/>
      <c r="AQ1025" s="1315"/>
      <c r="AR1025" s="68"/>
      <c r="AS1025" s="68"/>
      <c r="AT1025" s="68"/>
      <c r="AU1025" s="68"/>
      <c r="AV1025" s="68"/>
      <c r="AW1025" s="68"/>
      <c r="AX1025" s="3">
        <v>4</v>
      </c>
      <c r="AY1025" s="200">
        <f t="shared" si="55"/>
        <v>0</v>
      </c>
      <c r="AZ1025" s="1184">
        <v>0.02</v>
      </c>
    </row>
    <row r="1026" spans="1:52" ht="12.9" customHeight="1">
      <c r="A1026" s="14"/>
      <c r="B1026" s="73"/>
      <c r="C1026" s="74"/>
      <c r="D1026" s="1348" t="s">
        <v>2588</v>
      </c>
      <c r="E1026" s="1349"/>
      <c r="F1026" s="1349"/>
      <c r="G1026" s="1349"/>
      <c r="H1026" s="1349"/>
      <c r="I1026" s="1349"/>
      <c r="J1026" s="1349"/>
      <c r="K1026" s="1349"/>
      <c r="L1026" s="1349"/>
      <c r="M1026" s="1349"/>
      <c r="N1026" s="1349"/>
      <c r="O1026" s="1349"/>
      <c r="P1026" s="1349"/>
      <c r="Q1026" s="1349"/>
      <c r="R1026" s="1349"/>
      <c r="S1026" s="1349"/>
      <c r="T1026" s="1349"/>
      <c r="U1026" s="1349"/>
      <c r="V1026" s="1349"/>
      <c r="W1026" s="1349"/>
      <c r="X1026" s="1349"/>
      <c r="Y1026" s="1349"/>
      <c r="Z1026" s="1349"/>
      <c r="AA1026" s="1349"/>
      <c r="AB1026" s="1349"/>
      <c r="AC1026" s="1349"/>
      <c r="AD1026" s="1349"/>
      <c r="AE1026" s="1350"/>
      <c r="AF1026" s="1370" t="str">
        <f>IF(AND(AG1025="Yes",AY1033=0),AY1036,"")</f>
        <v/>
      </c>
      <c r="AG1026" s="1371"/>
      <c r="AH1026" s="1371"/>
      <c r="AI1026" s="1372"/>
      <c r="AJ1026" s="1316"/>
      <c r="AK1026" s="1317"/>
      <c r="AL1026" s="1317"/>
      <c r="AM1026" s="1317"/>
      <c r="AN1026" s="1317"/>
      <c r="AO1026" s="1317"/>
      <c r="AP1026" s="1317"/>
      <c r="AQ1026" s="1318"/>
      <c r="AR1026" s="68"/>
      <c r="AS1026" s="68"/>
      <c r="AT1026" s="68"/>
      <c r="AU1026" s="68"/>
      <c r="AV1026" s="68"/>
      <c r="AW1026" s="68"/>
      <c r="AX1026" s="3">
        <v>5</v>
      </c>
      <c r="AY1026" s="200">
        <f t="shared" si="55"/>
        <v>0</v>
      </c>
      <c r="AZ1026" s="1184">
        <v>0.04</v>
      </c>
    </row>
    <row r="1027" spans="1:52" ht="12.9" customHeight="1">
      <c r="A1027" s="14"/>
      <c r="B1027" s="73"/>
      <c r="C1027" s="74"/>
      <c r="D1027" s="1348"/>
      <c r="E1027" s="1349"/>
      <c r="F1027" s="1349"/>
      <c r="G1027" s="1349"/>
      <c r="H1027" s="1349"/>
      <c r="I1027" s="1349"/>
      <c r="J1027" s="1349"/>
      <c r="K1027" s="1349"/>
      <c r="L1027" s="1349"/>
      <c r="M1027" s="1349"/>
      <c r="N1027" s="1349"/>
      <c r="O1027" s="1349"/>
      <c r="P1027" s="1349"/>
      <c r="Q1027" s="1349"/>
      <c r="R1027" s="1349"/>
      <c r="S1027" s="1349"/>
      <c r="T1027" s="1349"/>
      <c r="U1027" s="1349"/>
      <c r="V1027" s="1349"/>
      <c r="W1027" s="1349"/>
      <c r="X1027" s="1349"/>
      <c r="Y1027" s="1349"/>
      <c r="Z1027" s="1349"/>
      <c r="AA1027" s="1349"/>
      <c r="AB1027" s="1349"/>
      <c r="AC1027" s="1349"/>
      <c r="AD1027" s="1349"/>
      <c r="AE1027" s="1350"/>
      <c r="AF1027" s="1370"/>
      <c r="AG1027" s="1371"/>
      <c r="AH1027" s="1371"/>
      <c r="AI1027" s="1372"/>
      <c r="AJ1027" s="1316"/>
      <c r="AK1027" s="1317"/>
      <c r="AL1027" s="1317"/>
      <c r="AM1027" s="1317"/>
      <c r="AN1027" s="1317"/>
      <c r="AO1027" s="1317"/>
      <c r="AP1027" s="1317"/>
      <c r="AQ1027" s="1318"/>
      <c r="AR1027" s="68"/>
      <c r="AS1027" s="68"/>
      <c r="AT1027" s="68"/>
      <c r="AU1027" s="68"/>
      <c r="AV1027" s="68"/>
      <c r="AW1027" s="68"/>
      <c r="AX1027" s="3">
        <v>6</v>
      </c>
      <c r="AY1027" s="200">
        <f t="shared" si="55"/>
        <v>0</v>
      </c>
      <c r="AZ1027" s="1184">
        <v>0.04</v>
      </c>
    </row>
    <row r="1028" spans="1:52" ht="12.9" customHeight="1">
      <c r="A1028" s="14"/>
      <c r="B1028" s="81"/>
      <c r="C1028" s="82"/>
      <c r="D1028" s="1338"/>
      <c r="E1028" s="1339"/>
      <c r="F1028" s="1339"/>
      <c r="G1028" s="1339"/>
      <c r="H1028" s="1339"/>
      <c r="I1028" s="1339"/>
      <c r="J1028" s="1339"/>
      <c r="K1028" s="1339"/>
      <c r="L1028" s="1339"/>
      <c r="M1028" s="1339"/>
      <c r="N1028" s="1339"/>
      <c r="O1028" s="1339"/>
      <c r="P1028" s="1339"/>
      <c r="Q1028" s="1339"/>
      <c r="R1028" s="1339"/>
      <c r="S1028" s="1339"/>
      <c r="T1028" s="1339"/>
      <c r="U1028" s="1339"/>
      <c r="V1028" s="1339"/>
      <c r="W1028" s="1339"/>
      <c r="X1028" s="1339"/>
      <c r="Y1028" s="1339"/>
      <c r="Z1028" s="1339"/>
      <c r="AA1028" s="1339"/>
      <c r="AB1028" s="1339"/>
      <c r="AC1028" s="1339"/>
      <c r="AD1028" s="1339"/>
      <c r="AE1028" s="1340"/>
      <c r="AF1028" s="1373"/>
      <c r="AG1028" s="1374"/>
      <c r="AH1028" s="1374"/>
      <c r="AI1028" s="1375"/>
      <c r="AJ1028" s="1319"/>
      <c r="AK1028" s="1320"/>
      <c r="AL1028" s="1320"/>
      <c r="AM1028" s="1320"/>
      <c r="AN1028" s="1320"/>
      <c r="AO1028" s="1320"/>
      <c r="AP1028" s="1320"/>
      <c r="AQ1028" s="1321"/>
      <c r="AR1028" s="68"/>
      <c r="AS1028" s="68"/>
      <c r="AT1028" s="68"/>
      <c r="AU1028" s="68"/>
      <c r="AV1028" s="68"/>
      <c r="AW1028" s="68"/>
      <c r="AX1028" s="3">
        <v>7</v>
      </c>
      <c r="AY1028" s="200">
        <f t="shared" si="55"/>
        <v>0</v>
      </c>
      <c r="AZ1028" s="1184">
        <v>0.01</v>
      </c>
    </row>
    <row r="1029" spans="1:52" ht="12.9" customHeight="1">
      <c r="A1029" s="14"/>
      <c r="B1029" s="79"/>
      <c r="C1029" s="80" t="s">
        <v>223</v>
      </c>
      <c r="D1029" s="1299" t="s">
        <v>1290</v>
      </c>
      <c r="E1029" s="1300"/>
      <c r="F1029" s="1300"/>
      <c r="G1029" s="1300"/>
      <c r="H1029" s="1300"/>
      <c r="I1029" s="1300"/>
      <c r="J1029" s="1300"/>
      <c r="K1029" s="1300"/>
      <c r="L1029" s="1300"/>
      <c r="M1029" s="1300"/>
      <c r="N1029" s="1300"/>
      <c r="O1029" s="1300"/>
      <c r="P1029" s="1300"/>
      <c r="Q1029" s="1300"/>
      <c r="R1029" s="1300"/>
      <c r="S1029" s="1300"/>
      <c r="T1029" s="1300"/>
      <c r="U1029" s="1300"/>
      <c r="V1029" s="1300"/>
      <c r="W1029" s="1300"/>
      <c r="X1029" s="1300"/>
      <c r="Y1029" s="1300"/>
      <c r="Z1029" s="1300"/>
      <c r="AA1029" s="1300"/>
      <c r="AB1029" s="1300"/>
      <c r="AC1029" s="1300"/>
      <c r="AD1029" s="1300"/>
      <c r="AE1029" s="1301"/>
      <c r="AF1029" s="79"/>
      <c r="AG1029" s="1563" t="s">
        <v>669</v>
      </c>
      <c r="AH1029" s="1358"/>
      <c r="AI1029" s="87"/>
      <c r="AJ1029" s="1313">
        <f>ROUND(IF(AND(AG1029="Yes",J1033&lt;&gt;"N/A",AF1032&lt;&gt;""),MIN(AF1032,(0.15*AJ1001)),0),0)</f>
        <v>0</v>
      </c>
      <c r="AK1029" s="1314"/>
      <c r="AL1029" s="1314"/>
      <c r="AM1029" s="1314"/>
      <c r="AN1029" s="1314"/>
      <c r="AO1029" s="1314"/>
      <c r="AP1029" s="1314"/>
      <c r="AQ1029" s="1315"/>
      <c r="AR1029" s="68"/>
      <c r="AS1029" s="68"/>
      <c r="AT1029" s="68"/>
      <c r="AU1029" s="68"/>
      <c r="AV1029" s="68"/>
      <c r="AW1029" s="68"/>
      <c r="AX1029" s="3">
        <v>8</v>
      </c>
      <c r="AY1029" s="200">
        <f t="shared" si="55"/>
        <v>0</v>
      </c>
      <c r="AZ1029" s="1184">
        <v>0.01</v>
      </c>
    </row>
    <row r="1030" spans="1:52" ht="12.9" customHeight="1">
      <c r="A1030" s="14"/>
      <c r="B1030" s="81"/>
      <c r="C1030" s="84"/>
      <c r="D1030" s="1302"/>
      <c r="E1030" s="1303"/>
      <c r="F1030" s="1303"/>
      <c r="G1030" s="1303"/>
      <c r="H1030" s="1303"/>
      <c r="I1030" s="1303"/>
      <c r="J1030" s="1303"/>
      <c r="K1030" s="1303"/>
      <c r="L1030" s="1303"/>
      <c r="M1030" s="1303"/>
      <c r="N1030" s="1303"/>
      <c r="O1030" s="1303"/>
      <c r="P1030" s="1303"/>
      <c r="Q1030" s="1303"/>
      <c r="R1030" s="1303"/>
      <c r="S1030" s="1303"/>
      <c r="T1030" s="1303"/>
      <c r="U1030" s="1303"/>
      <c r="V1030" s="1303"/>
      <c r="W1030" s="1303"/>
      <c r="X1030" s="1303"/>
      <c r="Y1030" s="1303"/>
      <c r="Z1030" s="1303"/>
      <c r="AA1030" s="1303"/>
      <c r="AB1030" s="1303"/>
      <c r="AC1030" s="1303"/>
      <c r="AD1030" s="1303"/>
      <c r="AE1030" s="1304"/>
      <c r="AF1030" s="1595" t="str">
        <f>IF(AG1029="yes","Please Select Type and Enter Amount:","")</f>
        <v/>
      </c>
      <c r="AG1030" s="1596"/>
      <c r="AH1030" s="1596"/>
      <c r="AI1030" s="1597"/>
      <c r="AJ1030" s="1316"/>
      <c r="AK1030" s="1317"/>
      <c r="AL1030" s="1317"/>
      <c r="AM1030" s="1317"/>
      <c r="AN1030" s="1317"/>
      <c r="AO1030" s="1317"/>
      <c r="AP1030" s="1317"/>
      <c r="AQ1030" s="1318"/>
      <c r="AR1030" s="68"/>
      <c r="AS1030" s="68"/>
      <c r="AT1030" s="68"/>
      <c r="AU1030" s="68"/>
      <c r="AV1030" s="68"/>
      <c r="AW1030" s="68"/>
      <c r="AX1030" s="3">
        <v>9</v>
      </c>
      <c r="AY1030" s="200">
        <f t="shared" si="55"/>
        <v>0</v>
      </c>
      <c r="AZ1030" s="1184">
        <v>0.01</v>
      </c>
    </row>
    <row r="1031" spans="1:52" ht="12.9" customHeight="1">
      <c r="A1031" s="14"/>
      <c r="B1031" s="81"/>
      <c r="C1031" s="84"/>
      <c r="D1031" s="1348" t="s">
        <v>1291</v>
      </c>
      <c r="E1031" s="1349"/>
      <c r="F1031" s="1349"/>
      <c r="G1031" s="1349"/>
      <c r="H1031" s="1349"/>
      <c r="I1031" s="1349"/>
      <c r="J1031" s="1349"/>
      <c r="K1031" s="1349"/>
      <c r="L1031" s="1349"/>
      <c r="M1031" s="1349"/>
      <c r="N1031" s="1349"/>
      <c r="O1031" s="1349"/>
      <c r="P1031" s="1349"/>
      <c r="Q1031" s="1349"/>
      <c r="R1031" s="1349"/>
      <c r="S1031" s="1349"/>
      <c r="T1031" s="1349"/>
      <c r="U1031" s="1349"/>
      <c r="V1031" s="1349"/>
      <c r="W1031" s="1349"/>
      <c r="X1031" s="1349"/>
      <c r="Y1031" s="1349"/>
      <c r="Z1031" s="1349"/>
      <c r="AA1031" s="1349"/>
      <c r="AB1031" s="1349"/>
      <c r="AC1031" s="1349"/>
      <c r="AD1031" s="1349"/>
      <c r="AE1031" s="1350"/>
      <c r="AF1031" s="1595"/>
      <c r="AG1031" s="1596"/>
      <c r="AH1031" s="1596"/>
      <c r="AI1031" s="1597"/>
      <c r="AJ1031" s="1316"/>
      <c r="AK1031" s="1317"/>
      <c r="AL1031" s="1317"/>
      <c r="AM1031" s="1317"/>
      <c r="AN1031" s="1317"/>
      <c r="AO1031" s="1317"/>
      <c r="AP1031" s="1317"/>
      <c r="AQ1031" s="1318"/>
      <c r="AR1031" s="68"/>
      <c r="AS1031" s="68"/>
      <c r="AT1031" s="68"/>
      <c r="AU1031" s="68"/>
      <c r="AV1031" s="68"/>
      <c r="AW1031" s="68"/>
      <c r="AX1031" s="3">
        <v>10</v>
      </c>
      <c r="AY1031" s="200">
        <f t="shared" si="55"/>
        <v>0</v>
      </c>
      <c r="AZ1031" s="1184">
        <v>0.02</v>
      </c>
    </row>
    <row r="1032" spans="1:52" ht="12.9" customHeight="1">
      <c r="A1032" s="14"/>
      <c r="B1032" s="81"/>
      <c r="C1032" s="84"/>
      <c r="D1032" s="1348"/>
      <c r="E1032" s="1349"/>
      <c r="F1032" s="1349"/>
      <c r="G1032" s="1349"/>
      <c r="H1032" s="1349"/>
      <c r="I1032" s="1349"/>
      <c r="J1032" s="1349"/>
      <c r="K1032" s="1349"/>
      <c r="L1032" s="1349"/>
      <c r="M1032" s="1349"/>
      <c r="N1032" s="1349"/>
      <c r="O1032" s="1349"/>
      <c r="P1032" s="1349"/>
      <c r="Q1032" s="1349"/>
      <c r="R1032" s="1349"/>
      <c r="S1032" s="1349"/>
      <c r="T1032" s="1349"/>
      <c r="U1032" s="1349"/>
      <c r="V1032" s="1349"/>
      <c r="W1032" s="1349"/>
      <c r="X1032" s="1349"/>
      <c r="Y1032" s="1349"/>
      <c r="Z1032" s="1349"/>
      <c r="AA1032" s="1349"/>
      <c r="AB1032" s="1349"/>
      <c r="AC1032" s="1349"/>
      <c r="AD1032" s="1349"/>
      <c r="AE1032" s="1350"/>
      <c r="AF1032" s="1559"/>
      <c r="AG1032" s="1559"/>
      <c r="AH1032" s="1559"/>
      <c r="AI1032" s="1559"/>
      <c r="AJ1032" s="1316"/>
      <c r="AK1032" s="1317"/>
      <c r="AL1032" s="1317"/>
      <c r="AM1032" s="1317"/>
      <c r="AN1032" s="1317"/>
      <c r="AO1032" s="1317"/>
      <c r="AP1032" s="1317"/>
      <c r="AQ1032" s="1318"/>
      <c r="AR1032" s="68"/>
      <c r="AS1032" s="68"/>
      <c r="AT1032" s="68"/>
      <c r="AU1032" s="68"/>
      <c r="AV1032" s="68"/>
      <c r="AW1032" s="68"/>
      <c r="AX1032" s="3">
        <v>11</v>
      </c>
      <c r="AY1032" s="200">
        <f t="shared" si="55"/>
        <v>0</v>
      </c>
      <c r="AZ1032" s="1184">
        <v>0.02</v>
      </c>
    </row>
    <row r="1033" spans="1:52" ht="12.9" customHeight="1">
      <c r="A1033" s="14"/>
      <c r="B1033" s="81"/>
      <c r="C1033" s="84"/>
      <c r="D1033" s="522" t="s">
        <v>359</v>
      </c>
      <c r="E1033" s="90"/>
      <c r="F1033" s="90"/>
      <c r="G1033" s="104"/>
      <c r="H1033" s="104"/>
      <c r="I1033" s="49"/>
      <c r="J1033" s="1414" t="s">
        <v>591</v>
      </c>
      <c r="K1033" s="1415"/>
      <c r="L1033" s="1415"/>
      <c r="M1033" s="1415"/>
      <c r="N1033" s="1415"/>
      <c r="O1033" s="1415"/>
      <c r="P1033" s="1415"/>
      <c r="Q1033" s="1415"/>
      <c r="R1033" s="1415"/>
      <c r="S1033" s="1415"/>
      <c r="T1033" s="1415"/>
      <c r="U1033" s="1415"/>
      <c r="V1033" s="1415"/>
      <c r="W1033" s="1415"/>
      <c r="X1033" s="1415"/>
      <c r="Y1033" s="1415"/>
      <c r="Z1033" s="1415"/>
      <c r="AA1033" s="1415"/>
      <c r="AB1033" s="1415"/>
      <c r="AC1033" s="1415"/>
      <c r="AD1033" s="1415"/>
      <c r="AE1033" s="1416"/>
      <c r="AF1033" s="1559"/>
      <c r="AG1033" s="1559"/>
      <c r="AH1033" s="1559"/>
      <c r="AI1033" s="1559"/>
      <c r="AJ1033" s="1319"/>
      <c r="AK1033" s="1320"/>
      <c r="AL1033" s="1320"/>
      <c r="AM1033" s="1320"/>
      <c r="AN1033" s="1320"/>
      <c r="AO1033" s="1320"/>
      <c r="AP1033" s="1320"/>
      <c r="AQ1033" s="1321"/>
      <c r="AR1033" s="68"/>
      <c r="AS1033" s="68"/>
      <c r="AT1033" s="68"/>
      <c r="AU1033" s="68"/>
      <c r="AV1033" s="68"/>
      <c r="AW1033" s="68"/>
      <c r="AX1033" s="1022" t="s">
        <v>2524</v>
      </c>
      <c r="AY1033" s="201">
        <f>IF(SUM(AY1022:AY1032)&lt;=0.2,SUM(AY1022:AY1032),0.2)</f>
        <v>0</v>
      </c>
    </row>
    <row r="1034" spans="1:52" ht="12.9" customHeight="1">
      <c r="A1034" s="14"/>
      <c r="B1034" s="79"/>
      <c r="C1034" s="80" t="s">
        <v>229</v>
      </c>
      <c r="D1034" s="1305" t="s">
        <v>1292</v>
      </c>
      <c r="E1034" s="1306"/>
      <c r="F1034" s="1306"/>
      <c r="G1034" s="1306"/>
      <c r="H1034" s="1306"/>
      <c r="I1034" s="1306"/>
      <c r="J1034" s="1306"/>
      <c r="K1034" s="1306"/>
      <c r="L1034" s="1306"/>
      <c r="M1034" s="1306"/>
      <c r="N1034" s="1306"/>
      <c r="O1034" s="1306"/>
      <c r="P1034" s="1306"/>
      <c r="Q1034" s="1306"/>
      <c r="R1034" s="1306"/>
      <c r="S1034" s="1306"/>
      <c r="T1034" s="1306"/>
      <c r="U1034" s="1306"/>
      <c r="V1034" s="1306"/>
      <c r="W1034" s="1306"/>
      <c r="X1034" s="1306"/>
      <c r="Y1034" s="1306"/>
      <c r="Z1034" s="1306"/>
      <c r="AA1034" s="1306"/>
      <c r="AB1034" s="1306"/>
      <c r="AC1034" s="1306"/>
      <c r="AD1034" s="1306"/>
      <c r="AE1034" s="1307"/>
      <c r="AF1034" s="79"/>
      <c r="AG1034" s="1357" t="s">
        <v>545</v>
      </c>
      <c r="AH1034" s="1358"/>
      <c r="AI1034" s="87"/>
      <c r="AJ1034" s="1313">
        <f>ROUND(IF(AG1034="Yes",AF1036,0),0)</f>
        <v>1176016</v>
      </c>
      <c r="AK1034" s="1314"/>
      <c r="AL1034" s="1314"/>
      <c r="AM1034" s="1314"/>
      <c r="AN1034" s="1314"/>
      <c r="AO1034" s="1314"/>
      <c r="AP1034" s="1314"/>
      <c r="AQ1034" s="1315"/>
      <c r="AR1034" s="68"/>
      <c r="AS1034" s="68"/>
      <c r="AT1034" s="68"/>
      <c r="AU1034" s="68"/>
      <c r="AV1034" s="68"/>
      <c r="AW1034" s="68"/>
      <c r="AX1034" s="68"/>
      <c r="AY1034" s="68"/>
    </row>
    <row r="1035" spans="1:52" ht="12.9" customHeight="1">
      <c r="A1035" s="14"/>
      <c r="B1035" s="73"/>
      <c r="C1035" s="74"/>
      <c r="D1035" s="1348" t="s">
        <v>1678</v>
      </c>
      <c r="E1035" s="1349"/>
      <c r="F1035" s="1349"/>
      <c r="G1035" s="1349"/>
      <c r="H1035" s="1349"/>
      <c r="I1035" s="1349"/>
      <c r="J1035" s="1349"/>
      <c r="K1035" s="1349"/>
      <c r="L1035" s="1349"/>
      <c r="M1035" s="1349"/>
      <c r="N1035" s="1349"/>
      <c r="O1035" s="1349"/>
      <c r="P1035" s="1349"/>
      <c r="Q1035" s="1349"/>
      <c r="R1035" s="1349"/>
      <c r="S1035" s="1349"/>
      <c r="T1035" s="1349"/>
      <c r="U1035" s="1349"/>
      <c r="V1035" s="1349"/>
      <c r="W1035" s="1349"/>
      <c r="X1035" s="1349"/>
      <c r="Y1035" s="1349"/>
      <c r="Z1035" s="1349"/>
      <c r="AA1035" s="1349"/>
      <c r="AB1035" s="1349"/>
      <c r="AC1035" s="1349"/>
      <c r="AD1035" s="1349"/>
      <c r="AE1035" s="1350"/>
      <c r="AF1035" s="1308" t="str">
        <f>IF(AG1034="yes","Enter Amount:","")</f>
        <v>Enter Amount:</v>
      </c>
      <c r="AG1035" s="1309"/>
      <c r="AH1035" s="1309"/>
      <c r="AI1035" s="1310"/>
      <c r="AJ1035" s="1316"/>
      <c r="AK1035" s="1317"/>
      <c r="AL1035" s="1317"/>
      <c r="AM1035" s="1317"/>
      <c r="AN1035" s="1317"/>
      <c r="AO1035" s="1317"/>
      <c r="AP1035" s="1317"/>
      <c r="AQ1035" s="1318"/>
      <c r="AR1035" s="68"/>
      <c r="AS1035" s="68"/>
      <c r="AT1035" s="68"/>
      <c r="AU1035" s="68"/>
      <c r="AV1035" s="68"/>
      <c r="AW1035" s="68"/>
      <c r="AX1035" s="68"/>
      <c r="AY1035" s="68"/>
    </row>
    <row r="1036" spans="1:52" ht="12.9" customHeight="1">
      <c r="A1036" s="14"/>
      <c r="B1036" s="73"/>
      <c r="C1036" s="74"/>
      <c r="D1036" s="1348"/>
      <c r="E1036" s="1349"/>
      <c r="F1036" s="1349"/>
      <c r="G1036" s="1349"/>
      <c r="H1036" s="1349"/>
      <c r="I1036" s="1349"/>
      <c r="J1036" s="1349"/>
      <c r="K1036" s="1349"/>
      <c r="L1036" s="1349"/>
      <c r="M1036" s="1349"/>
      <c r="N1036" s="1349"/>
      <c r="O1036" s="1349"/>
      <c r="P1036" s="1349"/>
      <c r="Q1036" s="1349"/>
      <c r="R1036" s="1349"/>
      <c r="S1036" s="1349"/>
      <c r="T1036" s="1349"/>
      <c r="U1036" s="1349"/>
      <c r="V1036" s="1349"/>
      <c r="W1036" s="1349"/>
      <c r="X1036" s="1349"/>
      <c r="Y1036" s="1349"/>
      <c r="Z1036" s="1349"/>
      <c r="AA1036" s="1349"/>
      <c r="AB1036" s="1349"/>
      <c r="AC1036" s="1349"/>
      <c r="AD1036" s="1349"/>
      <c r="AE1036" s="1350"/>
      <c r="AF1036" s="1559">
        <v>1176016</v>
      </c>
      <c r="AG1036" s="1559"/>
      <c r="AH1036" s="1559"/>
      <c r="AI1036" s="1559"/>
      <c r="AJ1036" s="1316"/>
      <c r="AK1036" s="1317"/>
      <c r="AL1036" s="1317"/>
      <c r="AM1036" s="1317"/>
      <c r="AN1036" s="1317"/>
      <c r="AO1036" s="1317"/>
      <c r="AP1036" s="1317"/>
      <c r="AQ1036" s="1318"/>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338"/>
      <c r="E1037" s="1339"/>
      <c r="F1037" s="1339"/>
      <c r="G1037" s="1339"/>
      <c r="H1037" s="1339"/>
      <c r="I1037" s="1339"/>
      <c r="J1037" s="1339"/>
      <c r="K1037" s="1339"/>
      <c r="L1037" s="1339"/>
      <c r="M1037" s="1339"/>
      <c r="N1037" s="1339"/>
      <c r="O1037" s="1339"/>
      <c r="P1037" s="1339"/>
      <c r="Q1037" s="1339"/>
      <c r="R1037" s="1339"/>
      <c r="S1037" s="1339"/>
      <c r="T1037" s="1339"/>
      <c r="U1037" s="1339"/>
      <c r="V1037" s="1339"/>
      <c r="W1037" s="1339"/>
      <c r="X1037" s="1339"/>
      <c r="Y1037" s="1339"/>
      <c r="Z1037" s="1339"/>
      <c r="AA1037" s="1339"/>
      <c r="AB1037" s="1339"/>
      <c r="AC1037" s="1339"/>
      <c r="AD1037" s="1339"/>
      <c r="AE1037" s="1340"/>
      <c r="AF1037" s="1559"/>
      <c r="AG1037" s="1559"/>
      <c r="AH1037" s="1559"/>
      <c r="AI1037" s="1559"/>
      <c r="AJ1037" s="1319"/>
      <c r="AK1037" s="1320"/>
      <c r="AL1037" s="1320"/>
      <c r="AM1037" s="1320"/>
      <c r="AN1037" s="1320"/>
      <c r="AO1037" s="1320"/>
      <c r="AP1037" s="1320"/>
      <c r="AQ1037" s="1321"/>
      <c r="AR1037" s="68"/>
      <c r="AS1037" s="68"/>
      <c r="AT1037" s="68"/>
      <c r="AU1037" s="68"/>
      <c r="AV1037" s="68"/>
      <c r="AW1037" s="68"/>
      <c r="AX1037" s="68"/>
      <c r="AY1037" s="68"/>
    </row>
    <row r="1038" spans="1:52" ht="12.9" customHeight="1">
      <c r="A1038" s="14"/>
      <c r="B1038" s="79"/>
      <c r="C1038" s="80" t="s">
        <v>234</v>
      </c>
      <c r="D1038" s="1538" t="s">
        <v>1293</v>
      </c>
      <c r="E1038" s="1539"/>
      <c r="F1038" s="1539"/>
      <c r="G1038" s="1539"/>
      <c r="H1038" s="1539"/>
      <c r="I1038" s="1539"/>
      <c r="J1038" s="1539"/>
      <c r="K1038" s="1539"/>
      <c r="L1038" s="1539"/>
      <c r="M1038" s="1539"/>
      <c r="N1038" s="1539"/>
      <c r="O1038" s="1539"/>
      <c r="P1038" s="1539"/>
      <c r="Q1038" s="1539"/>
      <c r="R1038" s="1539"/>
      <c r="S1038" s="1539"/>
      <c r="T1038" s="1539"/>
      <c r="U1038" s="1539"/>
      <c r="V1038" s="1539"/>
      <c r="W1038" s="1539"/>
      <c r="X1038" s="1539"/>
      <c r="Y1038" s="1539"/>
      <c r="Z1038" s="1539"/>
      <c r="AA1038" s="1539"/>
      <c r="AB1038" s="1539"/>
      <c r="AC1038" s="1539"/>
      <c r="AD1038" s="1539"/>
      <c r="AE1038" s="1540"/>
      <c r="AF1038" s="79"/>
      <c r="AG1038" s="1563" t="s">
        <v>545</v>
      </c>
      <c r="AH1038" s="1358"/>
      <c r="AI1038" s="87"/>
      <c r="AJ1038" s="1313">
        <f>ROUND(IF(AG1038="yes",(AJ1001*0.1),0),0)</f>
        <v>8547473</v>
      </c>
      <c r="AK1038" s="1314"/>
      <c r="AL1038" s="1314"/>
      <c r="AM1038" s="1314"/>
      <c r="AN1038" s="1314"/>
      <c r="AO1038" s="1314"/>
      <c r="AP1038" s="1314"/>
      <c r="AQ1038" s="1315"/>
      <c r="AR1038" s="68"/>
      <c r="AS1038" s="68"/>
      <c r="AT1038" s="68"/>
      <c r="AU1038" s="68"/>
      <c r="AV1038" s="68"/>
      <c r="AW1038" s="68"/>
      <c r="AX1038" s="68"/>
      <c r="AY1038" s="68"/>
    </row>
    <row r="1039" spans="1:52" ht="12.9" customHeight="1">
      <c r="A1039" s="14"/>
      <c r="B1039" s="73"/>
      <c r="C1039" s="74"/>
      <c r="D1039" s="1348" t="s">
        <v>1294</v>
      </c>
      <c r="E1039" s="1349"/>
      <c r="F1039" s="1349"/>
      <c r="G1039" s="1349"/>
      <c r="H1039" s="1349"/>
      <c r="I1039" s="1349"/>
      <c r="J1039" s="1349"/>
      <c r="K1039" s="1349"/>
      <c r="L1039" s="1349"/>
      <c r="M1039" s="1349"/>
      <c r="N1039" s="1349"/>
      <c r="O1039" s="1349"/>
      <c r="P1039" s="1349"/>
      <c r="Q1039" s="1349"/>
      <c r="R1039" s="1349"/>
      <c r="S1039" s="1349"/>
      <c r="T1039" s="1349"/>
      <c r="U1039" s="1349"/>
      <c r="V1039" s="1349"/>
      <c r="W1039" s="1349"/>
      <c r="X1039" s="1349"/>
      <c r="Y1039" s="1349"/>
      <c r="Z1039" s="1349"/>
      <c r="AA1039" s="1349"/>
      <c r="AB1039" s="1349"/>
      <c r="AC1039" s="1349"/>
      <c r="AD1039" s="1349"/>
      <c r="AE1039" s="1350"/>
      <c r="AF1039" s="73"/>
      <c r="AG1039" s="14"/>
      <c r="AH1039" s="14"/>
      <c r="AI1039" s="83"/>
      <c r="AJ1039" s="1316"/>
      <c r="AK1039" s="1317"/>
      <c r="AL1039" s="1317"/>
      <c r="AM1039" s="1317"/>
      <c r="AN1039" s="1317"/>
      <c r="AO1039" s="1317"/>
      <c r="AP1039" s="1317"/>
      <c r="AQ1039" s="1318"/>
      <c r="AR1039" s="68"/>
      <c r="AS1039" s="68"/>
      <c r="AT1039" s="68"/>
      <c r="AU1039" s="68"/>
      <c r="AV1039" s="68"/>
      <c r="AW1039" s="68"/>
      <c r="AX1039" s="68"/>
      <c r="AY1039" s="68"/>
    </row>
    <row r="1040" spans="1:52" ht="12.9" customHeight="1">
      <c r="A1040" s="14"/>
      <c r="B1040" s="77"/>
      <c r="C1040" s="74"/>
      <c r="D1040" s="1338"/>
      <c r="E1040" s="1339"/>
      <c r="F1040" s="1339"/>
      <c r="G1040" s="1339"/>
      <c r="H1040" s="1339"/>
      <c r="I1040" s="1339"/>
      <c r="J1040" s="1339"/>
      <c r="K1040" s="1339"/>
      <c r="L1040" s="1339"/>
      <c r="M1040" s="1339"/>
      <c r="N1040" s="1339"/>
      <c r="O1040" s="1339"/>
      <c r="P1040" s="1339"/>
      <c r="Q1040" s="1339"/>
      <c r="R1040" s="1339"/>
      <c r="S1040" s="1339"/>
      <c r="T1040" s="1339"/>
      <c r="U1040" s="1339"/>
      <c r="V1040" s="1339"/>
      <c r="W1040" s="1339"/>
      <c r="X1040" s="1339"/>
      <c r="Y1040" s="1339"/>
      <c r="Z1040" s="1339"/>
      <c r="AA1040" s="1339"/>
      <c r="AB1040" s="1339"/>
      <c r="AC1040" s="1339"/>
      <c r="AD1040" s="1339"/>
      <c r="AE1040" s="1340"/>
      <c r="AF1040" s="73"/>
      <c r="AG1040" s="14"/>
      <c r="AH1040" s="14"/>
      <c r="AI1040" s="83"/>
      <c r="AJ1040" s="1319"/>
      <c r="AK1040" s="1320"/>
      <c r="AL1040" s="1320"/>
      <c r="AM1040" s="1320"/>
      <c r="AN1040" s="1320"/>
      <c r="AO1040" s="1320"/>
      <c r="AP1040" s="1320"/>
      <c r="AQ1040" s="1321"/>
      <c r="AR1040" s="68"/>
      <c r="AS1040" s="68"/>
      <c r="AT1040" s="68"/>
      <c r="AU1040" s="68"/>
      <c r="AV1040" s="68"/>
      <c r="AW1040" s="68"/>
      <c r="AX1040" s="68"/>
      <c r="AY1040" s="68"/>
    </row>
    <row r="1041" spans="1:57" ht="12.9" customHeight="1">
      <c r="A1041" s="14"/>
      <c r="B1041" s="73"/>
      <c r="C1041" s="336" t="s">
        <v>687</v>
      </c>
      <c r="D1041" s="1305" t="s">
        <v>1674</v>
      </c>
      <c r="E1041" s="1306"/>
      <c r="F1041" s="1306"/>
      <c r="G1041" s="1306"/>
      <c r="H1041" s="1306"/>
      <c r="I1041" s="1306"/>
      <c r="J1041" s="1306"/>
      <c r="K1041" s="1306"/>
      <c r="L1041" s="1306"/>
      <c r="M1041" s="1306"/>
      <c r="N1041" s="1306"/>
      <c r="O1041" s="1306"/>
      <c r="P1041" s="1306"/>
      <c r="Q1041" s="1306"/>
      <c r="R1041" s="1306"/>
      <c r="S1041" s="1306"/>
      <c r="T1041" s="1306"/>
      <c r="U1041" s="1306"/>
      <c r="V1041" s="1306"/>
      <c r="W1041" s="1306"/>
      <c r="X1041" s="1306"/>
      <c r="Y1041" s="1306"/>
      <c r="Z1041" s="1306"/>
      <c r="AA1041" s="1306"/>
      <c r="AB1041" s="1306"/>
      <c r="AC1041" s="1306"/>
      <c r="AD1041" s="1306"/>
      <c r="AE1041" s="1307"/>
      <c r="AF1041" s="79"/>
      <c r="AG1041" s="1563" t="s">
        <v>669</v>
      </c>
      <c r="AH1041" s="1358"/>
      <c r="AI1041" s="87"/>
      <c r="AJ1041" s="1313">
        <f>ROUND(IF(AG1041="yes",(AJ1001*0.15),0),0)</f>
        <v>0</v>
      </c>
      <c r="AK1041" s="1314"/>
      <c r="AL1041" s="1314"/>
      <c r="AM1041" s="1314"/>
      <c r="AN1041" s="1314"/>
      <c r="AO1041" s="1314"/>
      <c r="AP1041" s="1314"/>
      <c r="AQ1041" s="1315"/>
      <c r="AR1041" s="68"/>
      <c r="AS1041" s="68"/>
      <c r="AT1041" s="68"/>
      <c r="AU1041" s="68"/>
      <c r="AV1041" s="68"/>
      <c r="AW1041" s="68"/>
      <c r="AX1041" s="68"/>
      <c r="AY1041" s="68"/>
    </row>
    <row r="1042" spans="1:57" ht="12.9" customHeight="1">
      <c r="A1042" s="14"/>
      <c r="B1042" s="73"/>
      <c r="C1042" s="74"/>
      <c r="D1042" s="1571" t="s">
        <v>1675</v>
      </c>
      <c r="E1042" s="1325"/>
      <c r="F1042" s="1325"/>
      <c r="G1042" s="1325"/>
      <c r="H1042" s="1325"/>
      <c r="I1042" s="1325"/>
      <c r="J1042" s="1325"/>
      <c r="K1042" s="1325"/>
      <c r="L1042" s="1325"/>
      <c r="M1042" s="1325"/>
      <c r="N1042" s="1325"/>
      <c r="O1042" s="1325"/>
      <c r="P1042" s="1325"/>
      <c r="Q1042" s="1325"/>
      <c r="R1042" s="1325"/>
      <c r="S1042" s="1325"/>
      <c r="T1042" s="1325"/>
      <c r="U1042" s="1325"/>
      <c r="V1042" s="1325"/>
      <c r="W1042" s="1325"/>
      <c r="X1042" s="1325"/>
      <c r="Y1042" s="1325"/>
      <c r="Z1042" s="1325"/>
      <c r="AA1042" s="1325"/>
      <c r="AB1042" s="1325"/>
      <c r="AC1042" s="1325"/>
      <c r="AD1042" s="1325"/>
      <c r="AE1042" s="1572"/>
      <c r="AF1042" s="906"/>
      <c r="AG1042" s="907"/>
      <c r="AH1042" s="907"/>
      <c r="AI1042" s="908"/>
      <c r="AJ1042" s="1316"/>
      <c r="AK1042" s="1317"/>
      <c r="AL1042" s="1317"/>
      <c r="AM1042" s="1317"/>
      <c r="AN1042" s="1317"/>
      <c r="AO1042" s="1317"/>
      <c r="AP1042" s="1317"/>
      <c r="AQ1042" s="1318"/>
      <c r="AR1042" s="68"/>
      <c r="AS1042" s="68"/>
      <c r="AT1042" s="68"/>
      <c r="AU1042" s="68"/>
      <c r="AV1042" s="68"/>
      <c r="AW1042" s="68"/>
      <c r="AX1042" s="68"/>
      <c r="AY1042" s="68"/>
    </row>
    <row r="1043" spans="1:57" ht="12.9" customHeight="1">
      <c r="A1043" s="14"/>
      <c r="B1043" s="73"/>
      <c r="C1043" s="74"/>
      <c r="D1043" s="1571"/>
      <c r="E1043" s="1325"/>
      <c r="F1043" s="1325"/>
      <c r="G1043" s="1325"/>
      <c r="H1043" s="1325"/>
      <c r="I1043" s="1325"/>
      <c r="J1043" s="1325"/>
      <c r="K1043" s="1325"/>
      <c r="L1043" s="1325"/>
      <c r="M1043" s="1325"/>
      <c r="N1043" s="1325"/>
      <c r="O1043" s="1325"/>
      <c r="P1043" s="1325"/>
      <c r="Q1043" s="1325"/>
      <c r="R1043" s="1325"/>
      <c r="S1043" s="1325"/>
      <c r="T1043" s="1325"/>
      <c r="U1043" s="1325"/>
      <c r="V1043" s="1325"/>
      <c r="W1043" s="1325"/>
      <c r="X1043" s="1325"/>
      <c r="Y1043" s="1325"/>
      <c r="Z1043" s="1325"/>
      <c r="AA1043" s="1325"/>
      <c r="AB1043" s="1325"/>
      <c r="AC1043" s="1325"/>
      <c r="AD1043" s="1325"/>
      <c r="AE1043" s="1572"/>
      <c r="AF1043" s="906"/>
      <c r="AG1043" s="907"/>
      <c r="AH1043" s="907"/>
      <c r="AI1043" s="908"/>
      <c r="AJ1043" s="1316"/>
      <c r="AK1043" s="1317"/>
      <c r="AL1043" s="1317"/>
      <c r="AM1043" s="1317"/>
      <c r="AN1043" s="1317"/>
      <c r="AO1043" s="1317"/>
      <c r="AP1043" s="1317"/>
      <c r="AQ1043" s="1318"/>
      <c r="AR1043" s="68"/>
      <c r="AS1043" s="68"/>
      <c r="AT1043" s="68"/>
      <c r="AU1043" s="68"/>
      <c r="AV1043" s="68"/>
      <c r="AW1043" s="68"/>
      <c r="AX1043" s="68"/>
      <c r="AY1043" s="68"/>
    </row>
    <row r="1044" spans="1:57" ht="12.9" customHeight="1">
      <c r="A1044" s="14"/>
      <c r="B1044" s="73"/>
      <c r="C1044" s="74"/>
      <c r="D1044" s="1573"/>
      <c r="E1044" s="1574"/>
      <c r="F1044" s="1574"/>
      <c r="G1044" s="1574"/>
      <c r="H1044" s="1574"/>
      <c r="I1044" s="1574"/>
      <c r="J1044" s="1574"/>
      <c r="K1044" s="1574"/>
      <c r="L1044" s="1574"/>
      <c r="M1044" s="1574"/>
      <c r="N1044" s="1574"/>
      <c r="O1044" s="1574"/>
      <c r="P1044" s="1574"/>
      <c r="Q1044" s="1574"/>
      <c r="R1044" s="1574"/>
      <c r="S1044" s="1574"/>
      <c r="T1044" s="1574"/>
      <c r="U1044" s="1574"/>
      <c r="V1044" s="1574"/>
      <c r="W1044" s="1574"/>
      <c r="X1044" s="1574"/>
      <c r="Y1044" s="1574"/>
      <c r="Z1044" s="1574"/>
      <c r="AA1044" s="1574"/>
      <c r="AB1044" s="1574"/>
      <c r="AC1044" s="1574"/>
      <c r="AD1044" s="1574"/>
      <c r="AE1044" s="1575"/>
      <c r="AF1044" s="909"/>
      <c r="AG1044" s="910"/>
      <c r="AH1044" s="910"/>
      <c r="AI1044" s="911"/>
      <c r="AJ1044" s="1319"/>
      <c r="AK1044" s="1320"/>
      <c r="AL1044" s="1320"/>
      <c r="AM1044" s="1320"/>
      <c r="AN1044" s="1320"/>
      <c r="AO1044" s="1320"/>
      <c r="AP1044" s="1320"/>
      <c r="AQ1044" s="1321"/>
      <c r="AR1044" s="68"/>
      <c r="AS1044" s="68"/>
      <c r="AT1044" s="68"/>
      <c r="AU1044" s="68"/>
      <c r="AV1044" s="68"/>
      <c r="AW1044" s="68"/>
      <c r="AX1044" s="68"/>
      <c r="AY1044" s="68"/>
    </row>
    <row r="1045" spans="1:57" ht="12.9" customHeight="1">
      <c r="A1045" s="14"/>
      <c r="B1045" s="73"/>
      <c r="C1045" s="336" t="s">
        <v>687</v>
      </c>
      <c r="D1045" s="1538" t="s">
        <v>1676</v>
      </c>
      <c r="E1045" s="1539"/>
      <c r="F1045" s="1539"/>
      <c r="G1045" s="1539"/>
      <c r="H1045" s="1539"/>
      <c r="I1045" s="1539"/>
      <c r="J1045" s="1539"/>
      <c r="K1045" s="1539"/>
      <c r="L1045" s="1539"/>
      <c r="M1045" s="1539"/>
      <c r="N1045" s="1539"/>
      <c r="O1045" s="1539"/>
      <c r="P1045" s="1539"/>
      <c r="Q1045" s="1539"/>
      <c r="R1045" s="1539"/>
      <c r="S1045" s="1539"/>
      <c r="T1045" s="1539"/>
      <c r="U1045" s="1539"/>
      <c r="V1045" s="1539"/>
      <c r="W1045" s="1539"/>
      <c r="X1045" s="1539"/>
      <c r="Y1045" s="1539"/>
      <c r="Z1045" s="1539"/>
      <c r="AA1045" s="1539"/>
      <c r="AB1045" s="1539"/>
      <c r="AC1045" s="1539"/>
      <c r="AD1045" s="1539"/>
      <c r="AE1045" s="1540"/>
      <c r="AF1045" s="73"/>
      <c r="AG1045" s="1576" t="s">
        <v>669</v>
      </c>
      <c r="AH1045" s="1577"/>
      <c r="AI1045" s="83"/>
      <c r="AJ1045" s="1313">
        <f>ROUND(IF(AND(AG1045="yes",AJ1041=0),(AJ1001*0.1),0),0)</f>
        <v>0</v>
      </c>
      <c r="AK1045" s="1314"/>
      <c r="AL1045" s="1314"/>
      <c r="AM1045" s="1314"/>
      <c r="AN1045" s="1314"/>
      <c r="AO1045" s="1314"/>
      <c r="AP1045" s="1314"/>
      <c r="AQ1045" s="1315"/>
      <c r="AR1045" s="68"/>
      <c r="AS1045" s="68"/>
      <c r="AT1045" s="68"/>
      <c r="AU1045" s="68"/>
      <c r="AV1045" s="68"/>
      <c r="AW1045" s="68"/>
      <c r="AX1045" s="68"/>
      <c r="AY1045" s="68"/>
    </row>
    <row r="1046" spans="1:57" ht="12.9" customHeight="1">
      <c r="A1046" s="14"/>
      <c r="B1046" s="73"/>
      <c r="C1046" s="74"/>
      <c r="D1046" s="1571" t="s">
        <v>1677</v>
      </c>
      <c r="E1046" s="1325"/>
      <c r="F1046" s="1325"/>
      <c r="G1046" s="1325"/>
      <c r="H1046" s="1325"/>
      <c r="I1046" s="1325"/>
      <c r="J1046" s="1325"/>
      <c r="K1046" s="1325"/>
      <c r="L1046" s="1325"/>
      <c r="M1046" s="1325"/>
      <c r="N1046" s="1325"/>
      <c r="O1046" s="1325"/>
      <c r="P1046" s="1325"/>
      <c r="Q1046" s="1325"/>
      <c r="R1046" s="1325"/>
      <c r="S1046" s="1325"/>
      <c r="T1046" s="1325"/>
      <c r="U1046" s="1325"/>
      <c r="V1046" s="1325"/>
      <c r="W1046" s="1325"/>
      <c r="X1046" s="1325"/>
      <c r="Y1046" s="1325"/>
      <c r="Z1046" s="1325"/>
      <c r="AA1046" s="1325"/>
      <c r="AB1046" s="1325"/>
      <c r="AC1046" s="1325"/>
      <c r="AD1046" s="1325"/>
      <c r="AE1046" s="1572"/>
      <c r="AF1046" s="73"/>
      <c r="AG1046" s="14"/>
      <c r="AH1046" s="14"/>
      <c r="AI1046" s="83"/>
      <c r="AJ1046" s="1316"/>
      <c r="AK1046" s="1317"/>
      <c r="AL1046" s="1317"/>
      <c r="AM1046" s="1317"/>
      <c r="AN1046" s="1317"/>
      <c r="AO1046" s="1317"/>
      <c r="AP1046" s="1317"/>
      <c r="AQ1046" s="1318"/>
      <c r="AR1046" s="68"/>
      <c r="AS1046" s="68"/>
      <c r="AT1046" s="68"/>
      <c r="AU1046" s="68"/>
      <c r="AV1046" s="68"/>
      <c r="AW1046" s="68"/>
      <c r="AX1046" s="68"/>
      <c r="AY1046" s="68"/>
    </row>
    <row r="1047" spans="1:57" ht="12.9" customHeight="1">
      <c r="A1047" s="14"/>
      <c r="B1047" s="73"/>
      <c r="C1047" s="74"/>
      <c r="D1047" s="1571"/>
      <c r="E1047" s="1325"/>
      <c r="F1047" s="1325"/>
      <c r="G1047" s="1325"/>
      <c r="H1047" s="1325"/>
      <c r="I1047" s="1325"/>
      <c r="J1047" s="1325"/>
      <c r="K1047" s="1325"/>
      <c r="L1047" s="1325"/>
      <c r="M1047" s="1325"/>
      <c r="N1047" s="1325"/>
      <c r="O1047" s="1325"/>
      <c r="P1047" s="1325"/>
      <c r="Q1047" s="1325"/>
      <c r="R1047" s="1325"/>
      <c r="S1047" s="1325"/>
      <c r="T1047" s="1325"/>
      <c r="U1047" s="1325"/>
      <c r="V1047" s="1325"/>
      <c r="W1047" s="1325"/>
      <c r="X1047" s="1325"/>
      <c r="Y1047" s="1325"/>
      <c r="Z1047" s="1325"/>
      <c r="AA1047" s="1325"/>
      <c r="AB1047" s="1325"/>
      <c r="AC1047" s="1325"/>
      <c r="AD1047" s="1325"/>
      <c r="AE1047" s="1572"/>
      <c r="AF1047" s="73"/>
      <c r="AG1047" s="14"/>
      <c r="AH1047" s="14"/>
      <c r="AI1047" s="83"/>
      <c r="AJ1047" s="1316"/>
      <c r="AK1047" s="1317"/>
      <c r="AL1047" s="1317"/>
      <c r="AM1047" s="1317"/>
      <c r="AN1047" s="1317"/>
      <c r="AO1047" s="1317"/>
      <c r="AP1047" s="1317"/>
      <c r="AQ1047" s="1318"/>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 customHeight="1">
      <c r="A1048" s="14"/>
      <c r="B1048" s="73"/>
      <c r="C1048" s="74"/>
      <c r="D1048" s="1571"/>
      <c r="E1048" s="1325"/>
      <c r="F1048" s="1325"/>
      <c r="G1048" s="1325"/>
      <c r="H1048" s="1325"/>
      <c r="I1048" s="1325"/>
      <c r="J1048" s="1325"/>
      <c r="K1048" s="1325"/>
      <c r="L1048" s="1325"/>
      <c r="M1048" s="1325"/>
      <c r="N1048" s="1325"/>
      <c r="O1048" s="1325"/>
      <c r="P1048" s="1325"/>
      <c r="Q1048" s="1325"/>
      <c r="R1048" s="1325"/>
      <c r="S1048" s="1325"/>
      <c r="T1048" s="1325"/>
      <c r="U1048" s="1325"/>
      <c r="V1048" s="1325"/>
      <c r="W1048" s="1325"/>
      <c r="X1048" s="1325"/>
      <c r="Y1048" s="1325"/>
      <c r="Z1048" s="1325"/>
      <c r="AA1048" s="1325"/>
      <c r="AB1048" s="1325"/>
      <c r="AC1048" s="1325"/>
      <c r="AD1048" s="1325"/>
      <c r="AE1048" s="1572"/>
      <c r="AF1048" s="73"/>
      <c r="AG1048" s="14"/>
      <c r="AH1048" s="14"/>
      <c r="AI1048" s="83"/>
      <c r="AJ1048" s="1316"/>
      <c r="AK1048" s="1317"/>
      <c r="AL1048" s="1317"/>
      <c r="AM1048" s="1317"/>
      <c r="AN1048" s="1317"/>
      <c r="AO1048" s="1317"/>
      <c r="AP1048" s="1317"/>
      <c r="AQ1048" s="1318"/>
      <c r="AR1048" s="68"/>
      <c r="AS1048" s="68"/>
      <c r="AT1048" s="68"/>
      <c r="AU1048" s="68"/>
      <c r="AV1048" s="68"/>
      <c r="AW1048" s="68"/>
      <c r="AX1048" s="68"/>
      <c r="AY1048" s="68"/>
      <c r="BA1048">
        <f>IFERROR((($CI$761+$CM$761)/$AG$449),0)</f>
        <v>0.23076923076923078</v>
      </c>
      <c r="BB1048" s="3" t="s">
        <v>2417</v>
      </c>
    </row>
    <row r="1049" spans="1:57" ht="12.9" customHeight="1">
      <c r="A1049" s="14"/>
      <c r="B1049" s="73"/>
      <c r="C1049" s="74"/>
      <c r="D1049" s="1573"/>
      <c r="E1049" s="1574"/>
      <c r="F1049" s="1574"/>
      <c r="G1049" s="1574"/>
      <c r="H1049" s="1574"/>
      <c r="I1049" s="1574"/>
      <c r="J1049" s="1574"/>
      <c r="K1049" s="1574"/>
      <c r="L1049" s="1574"/>
      <c r="M1049" s="1574"/>
      <c r="N1049" s="1574"/>
      <c r="O1049" s="1574"/>
      <c r="P1049" s="1574"/>
      <c r="Q1049" s="1574"/>
      <c r="R1049" s="1574"/>
      <c r="S1049" s="1574"/>
      <c r="T1049" s="1574"/>
      <c r="U1049" s="1574"/>
      <c r="V1049" s="1574"/>
      <c r="W1049" s="1574"/>
      <c r="X1049" s="1574"/>
      <c r="Y1049" s="1574"/>
      <c r="Z1049" s="1574"/>
      <c r="AA1049" s="1574"/>
      <c r="AB1049" s="1574"/>
      <c r="AC1049" s="1574"/>
      <c r="AD1049" s="1574"/>
      <c r="AE1049" s="1575"/>
      <c r="AF1049" s="73"/>
      <c r="AG1049" s="14"/>
      <c r="AH1049" s="14"/>
      <c r="AI1049" s="83"/>
      <c r="AJ1049" s="1316"/>
      <c r="AK1049" s="1317"/>
      <c r="AL1049" s="1317"/>
      <c r="AM1049" s="1317"/>
      <c r="AN1049" s="1317"/>
      <c r="AO1049" s="1317"/>
      <c r="AP1049" s="1317"/>
      <c r="AQ1049" s="1318"/>
      <c r="AR1049" s="68"/>
      <c r="AS1049" s="68"/>
      <c r="AT1049" s="68"/>
      <c r="AU1049" s="68"/>
      <c r="AV1049" s="68"/>
      <c r="AW1049" s="68"/>
      <c r="AX1049" s="68"/>
      <c r="AY1049" s="68"/>
      <c r="BA1049" t="b">
        <f>'Points System'!AJ163="Yes"</f>
        <v>0</v>
      </c>
      <c r="BB1049" s="3" t="s">
        <v>2414</v>
      </c>
    </row>
    <row r="1050" spans="1:57" ht="12.9" customHeight="1">
      <c r="A1050" s="14"/>
      <c r="B1050" s="79"/>
      <c r="C1050" s="131" t="s">
        <v>1010</v>
      </c>
      <c r="D1050" s="1305" t="s">
        <v>1295</v>
      </c>
      <c r="E1050" s="1306"/>
      <c r="F1050" s="1306"/>
      <c r="G1050" s="1306"/>
      <c r="H1050" s="1306"/>
      <c r="I1050" s="1306"/>
      <c r="J1050" s="1306"/>
      <c r="K1050" s="1306"/>
      <c r="L1050" s="1306"/>
      <c r="M1050" s="1306"/>
      <c r="N1050" s="1306"/>
      <c r="O1050" s="1306"/>
      <c r="P1050" s="1306"/>
      <c r="Q1050" s="1306"/>
      <c r="R1050" s="1306"/>
      <c r="S1050" s="1306"/>
      <c r="T1050" s="1306"/>
      <c r="U1050" s="1306"/>
      <c r="V1050" s="1306"/>
      <c r="W1050" s="1306"/>
      <c r="X1050" s="1306"/>
      <c r="Y1050" s="1306"/>
      <c r="Z1050" s="1306"/>
      <c r="AA1050" s="1306"/>
      <c r="AB1050" s="1306"/>
      <c r="AC1050" s="1306"/>
      <c r="AD1050" s="1306"/>
      <c r="AE1050" s="1307"/>
      <c r="AF1050" s="79"/>
      <c r="AG1050" s="1563" t="s">
        <v>669</v>
      </c>
      <c r="AH1050" s="1358"/>
      <c r="AI1050" s="87"/>
      <c r="AJ1050" s="1313">
        <f>ROUND(IF(AG1050="yes",(AJ1001*0.1),0),0)</f>
        <v>0</v>
      </c>
      <c r="AK1050" s="1314"/>
      <c r="AL1050" s="1314"/>
      <c r="AM1050" s="1314"/>
      <c r="AN1050" s="1314"/>
      <c r="AO1050" s="1314"/>
      <c r="AP1050" s="1314"/>
      <c r="AQ1050" s="1315"/>
      <c r="AR1050" s="68"/>
      <c r="AS1050" s="68"/>
      <c r="AT1050" s="68"/>
      <c r="AU1050" s="68"/>
      <c r="AV1050" s="68"/>
      <c r="AW1050" s="68"/>
      <c r="AX1050" s="68"/>
      <c r="AY1050" s="68"/>
      <c r="BA1050">
        <f>Q212</f>
        <v>0</v>
      </c>
      <c r="BB1050" s="3" t="s">
        <v>2415</v>
      </c>
    </row>
    <row r="1051" spans="1:57" ht="12.9" customHeight="1">
      <c r="A1051" s="14"/>
      <c r="B1051" s="73"/>
      <c r="C1051" s="74"/>
      <c r="D1051" s="1348" t="s">
        <v>2093</v>
      </c>
      <c r="E1051" s="1349"/>
      <c r="F1051" s="1349"/>
      <c r="G1051" s="1349"/>
      <c r="H1051" s="1349"/>
      <c r="I1051" s="1349"/>
      <c r="J1051" s="1349"/>
      <c r="K1051" s="1349"/>
      <c r="L1051" s="1349"/>
      <c r="M1051" s="1349"/>
      <c r="N1051" s="1349"/>
      <c r="O1051" s="1349"/>
      <c r="P1051" s="1349"/>
      <c r="Q1051" s="1349"/>
      <c r="R1051" s="1349"/>
      <c r="S1051" s="1349"/>
      <c r="T1051" s="1349"/>
      <c r="U1051" s="1349"/>
      <c r="V1051" s="1349"/>
      <c r="W1051" s="1349"/>
      <c r="X1051" s="1349"/>
      <c r="Y1051" s="1349"/>
      <c r="Z1051" s="1349"/>
      <c r="AA1051" s="1349"/>
      <c r="AB1051" s="1349"/>
      <c r="AC1051" s="1349"/>
      <c r="AD1051" s="1349"/>
      <c r="AE1051" s="1350"/>
      <c r="AF1051" s="73"/>
      <c r="AG1051" s="14"/>
      <c r="AH1051" s="14"/>
      <c r="AI1051" s="83"/>
      <c r="AJ1051" s="1316"/>
      <c r="AK1051" s="1317"/>
      <c r="AL1051" s="1317"/>
      <c r="AM1051" s="1317"/>
      <c r="AN1051" s="1317"/>
      <c r="AO1051" s="1317"/>
      <c r="AP1051" s="1317"/>
      <c r="AQ1051" s="1318"/>
      <c r="AR1051" s="68"/>
      <c r="AS1051" s="68"/>
      <c r="AT1051" s="68"/>
      <c r="AU1051" s="68"/>
      <c r="AV1051" s="68"/>
      <c r="AW1051" s="68"/>
      <c r="AX1051" s="68"/>
      <c r="AY1051" s="68"/>
      <c r="BA1051" s="1172">
        <f>T212</f>
        <v>0</v>
      </c>
      <c r="BB1051" s="3" t="s">
        <v>2416</v>
      </c>
    </row>
    <row r="1052" spans="1:57" ht="12.9" customHeight="1">
      <c r="A1052" s="14"/>
      <c r="B1052" s="73"/>
      <c r="C1052" s="74"/>
      <c r="D1052" s="1348"/>
      <c r="E1052" s="1349"/>
      <c r="F1052" s="1349"/>
      <c r="G1052" s="1349"/>
      <c r="H1052" s="1349"/>
      <c r="I1052" s="1349"/>
      <c r="J1052" s="1349"/>
      <c r="K1052" s="1349"/>
      <c r="L1052" s="1349"/>
      <c r="M1052" s="1349"/>
      <c r="N1052" s="1349"/>
      <c r="O1052" s="1349"/>
      <c r="P1052" s="1349"/>
      <c r="Q1052" s="1349"/>
      <c r="R1052" s="1349"/>
      <c r="S1052" s="1349"/>
      <c r="T1052" s="1349"/>
      <c r="U1052" s="1349"/>
      <c r="V1052" s="1349"/>
      <c r="W1052" s="1349"/>
      <c r="X1052" s="1349"/>
      <c r="Y1052" s="1349"/>
      <c r="Z1052" s="1349"/>
      <c r="AA1052" s="1349"/>
      <c r="AB1052" s="1349"/>
      <c r="AC1052" s="1349"/>
      <c r="AD1052" s="1349"/>
      <c r="AE1052" s="1350"/>
      <c r="AF1052" s="73"/>
      <c r="AG1052" s="14"/>
      <c r="AH1052" s="14"/>
      <c r="AI1052" s="83"/>
      <c r="AJ1052" s="1316"/>
      <c r="AK1052" s="1317"/>
      <c r="AL1052" s="1317"/>
      <c r="AM1052" s="1317"/>
      <c r="AN1052" s="1317"/>
      <c r="AO1052" s="1317"/>
      <c r="AP1052" s="1317"/>
      <c r="AQ1052" s="1318"/>
      <c r="AR1052" s="68"/>
      <c r="AS1052" s="68"/>
      <c r="AT1052" s="68"/>
      <c r="AU1052" s="68"/>
      <c r="AV1052" s="68"/>
      <c r="AW1052" s="68"/>
      <c r="AX1052" s="68"/>
      <c r="AY1052" s="68"/>
    </row>
    <row r="1053" spans="1:57" ht="12.9" customHeight="1">
      <c r="A1053" s="14"/>
      <c r="B1053" s="73"/>
      <c r="C1053" s="74"/>
      <c r="D1053" s="1338"/>
      <c r="E1053" s="1339"/>
      <c r="F1053" s="1339"/>
      <c r="G1053" s="1339"/>
      <c r="H1053" s="1339"/>
      <c r="I1053" s="1339"/>
      <c r="J1053" s="1339"/>
      <c r="K1053" s="1339"/>
      <c r="L1053" s="1339"/>
      <c r="M1053" s="1339"/>
      <c r="N1053" s="1339"/>
      <c r="O1053" s="1339"/>
      <c r="P1053" s="1339"/>
      <c r="Q1053" s="1339"/>
      <c r="R1053" s="1339"/>
      <c r="S1053" s="1339"/>
      <c r="T1053" s="1339"/>
      <c r="U1053" s="1339"/>
      <c r="V1053" s="1339"/>
      <c r="W1053" s="1339"/>
      <c r="X1053" s="1339"/>
      <c r="Y1053" s="1339"/>
      <c r="Z1053" s="1339"/>
      <c r="AA1053" s="1339"/>
      <c r="AB1053" s="1339"/>
      <c r="AC1053" s="1339"/>
      <c r="AD1053" s="1339"/>
      <c r="AE1053" s="1340"/>
      <c r="AF1053" s="73"/>
      <c r="AG1053" s="14"/>
      <c r="AH1053" s="14"/>
      <c r="AI1053" s="83"/>
      <c r="AJ1053" s="1319"/>
      <c r="AK1053" s="1320"/>
      <c r="AL1053" s="1320"/>
      <c r="AM1053" s="1320"/>
      <c r="AN1053" s="1320"/>
      <c r="AO1053" s="1320"/>
      <c r="AP1053" s="1320"/>
      <c r="AQ1053" s="1321"/>
      <c r="AR1053" s="68"/>
      <c r="AS1053" s="68"/>
      <c r="AT1053" s="68"/>
      <c r="AU1053" s="68"/>
      <c r="AV1053" s="68"/>
      <c r="AW1053" s="68"/>
      <c r="AX1053" s="68"/>
      <c r="AY1053" s="68"/>
    </row>
    <row r="1054" spans="1:57" ht="12.9" customHeight="1">
      <c r="A1054" s="14"/>
      <c r="B1054" s="79"/>
      <c r="C1054" s="131" t="s">
        <v>1672</v>
      </c>
      <c r="D1054" s="1538" t="s">
        <v>1833</v>
      </c>
      <c r="E1054" s="1539"/>
      <c r="F1054" s="1539"/>
      <c r="G1054" s="1539"/>
      <c r="H1054" s="1539"/>
      <c r="I1054" s="1539"/>
      <c r="J1054" s="1539"/>
      <c r="K1054" s="1539"/>
      <c r="L1054" s="1539"/>
      <c r="M1054" s="1539"/>
      <c r="N1054" s="1539"/>
      <c r="O1054" s="1539"/>
      <c r="P1054" s="1539"/>
      <c r="Q1054" s="1539"/>
      <c r="R1054" s="1539"/>
      <c r="S1054" s="1539"/>
      <c r="T1054" s="1539"/>
      <c r="U1054" s="1539"/>
      <c r="V1054" s="1539"/>
      <c r="W1054" s="1539"/>
      <c r="X1054" s="1539"/>
      <c r="Y1054" s="1539"/>
      <c r="Z1054" s="1539"/>
      <c r="AA1054" s="1539"/>
      <c r="AB1054" s="1539"/>
      <c r="AC1054" s="1539"/>
      <c r="AD1054" s="1539"/>
      <c r="AE1054" s="1540"/>
      <c r="AF1054" s="79"/>
      <c r="AG1054" s="1355" t="str">
        <f>IF(X1057&gt;0,"Yes","No")</f>
        <v>Yes</v>
      </c>
      <c r="AH1054" s="1356"/>
      <c r="AI1054" s="87"/>
      <c r="AJ1054" s="1313">
        <f>IF((X1057=0),0,AY1014*AJ1001)</f>
        <v>10256967.84</v>
      </c>
      <c r="AK1054" s="1314"/>
      <c r="AL1054" s="1314"/>
      <c r="AM1054" s="1314"/>
      <c r="AN1054" s="1314"/>
      <c r="AO1054" s="1314"/>
      <c r="AP1054" s="1314"/>
      <c r="AQ1054" s="1315"/>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 customHeight="1">
      <c r="A1055" s="14"/>
      <c r="B1055" s="73"/>
      <c r="C1055" s="438"/>
      <c r="D1055" s="1348" t="s">
        <v>1297</v>
      </c>
      <c r="E1055" s="1349"/>
      <c r="F1055" s="1349"/>
      <c r="G1055" s="1349"/>
      <c r="H1055" s="1349"/>
      <c r="I1055" s="1349"/>
      <c r="J1055" s="1349"/>
      <c r="K1055" s="1349"/>
      <c r="L1055" s="1349"/>
      <c r="M1055" s="1349"/>
      <c r="N1055" s="1349"/>
      <c r="O1055" s="1349"/>
      <c r="P1055" s="1349"/>
      <c r="Q1055" s="1349"/>
      <c r="R1055" s="1349"/>
      <c r="S1055" s="1349"/>
      <c r="T1055" s="1349"/>
      <c r="U1055" s="1349"/>
      <c r="V1055" s="1349"/>
      <c r="W1055" s="1349"/>
      <c r="X1055" s="1349"/>
      <c r="Y1055" s="1349"/>
      <c r="Z1055" s="1349"/>
      <c r="AA1055" s="1349"/>
      <c r="AB1055" s="1349"/>
      <c r="AC1055" s="1349"/>
      <c r="AD1055" s="1349"/>
      <c r="AE1055" s="1350"/>
      <c r="AF1055" s="73"/>
      <c r="AG1055" s="439"/>
      <c r="AH1055" s="439"/>
      <c r="AI1055" s="83"/>
      <c r="AJ1055" s="1316"/>
      <c r="AK1055" s="1317"/>
      <c r="AL1055" s="1317"/>
      <c r="AM1055" s="1317"/>
      <c r="AN1055" s="1317"/>
      <c r="AO1055" s="1317"/>
      <c r="AP1055" s="1317"/>
      <c r="AQ1055" s="1318"/>
      <c r="AR1055" s="68"/>
      <c r="AS1055" s="68"/>
      <c r="AT1055" s="68"/>
      <c r="AU1055" s="13"/>
      <c r="AV1055" s="68"/>
      <c r="AW1055" s="68"/>
      <c r="AX1055" s="68"/>
      <c r="AY1055" s="68"/>
      <c r="AZ1055" s="953">
        <f>'Sources and Uses Budget'!S97*BA1055</f>
        <v>8890299.75</v>
      </c>
      <c r="BA1055" s="1170">
        <f>IF(BA1049,20%,15%)</f>
        <v>0.15</v>
      </c>
      <c r="BB1055" s="3" t="s">
        <v>2403</v>
      </c>
      <c r="BC1055" s="3" t="s">
        <v>2404</v>
      </c>
      <c r="BD1055" s="3"/>
    </row>
    <row r="1056" spans="1:57" ht="12.9" customHeight="1">
      <c r="A1056" s="14"/>
      <c r="B1056" s="73"/>
      <c r="C1056" s="438"/>
      <c r="D1056" s="1348"/>
      <c r="E1056" s="1349"/>
      <c r="F1056" s="1349"/>
      <c r="G1056" s="1349"/>
      <c r="H1056" s="1349"/>
      <c r="I1056" s="1349"/>
      <c r="J1056" s="1349"/>
      <c r="K1056" s="1349"/>
      <c r="L1056" s="1349"/>
      <c r="M1056" s="1349"/>
      <c r="N1056" s="1349"/>
      <c r="O1056" s="1349"/>
      <c r="P1056" s="1349"/>
      <c r="Q1056" s="1349"/>
      <c r="R1056" s="1349"/>
      <c r="S1056" s="1349"/>
      <c r="T1056" s="1349"/>
      <c r="U1056" s="1349"/>
      <c r="V1056" s="1349"/>
      <c r="W1056" s="1349"/>
      <c r="X1056" s="1349"/>
      <c r="Y1056" s="1349"/>
      <c r="Z1056" s="1349"/>
      <c r="AA1056" s="1349"/>
      <c r="AB1056" s="1349"/>
      <c r="AC1056" s="1349"/>
      <c r="AD1056" s="1349"/>
      <c r="AE1056" s="1350"/>
      <c r="AF1056" s="73"/>
      <c r="AG1056" s="439"/>
      <c r="AH1056" s="439"/>
      <c r="AI1056" s="83"/>
      <c r="AJ1056" s="1316"/>
      <c r="AK1056" s="1317"/>
      <c r="AL1056" s="1317"/>
      <c r="AM1056" s="1317"/>
      <c r="AN1056" s="1317"/>
      <c r="AO1056" s="1317"/>
      <c r="AP1056" s="1317"/>
      <c r="AQ1056" s="1318"/>
      <c r="AR1056" s="68"/>
      <c r="AS1056" s="68"/>
      <c r="AT1056" s="68"/>
      <c r="AU1056" s="13"/>
      <c r="AV1056" s="68"/>
      <c r="AW1056" s="68"/>
      <c r="AX1056" s="68"/>
      <c r="AY1056" s="68"/>
      <c r="AZ1056" s="953">
        <f>IF(M365="N/A",0,'Sources and Uses Budget'!T97*BA1056)</f>
        <v>3600000</v>
      </c>
      <c r="BA1056" s="1170">
        <v>0.15</v>
      </c>
      <c r="BB1056" s="3" t="s">
        <v>2403</v>
      </c>
      <c r="BC1056" s="3" t="s">
        <v>2405</v>
      </c>
      <c r="BD1056" s="3"/>
    </row>
    <row r="1057" spans="1:56" ht="12.9" customHeight="1">
      <c r="A1057" s="14"/>
      <c r="B1057" s="77"/>
      <c r="C1057" s="78"/>
      <c r="D1057" s="132" t="s">
        <v>972</v>
      </c>
      <c r="E1057" s="133"/>
      <c r="F1057" s="133"/>
      <c r="G1057" s="133"/>
      <c r="H1057" s="133"/>
      <c r="I1057" s="1353">
        <f>AY1012</f>
        <v>182</v>
      </c>
      <c r="J1057" s="1354"/>
      <c r="K1057" s="7"/>
      <c r="L1057" s="133"/>
      <c r="M1057" s="133"/>
      <c r="N1057" s="133"/>
      <c r="O1057" s="133"/>
      <c r="P1057" s="133"/>
      <c r="Q1057" s="133"/>
      <c r="R1057" s="133"/>
      <c r="S1057" s="133"/>
      <c r="T1057" s="133"/>
      <c r="U1057" s="133"/>
      <c r="V1057" s="134" t="s">
        <v>973</v>
      </c>
      <c r="W1057" s="48"/>
      <c r="X1057" s="1351">
        <f>CI761</f>
        <v>23</v>
      </c>
      <c r="Y1057" s="1352"/>
      <c r="Z1057" s="48"/>
      <c r="AA1057" s="48"/>
      <c r="AB1057" s="48"/>
      <c r="AC1057" s="48"/>
      <c r="AD1057" s="48"/>
      <c r="AE1057" s="49"/>
      <c r="AF1057" s="915"/>
      <c r="AG1057" s="916"/>
      <c r="AH1057" s="916"/>
      <c r="AI1057" s="917"/>
      <c r="AJ1057" s="1319"/>
      <c r="AK1057" s="1320"/>
      <c r="AL1057" s="1320"/>
      <c r="AM1057" s="1320"/>
      <c r="AN1057" s="1320"/>
      <c r="AO1057" s="1320"/>
      <c r="AP1057" s="1320"/>
      <c r="AQ1057" s="1321"/>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 customHeight="1">
      <c r="A1058" s="14"/>
      <c r="B1058" s="79"/>
      <c r="C1058" s="131" t="s">
        <v>1673</v>
      </c>
      <c r="D1058" s="1305" t="s">
        <v>2119</v>
      </c>
      <c r="E1058" s="1306"/>
      <c r="F1058" s="1306"/>
      <c r="G1058" s="1306"/>
      <c r="H1058" s="1306"/>
      <c r="I1058" s="1306"/>
      <c r="J1058" s="1306"/>
      <c r="K1058" s="1306"/>
      <c r="L1058" s="1306"/>
      <c r="M1058" s="1306"/>
      <c r="N1058" s="1306"/>
      <c r="O1058" s="1306"/>
      <c r="P1058" s="1306"/>
      <c r="Q1058" s="1306"/>
      <c r="R1058" s="1306"/>
      <c r="S1058" s="1306"/>
      <c r="T1058" s="1306"/>
      <c r="U1058" s="1306"/>
      <c r="V1058" s="1306"/>
      <c r="W1058" s="1306"/>
      <c r="X1058" s="1306"/>
      <c r="Y1058" s="1306"/>
      <c r="Z1058" s="1306"/>
      <c r="AA1058" s="1306"/>
      <c r="AB1058" s="1306"/>
      <c r="AC1058" s="1306"/>
      <c r="AD1058" s="1306"/>
      <c r="AE1058" s="1307"/>
      <c r="AF1058" s="73"/>
      <c r="AG1058" s="1355" t="str">
        <f>IF(X1061&gt;0,"Yes","No")</f>
        <v>Yes</v>
      </c>
      <c r="AH1058" s="1356"/>
      <c r="AI1058" s="83"/>
      <c r="AJ1058" s="1313">
        <f>IF((X1061=0),0,(2*AY1015)*AJ1001)</f>
        <v>17094946.400000002</v>
      </c>
      <c r="AK1058" s="1314"/>
      <c r="AL1058" s="1314"/>
      <c r="AM1058" s="1314"/>
      <c r="AN1058" s="1314"/>
      <c r="AO1058" s="1314"/>
      <c r="AP1058" s="1314"/>
      <c r="AQ1058" s="1315"/>
      <c r="AR1058" s="68"/>
      <c r="AS1058" s="68"/>
      <c r="AT1058" s="68"/>
      <c r="AU1058" s="14"/>
      <c r="AV1058" s="68"/>
      <c r="AW1058" s="68"/>
      <c r="AX1058" s="68"/>
      <c r="AY1058" s="68"/>
      <c r="AZ1058" s="953">
        <f>AZ1054*BA1058</f>
        <v>0</v>
      </c>
      <c r="BA1058" s="1170">
        <v>0.15</v>
      </c>
      <c r="BB1058" s="3" t="s">
        <v>2403</v>
      </c>
      <c r="BC1058" s="3" t="s">
        <v>2407</v>
      </c>
      <c r="BD1058" s="3"/>
    </row>
    <row r="1059" spans="1:56" ht="12.9" customHeight="1">
      <c r="A1059" s="14"/>
      <c r="B1059" s="73"/>
      <c r="C1059" s="438"/>
      <c r="D1059" s="1348" t="s">
        <v>1296</v>
      </c>
      <c r="E1059" s="1349"/>
      <c r="F1059" s="1349"/>
      <c r="G1059" s="1349"/>
      <c r="H1059" s="1349"/>
      <c r="I1059" s="1349"/>
      <c r="J1059" s="1349"/>
      <c r="K1059" s="1349"/>
      <c r="L1059" s="1349"/>
      <c r="M1059" s="1349"/>
      <c r="N1059" s="1349"/>
      <c r="O1059" s="1349"/>
      <c r="P1059" s="1349"/>
      <c r="Q1059" s="1349"/>
      <c r="R1059" s="1349"/>
      <c r="S1059" s="1349"/>
      <c r="T1059" s="1349"/>
      <c r="U1059" s="1349"/>
      <c r="V1059" s="1349"/>
      <c r="W1059" s="1349"/>
      <c r="X1059" s="1349"/>
      <c r="Y1059" s="1349"/>
      <c r="Z1059" s="1349"/>
      <c r="AA1059" s="1349"/>
      <c r="AB1059" s="1349"/>
      <c r="AC1059" s="1349"/>
      <c r="AD1059" s="1349"/>
      <c r="AE1059" s="1350"/>
      <c r="AF1059" s="73"/>
      <c r="AG1059" s="439"/>
      <c r="AH1059" s="439"/>
      <c r="AI1059" s="83"/>
      <c r="AJ1059" s="1316"/>
      <c r="AK1059" s="1317"/>
      <c r="AL1059" s="1317"/>
      <c r="AM1059" s="1317"/>
      <c r="AN1059" s="1317"/>
      <c r="AO1059" s="1317"/>
      <c r="AP1059" s="1317"/>
      <c r="AQ1059" s="1318"/>
      <c r="AR1059" s="68"/>
      <c r="AS1059" s="68"/>
      <c r="AT1059" s="68"/>
      <c r="AU1059" s="68"/>
      <c r="AV1059" s="68"/>
      <c r="AW1059" s="68"/>
      <c r="AX1059" s="68"/>
      <c r="AY1059" s="68"/>
      <c r="AZ1059" s="953"/>
      <c r="BA1059" s="3"/>
      <c r="BB1059" s="3"/>
      <c r="BC1059" s="3"/>
      <c r="BD1059" s="3"/>
    </row>
    <row r="1060" spans="1:56" ht="12.9" customHeight="1">
      <c r="A1060" s="14"/>
      <c r="B1060" s="73"/>
      <c r="C1060" s="83"/>
      <c r="D1060" s="1348"/>
      <c r="E1060" s="1349"/>
      <c r="F1060" s="1349"/>
      <c r="G1060" s="1349"/>
      <c r="H1060" s="1349"/>
      <c r="I1060" s="1349"/>
      <c r="J1060" s="1349"/>
      <c r="K1060" s="1349"/>
      <c r="L1060" s="1349"/>
      <c r="M1060" s="1349"/>
      <c r="N1060" s="1349"/>
      <c r="O1060" s="1349"/>
      <c r="P1060" s="1349"/>
      <c r="Q1060" s="1349"/>
      <c r="R1060" s="1349"/>
      <c r="S1060" s="1349"/>
      <c r="T1060" s="1349"/>
      <c r="U1060" s="1349"/>
      <c r="V1060" s="1349"/>
      <c r="W1060" s="1349"/>
      <c r="X1060" s="1349"/>
      <c r="Y1060" s="1349"/>
      <c r="Z1060" s="1349"/>
      <c r="AA1060" s="1349"/>
      <c r="AB1060" s="1349"/>
      <c r="AC1060" s="1349"/>
      <c r="AD1060" s="1349"/>
      <c r="AE1060" s="1350"/>
      <c r="AF1060" s="912"/>
      <c r="AG1060" s="913"/>
      <c r="AH1060" s="913"/>
      <c r="AI1060" s="914"/>
      <c r="AJ1060" s="1316"/>
      <c r="AK1060" s="1317"/>
      <c r="AL1060" s="1317"/>
      <c r="AM1060" s="1317"/>
      <c r="AN1060" s="1317"/>
      <c r="AO1060" s="1317"/>
      <c r="AP1060" s="1317"/>
      <c r="AQ1060" s="1318"/>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 customHeight="1">
      <c r="A1061" s="14"/>
      <c r="B1061" s="77"/>
      <c r="C1061" s="78"/>
      <c r="D1061" s="132" t="s">
        <v>972</v>
      </c>
      <c r="E1061" s="133"/>
      <c r="F1061" s="133"/>
      <c r="G1061" s="133"/>
      <c r="H1061" s="133"/>
      <c r="I1061" s="1353">
        <f>AY1012</f>
        <v>182</v>
      </c>
      <c r="J1061" s="1354"/>
      <c r="K1061" s="14"/>
      <c r="L1061" s="133"/>
      <c r="M1061" s="133"/>
      <c r="N1061" s="133"/>
      <c r="O1061" s="133"/>
      <c r="P1061" s="133"/>
      <c r="Q1061" s="133"/>
      <c r="R1061" s="133"/>
      <c r="S1061" s="133"/>
      <c r="T1061" s="133"/>
      <c r="U1061" s="133"/>
      <c r="V1061" s="134" t="s">
        <v>974</v>
      </c>
      <c r="X1061" s="1351">
        <f>CM761</f>
        <v>19</v>
      </c>
      <c r="Y1061" s="1352"/>
      <c r="AF1061" s="915"/>
      <c r="AG1061" s="916"/>
      <c r="AH1061" s="916"/>
      <c r="AI1061" s="917"/>
      <c r="AJ1061" s="1319"/>
      <c r="AK1061" s="1320"/>
      <c r="AL1061" s="1320"/>
      <c r="AM1061" s="1320"/>
      <c r="AN1061" s="1320"/>
      <c r="AO1061" s="1320"/>
      <c r="AP1061" s="1320"/>
      <c r="AQ1061" s="1321"/>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 customHeight="1">
      <c r="A1062" s="14"/>
      <c r="B1062" s="102"/>
      <c r="C1062" s="103"/>
      <c r="D1062" s="1311" t="s">
        <v>513</v>
      </c>
      <c r="E1062" s="1311"/>
      <c r="F1062" s="1311"/>
      <c r="G1062" s="1311"/>
      <c r="H1062" s="1311"/>
      <c r="I1062" s="1311"/>
      <c r="J1062" s="1311"/>
      <c r="K1062" s="1311"/>
      <c r="L1062" s="1311"/>
      <c r="M1062" s="1311"/>
      <c r="N1062" s="1311"/>
      <c r="O1062" s="1311"/>
      <c r="P1062" s="1311"/>
      <c r="Q1062" s="1311"/>
      <c r="R1062" s="1311"/>
      <c r="S1062" s="1311"/>
      <c r="T1062" s="1311"/>
      <c r="U1062" s="1311"/>
      <c r="V1062" s="1311"/>
      <c r="W1062" s="1311"/>
      <c r="X1062" s="1311"/>
      <c r="Y1062" s="1311"/>
      <c r="Z1062" s="1311"/>
      <c r="AA1062" s="1311"/>
      <c r="AB1062" s="1311"/>
      <c r="AC1062" s="1311"/>
      <c r="AD1062" s="1311"/>
      <c r="AE1062" s="1311"/>
      <c r="AF1062" s="1311"/>
      <c r="AG1062" s="1311"/>
      <c r="AH1062" s="1311"/>
      <c r="AI1062" s="1312"/>
      <c r="AJ1062" s="1568">
        <f>SUM(AJ1001:AQ1061)</f>
        <v>122550135.24000001</v>
      </c>
      <c r="AK1062" s="1569"/>
      <c r="AL1062" s="1569"/>
      <c r="AM1062" s="1569"/>
      <c r="AN1062" s="1569"/>
      <c r="AO1062" s="1569"/>
      <c r="AP1062" s="1569"/>
      <c r="AQ1062" s="1570"/>
      <c r="AR1062" s="68"/>
      <c r="AS1062" s="68"/>
      <c r="AT1062" s="68"/>
      <c r="AU1062" s="68"/>
      <c r="AV1062" s="68"/>
      <c r="AW1062" s="68"/>
      <c r="AX1062" s="68"/>
      <c r="AY1062" s="68"/>
      <c r="AZ1062" s="1169">
        <v>6000000</v>
      </c>
      <c r="BA1062" s="3" t="s">
        <v>2410</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12">
        <f>'Sources and Uses Budget'!S107+'Sources and Uses Budget'!T107</f>
        <v>95758964</v>
      </c>
      <c r="AB1065" s="1812"/>
      <c r="AC1065" s="1812"/>
      <c r="AD1065" s="1812"/>
      <c r="AE1065" s="1812"/>
      <c r="AF1065" s="181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12490299.75</v>
      </c>
      <c r="BB1065" s="3" t="s">
        <v>2412</v>
      </c>
      <c r="BC1065" s="3"/>
      <c r="BD1065" s="3"/>
    </row>
    <row r="1066" spans="1:56" ht="12.9"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3">
        <f>IFERROR((AA1065-BA1068)/(AJ1062-AJ1054-AJ1058),"")</f>
        <v>0.90094819103814971</v>
      </c>
      <c r="AB1066" s="1814"/>
      <c r="AC1066" s="1814"/>
      <c r="AD1066" s="1814"/>
      <c r="AE1066" s="1814"/>
      <c r="AF1066" s="181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81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6"/>
      <c r="I1067" s="1816"/>
      <c r="J1067" s="1816"/>
      <c r="K1067" s="1816"/>
      <c r="L1067" s="1816"/>
      <c r="M1067" s="1816"/>
      <c r="N1067" s="1816"/>
      <c r="O1067" s="1816"/>
      <c r="P1067" s="1816"/>
      <c r="Q1067" s="1816"/>
      <c r="R1067" s="1816"/>
      <c r="S1067" s="1816"/>
      <c r="T1067" s="1816"/>
      <c r="U1067" s="1816"/>
      <c r="V1067" s="1816"/>
      <c r="W1067" s="1816"/>
      <c r="X1067" s="1816"/>
      <c r="Y1067" s="1816"/>
      <c r="Z1067" s="1816"/>
      <c r="AA1067" s="1816"/>
      <c r="AB1067" s="1816"/>
      <c r="AC1067" s="1816"/>
      <c r="AD1067" s="1816"/>
      <c r="AE1067" s="1816"/>
      <c r="AF1067" s="1816"/>
      <c r="AG1067" s="1816"/>
      <c r="AH1067" s="1816"/>
      <c r="AI1067" s="1816"/>
      <c r="AJ1067" s="1816"/>
      <c r="AK1067" s="1816"/>
      <c r="AL1067" s="1816"/>
      <c r="AM1067" s="1816"/>
      <c r="AN1067" s="1816"/>
      <c r="AO1067" s="68"/>
      <c r="AP1067" s="68"/>
      <c r="AQ1067" s="68"/>
      <c r="AR1067" s="68"/>
      <c r="AS1067" s="68"/>
      <c r="AT1067" s="68"/>
      <c r="AU1067" s="68"/>
      <c r="AV1067" s="14"/>
      <c r="AW1067" s="14"/>
      <c r="AX1067" s="14"/>
      <c r="AY1067" s="14"/>
      <c r="BA1067" s="1173">
        <f>'Sources and Uses Budget'!$S$104+'Sources and Uses Budget'!$T$104</f>
        <v>12490299</v>
      </c>
      <c r="BB1067" s="3" t="s">
        <v>2418</v>
      </c>
    </row>
    <row r="1068" spans="1:56" ht="12.9" customHeight="1">
      <c r="A1068" s="14"/>
      <c r="B1068" s="14"/>
      <c r="C1068" s="208"/>
      <c r="D1068" s="849"/>
      <c r="E1068" s="849"/>
      <c r="F1068" s="849"/>
      <c r="G1068" s="1816"/>
      <c r="H1068" s="1816"/>
      <c r="I1068" s="1816"/>
      <c r="J1068" s="1816"/>
      <c r="K1068" s="1816"/>
      <c r="L1068" s="1816"/>
      <c r="M1068" s="1816"/>
      <c r="N1068" s="1816"/>
      <c r="O1068" s="1816"/>
      <c r="P1068" s="1816"/>
      <c r="Q1068" s="1816"/>
      <c r="R1068" s="1816"/>
      <c r="S1068" s="1816"/>
      <c r="T1068" s="1816"/>
      <c r="U1068" s="1816"/>
      <c r="V1068" s="1816"/>
      <c r="W1068" s="1816"/>
      <c r="X1068" s="1816"/>
      <c r="Y1068" s="1816"/>
      <c r="Z1068" s="1816"/>
      <c r="AA1068" s="1816"/>
      <c r="AB1068" s="1816"/>
      <c r="AC1068" s="1816"/>
      <c r="AD1068" s="1816"/>
      <c r="AE1068" s="1816"/>
      <c r="AF1068" s="1816"/>
      <c r="AG1068" s="1816"/>
      <c r="AH1068" s="1816"/>
      <c r="AI1068" s="1816"/>
      <c r="AJ1068" s="1816"/>
      <c r="AK1068" s="1816"/>
      <c r="AL1068" s="1816"/>
      <c r="AM1068" s="1816"/>
      <c r="AN1068" s="1816"/>
      <c r="AO1068" s="68"/>
      <c r="AP1068" s="68"/>
      <c r="AQ1068" s="68"/>
      <c r="AR1068" s="68"/>
      <c r="AS1068" s="68"/>
      <c r="AT1068" s="68"/>
      <c r="AU1068" s="68"/>
      <c r="AV1068" s="14"/>
      <c r="AW1068" s="14"/>
      <c r="AX1068" s="14"/>
      <c r="AY1068" s="14"/>
      <c r="BA1068" s="1174">
        <f>MAX($BA$1067-$BA$1064,0)</f>
        <v>9990299</v>
      </c>
      <c r="BB1068" s="3" t="s">
        <v>2419</v>
      </c>
    </row>
    <row r="1069" spans="1:56" ht="12.9" customHeight="1">
      <c r="A1069" s="88"/>
      <c r="B1069" s="1160"/>
      <c r="C1069" s="1160"/>
      <c r="D1069" s="1160"/>
      <c r="E1069" s="1160"/>
      <c r="F1069" s="1160"/>
      <c r="G1069" s="1816"/>
      <c r="H1069" s="1816"/>
      <c r="I1069" s="1816"/>
      <c r="J1069" s="1816"/>
      <c r="K1069" s="1816"/>
      <c r="L1069" s="1816"/>
      <c r="M1069" s="1816"/>
      <c r="N1069" s="1816"/>
      <c r="O1069" s="1816"/>
      <c r="P1069" s="1816"/>
      <c r="Q1069" s="1816"/>
      <c r="R1069" s="1816"/>
      <c r="S1069" s="1816"/>
      <c r="T1069" s="1816"/>
      <c r="U1069" s="1816"/>
      <c r="V1069" s="1816"/>
      <c r="W1069" s="1816"/>
      <c r="X1069" s="1816"/>
      <c r="Y1069" s="1816"/>
      <c r="Z1069" s="1816"/>
      <c r="AA1069" s="1816"/>
      <c r="AB1069" s="1816"/>
      <c r="AC1069" s="1816"/>
      <c r="AD1069" s="1816"/>
      <c r="AE1069" s="1816"/>
      <c r="AF1069" s="1816"/>
      <c r="AG1069" s="1816"/>
      <c r="AH1069" s="1816"/>
      <c r="AI1069" s="1816"/>
      <c r="AJ1069" s="1816"/>
      <c r="AK1069" s="1816"/>
      <c r="AL1069" s="1816"/>
      <c r="AM1069" s="1816"/>
      <c r="AN1069" s="1816"/>
      <c r="AO1069" s="1160"/>
      <c r="AP1069" s="1160"/>
      <c r="AQ1069" s="68"/>
      <c r="AR1069" s="68"/>
      <c r="AS1069" s="68"/>
      <c r="AT1069" s="68"/>
      <c r="AU1069" s="68"/>
      <c r="AV1069" s="68"/>
      <c r="AW1069" s="68"/>
      <c r="AX1069" s="68"/>
      <c r="AY1069" s="68"/>
    </row>
    <row r="1070" spans="1:56" ht="12.9" customHeight="1">
      <c r="A1070" s="1369" t="s">
        <v>794</v>
      </c>
      <c r="B1070" s="1369"/>
      <c r="C1070" s="1369"/>
      <c r="D1070" s="1369"/>
      <c r="E1070" s="1369"/>
      <c r="F1070" s="1369"/>
      <c r="G1070" s="1369"/>
      <c r="H1070" s="1369"/>
      <c r="I1070" s="1369"/>
      <c r="J1070" s="1369"/>
      <c r="K1070" s="1369"/>
      <c r="L1070" s="1369"/>
      <c r="M1070" s="1369"/>
      <c r="N1070" s="1369"/>
      <c r="O1070" s="1369"/>
      <c r="P1070" s="1369"/>
      <c r="Q1070" s="1369"/>
      <c r="R1070" s="1369"/>
      <c r="S1070" s="1369"/>
      <c r="T1070" s="1369"/>
      <c r="U1070" s="1369"/>
      <c r="V1070" s="1369"/>
      <c r="W1070" s="1369"/>
      <c r="X1070" s="1369"/>
      <c r="Y1070" s="1369"/>
      <c r="Z1070" s="1369"/>
      <c r="AA1070" s="1369"/>
      <c r="AB1070" s="1369"/>
      <c r="AC1070" s="1369"/>
      <c r="AD1070" s="1369"/>
      <c r="AE1070" s="1369"/>
      <c r="AF1070" s="1369"/>
      <c r="AG1070" s="1369"/>
      <c r="AH1070" s="1369"/>
      <c r="AI1070" s="1369"/>
      <c r="AJ1070" s="1369"/>
      <c r="AK1070" s="1369"/>
      <c r="AL1070" s="1369"/>
      <c r="AM1070" s="1369"/>
      <c r="AN1070" s="1369"/>
      <c r="AO1070" s="1369"/>
      <c r="AP1070" s="1369"/>
      <c r="AQ1070" s="1369"/>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289" t="s">
        <v>591</v>
      </c>
      <c r="B1074" s="1289"/>
      <c r="C1074" s="1290">
        <v>1</v>
      </c>
      <c r="D1074" s="1290"/>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290"/>
      <c r="D1075" s="129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289" t="s">
        <v>591</v>
      </c>
      <c r="B1076" s="1289"/>
      <c r="C1076" s="1290">
        <v>2</v>
      </c>
      <c r="D1076" s="1290"/>
      <c r="E1076" s="1341" t="s">
        <v>2186</v>
      </c>
      <c r="F1076" s="1341"/>
      <c r="G1076" s="1341"/>
      <c r="H1076" s="1341"/>
      <c r="I1076" s="1341"/>
      <c r="J1076" s="1341"/>
      <c r="K1076" s="1341"/>
      <c r="L1076" s="1341"/>
      <c r="M1076" s="1341"/>
      <c r="N1076" s="1341"/>
      <c r="O1076" s="1341"/>
      <c r="P1076" s="1341"/>
      <c r="Q1076" s="1341"/>
      <c r="R1076" s="1341"/>
      <c r="S1076" s="1341"/>
      <c r="T1076" s="1341"/>
      <c r="U1076" s="1341"/>
      <c r="V1076" s="1341"/>
      <c r="W1076" s="1341"/>
      <c r="X1076" s="1341"/>
      <c r="Y1076" s="1341"/>
      <c r="Z1076" s="1341"/>
      <c r="AA1076" s="1341"/>
      <c r="AB1076" s="1341"/>
      <c r="AC1076" s="1341"/>
      <c r="AD1076" s="1341"/>
      <c r="AE1076" s="1341"/>
      <c r="AF1076" s="1341"/>
      <c r="AG1076" s="1341"/>
      <c r="AH1076" s="1341"/>
      <c r="AI1076" s="1341"/>
      <c r="AJ1076" s="1341"/>
      <c r="AK1076" s="1341"/>
      <c r="AL1076" s="1341"/>
      <c r="AM1076" s="1341"/>
      <c r="AN1076" s="1341"/>
      <c r="AO1076" s="1341"/>
      <c r="AP1076" s="1341"/>
      <c r="AQ1076" s="1341"/>
      <c r="AR1076" s="1341"/>
      <c r="AS1076" s="14"/>
      <c r="AT1076" s="14"/>
      <c r="AV1076" s="68"/>
      <c r="AW1076" s="68"/>
      <c r="AX1076" s="68"/>
      <c r="AY1076" s="68"/>
    </row>
    <row r="1077" spans="1:51" ht="12.9" customHeight="1">
      <c r="A1077" s="198"/>
      <c r="B1077" s="67"/>
      <c r="C1077" s="1290"/>
      <c r="D1077" s="1290"/>
      <c r="E1077" s="1341"/>
      <c r="F1077" s="1341"/>
      <c r="G1077" s="1341"/>
      <c r="H1077" s="1341"/>
      <c r="I1077" s="1341"/>
      <c r="J1077" s="1341"/>
      <c r="K1077" s="1341"/>
      <c r="L1077" s="1341"/>
      <c r="M1077" s="1341"/>
      <c r="N1077" s="1341"/>
      <c r="O1077" s="1341"/>
      <c r="P1077" s="1341"/>
      <c r="Q1077" s="1341"/>
      <c r="R1077" s="1341"/>
      <c r="S1077" s="1341"/>
      <c r="T1077" s="1341"/>
      <c r="U1077" s="1341"/>
      <c r="V1077" s="1341"/>
      <c r="W1077" s="1341"/>
      <c r="X1077" s="1341"/>
      <c r="Y1077" s="1341"/>
      <c r="Z1077" s="1341"/>
      <c r="AA1077" s="1341"/>
      <c r="AB1077" s="1341"/>
      <c r="AC1077" s="1341"/>
      <c r="AD1077" s="1341"/>
      <c r="AE1077" s="1341"/>
      <c r="AF1077" s="1341"/>
      <c r="AG1077" s="1341"/>
      <c r="AH1077" s="1341"/>
      <c r="AI1077" s="1341"/>
      <c r="AJ1077" s="1341"/>
      <c r="AK1077" s="1341"/>
      <c r="AL1077" s="1341"/>
      <c r="AM1077" s="1341"/>
      <c r="AN1077" s="1341"/>
      <c r="AO1077" s="1341"/>
      <c r="AP1077" s="1341"/>
      <c r="AQ1077" s="1341"/>
      <c r="AR1077" s="1341"/>
      <c r="AS1077" s="14"/>
      <c r="AT1077" s="14"/>
      <c r="AV1077" s="68"/>
      <c r="AW1077" s="68"/>
      <c r="AX1077" s="68"/>
      <c r="AY1077" s="68"/>
    </row>
    <row r="1078" spans="1:51" ht="12.9" customHeight="1">
      <c r="A1078" s="198"/>
      <c r="B1078" s="67"/>
      <c r="C1078" s="1290"/>
      <c r="D1078" s="129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289" t="s">
        <v>591</v>
      </c>
      <c r="B1079" s="1289"/>
      <c r="C1079" s="1288">
        <v>3</v>
      </c>
      <c r="D1079" s="1288"/>
      <c r="E1079" s="1292" t="s">
        <v>1080</v>
      </c>
      <c r="F1079" s="1292"/>
      <c r="G1079" s="1292"/>
      <c r="H1079" s="1292"/>
      <c r="I1079" s="1292"/>
      <c r="J1079" s="1292"/>
      <c r="K1079" s="1292"/>
      <c r="L1079" s="1292"/>
      <c r="M1079" s="1292"/>
      <c r="N1079" s="1292"/>
      <c r="O1079" s="1292"/>
      <c r="P1079" s="1292"/>
      <c r="Q1079" s="1292"/>
      <c r="R1079" s="1292"/>
      <c r="S1079" s="1292"/>
      <c r="T1079" s="1292"/>
      <c r="U1079" s="1292"/>
      <c r="V1079" s="1292"/>
      <c r="W1079" s="1292"/>
      <c r="X1079" s="1292"/>
      <c r="Y1079" s="1292"/>
      <c r="Z1079" s="1292"/>
      <c r="AA1079" s="1292"/>
      <c r="AB1079" s="1292"/>
      <c r="AC1079" s="1292"/>
      <c r="AD1079" s="1292"/>
      <c r="AE1079" s="1292"/>
      <c r="AF1079" s="1292"/>
      <c r="AG1079" s="1292"/>
      <c r="AH1079" s="1292"/>
      <c r="AI1079" s="1292"/>
      <c r="AJ1079" s="1292"/>
      <c r="AK1079" s="1292"/>
      <c r="AL1079" s="1292"/>
      <c r="AM1079" s="1292"/>
      <c r="AN1079" s="1292"/>
      <c r="AO1079" s="1292"/>
      <c r="AP1079" s="1292"/>
      <c r="AQ1079" s="1292"/>
      <c r="AR1079" s="1292"/>
      <c r="AS1079" s="14"/>
      <c r="AT1079" s="68"/>
      <c r="AV1079" s="68"/>
      <c r="AW1079" s="68"/>
      <c r="AX1079" s="68"/>
      <c r="AY1079" s="68"/>
    </row>
    <row r="1080" spans="1:51" ht="12.9" customHeight="1">
      <c r="A1080" s="1"/>
      <c r="B1080" s="1"/>
      <c r="C1080" s="1288"/>
      <c r="D1080" s="1288"/>
      <c r="E1080" s="1292"/>
      <c r="F1080" s="1292"/>
      <c r="G1080" s="1292"/>
      <c r="H1080" s="1292"/>
      <c r="I1080" s="1292"/>
      <c r="J1080" s="1292"/>
      <c r="K1080" s="1292"/>
      <c r="L1080" s="1292"/>
      <c r="M1080" s="1292"/>
      <c r="N1080" s="1292"/>
      <c r="O1080" s="1292"/>
      <c r="P1080" s="1292"/>
      <c r="Q1080" s="1292"/>
      <c r="R1080" s="1292"/>
      <c r="S1080" s="1292"/>
      <c r="T1080" s="1292"/>
      <c r="U1080" s="1292"/>
      <c r="V1080" s="1292"/>
      <c r="W1080" s="1292"/>
      <c r="X1080" s="1292"/>
      <c r="Y1080" s="1292"/>
      <c r="Z1080" s="1292"/>
      <c r="AA1080" s="1292"/>
      <c r="AB1080" s="1292"/>
      <c r="AC1080" s="1292"/>
      <c r="AD1080" s="1292"/>
      <c r="AE1080" s="1292"/>
      <c r="AF1080" s="1292"/>
      <c r="AG1080" s="1292"/>
      <c r="AH1080" s="1292"/>
      <c r="AI1080" s="1292"/>
      <c r="AJ1080" s="1292"/>
      <c r="AK1080" s="1292"/>
      <c r="AL1080" s="1292"/>
      <c r="AM1080" s="1292"/>
      <c r="AN1080" s="1292"/>
      <c r="AO1080" s="1292"/>
      <c r="AP1080" s="1292"/>
      <c r="AQ1080" s="1292"/>
      <c r="AR1080" s="1292"/>
      <c r="AS1080" s="14"/>
      <c r="AT1080" s="68"/>
      <c r="AV1080" s="68"/>
      <c r="AW1080" s="68"/>
      <c r="AX1080" s="68"/>
      <c r="AY1080" s="68"/>
    </row>
    <row r="1081" spans="1:51" ht="12.9" customHeight="1">
      <c r="A1081" s="1"/>
      <c r="B1081" s="1"/>
      <c r="C1081" s="1288"/>
      <c r="D1081" s="1288"/>
      <c r="E1081" s="1292"/>
      <c r="F1081" s="1292"/>
      <c r="G1081" s="1292"/>
      <c r="H1081" s="1292"/>
      <c r="I1081" s="1292"/>
      <c r="J1081" s="1292"/>
      <c r="K1081" s="1292"/>
      <c r="L1081" s="1292"/>
      <c r="M1081" s="1292"/>
      <c r="N1081" s="1292"/>
      <c r="O1081" s="1292"/>
      <c r="P1081" s="1292"/>
      <c r="Q1081" s="1292"/>
      <c r="R1081" s="1292"/>
      <c r="S1081" s="1292"/>
      <c r="T1081" s="1292"/>
      <c r="U1081" s="1292"/>
      <c r="V1081" s="1292"/>
      <c r="W1081" s="1292"/>
      <c r="X1081" s="1292"/>
      <c r="Y1081" s="1292"/>
      <c r="Z1081" s="1292"/>
      <c r="AA1081" s="1292"/>
      <c r="AB1081" s="1292"/>
      <c r="AC1081" s="1292"/>
      <c r="AD1081" s="1292"/>
      <c r="AE1081" s="1292"/>
      <c r="AF1081" s="1292"/>
      <c r="AG1081" s="1292"/>
      <c r="AH1081" s="1292"/>
      <c r="AI1081" s="1292"/>
      <c r="AJ1081" s="1292"/>
      <c r="AK1081" s="1292"/>
      <c r="AL1081" s="1292"/>
      <c r="AM1081" s="1292"/>
      <c r="AN1081" s="1292"/>
      <c r="AO1081" s="1292"/>
      <c r="AP1081" s="1292"/>
      <c r="AQ1081" s="1292"/>
      <c r="AR1081" s="1292"/>
      <c r="AS1081" s="14"/>
      <c r="AT1081" s="68"/>
      <c r="AV1081" s="68"/>
      <c r="AW1081" s="68"/>
      <c r="AX1081" s="68"/>
      <c r="AY1081" s="68"/>
    </row>
    <row r="1082" spans="1:51" ht="12.9" customHeight="1">
      <c r="A1082" s="1"/>
      <c r="B1082" s="1"/>
      <c r="C1082" s="1288"/>
      <c r="D1082" s="1288"/>
      <c r="E1082" s="1292"/>
      <c r="F1082" s="1292"/>
      <c r="G1082" s="1292"/>
      <c r="H1082" s="1292"/>
      <c r="I1082" s="1292"/>
      <c r="J1082" s="1292"/>
      <c r="K1082" s="1292"/>
      <c r="L1082" s="1292"/>
      <c r="M1082" s="1292"/>
      <c r="N1082" s="1292"/>
      <c r="O1082" s="1292"/>
      <c r="P1082" s="1292"/>
      <c r="Q1082" s="1292"/>
      <c r="R1082" s="1292"/>
      <c r="S1082" s="1292"/>
      <c r="T1082" s="1292"/>
      <c r="U1082" s="1292"/>
      <c r="V1082" s="1292"/>
      <c r="W1082" s="1292"/>
      <c r="X1082" s="1292"/>
      <c r="Y1082" s="1292"/>
      <c r="Z1082" s="1292"/>
      <c r="AA1082" s="1292"/>
      <c r="AB1082" s="1292"/>
      <c r="AC1082" s="1292"/>
      <c r="AD1082" s="1292"/>
      <c r="AE1082" s="1292"/>
      <c r="AF1082" s="1292"/>
      <c r="AG1082" s="1292"/>
      <c r="AH1082" s="1292"/>
      <c r="AI1082" s="1292"/>
      <c r="AJ1082" s="1292"/>
      <c r="AK1082" s="1292"/>
      <c r="AL1082" s="1292"/>
      <c r="AM1082" s="1292"/>
      <c r="AN1082" s="1292"/>
      <c r="AO1082" s="1292"/>
      <c r="AP1082" s="1292"/>
      <c r="AQ1082" s="1292"/>
      <c r="AR1082" s="1292"/>
      <c r="AS1082" s="14"/>
      <c r="AT1082" s="68"/>
      <c r="AV1082" s="68"/>
      <c r="AW1082" s="68"/>
      <c r="AX1082" s="68"/>
      <c r="AY1082" s="68"/>
    </row>
    <row r="1083" spans="1:51" ht="12.9" customHeight="1">
      <c r="A1083" s="2"/>
      <c r="B1083" s="25"/>
      <c r="C1083" s="1288"/>
      <c r="D1083" s="128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289" t="s">
        <v>591</v>
      </c>
      <c r="B1084" s="1289"/>
      <c r="C1084" s="1288">
        <v>4</v>
      </c>
      <c r="D1084" s="1288"/>
      <c r="E1084" s="1292" t="s">
        <v>1079</v>
      </c>
      <c r="F1084" s="1292"/>
      <c r="G1084" s="1292"/>
      <c r="H1084" s="1292"/>
      <c r="I1084" s="1292"/>
      <c r="J1084" s="1292"/>
      <c r="K1084" s="1292"/>
      <c r="L1084" s="1292"/>
      <c r="M1084" s="1292"/>
      <c r="N1084" s="1292"/>
      <c r="O1084" s="1292"/>
      <c r="P1084" s="1292"/>
      <c r="Q1084" s="1292"/>
      <c r="R1084" s="1292"/>
      <c r="S1084" s="1292"/>
      <c r="T1084" s="1292"/>
      <c r="U1084" s="1292"/>
      <c r="V1084" s="1292"/>
      <c r="W1084" s="1292"/>
      <c r="X1084" s="1292"/>
      <c r="Y1084" s="1292"/>
      <c r="Z1084" s="1292"/>
      <c r="AA1084" s="1292"/>
      <c r="AB1084" s="1292"/>
      <c r="AC1084" s="1292"/>
      <c r="AD1084" s="1292"/>
      <c r="AE1084" s="1292"/>
      <c r="AF1084" s="1292"/>
      <c r="AG1084" s="1292"/>
      <c r="AH1084" s="1292"/>
      <c r="AI1084" s="1292"/>
      <c r="AJ1084" s="1292"/>
      <c r="AK1084" s="1292"/>
      <c r="AL1084" s="1292"/>
      <c r="AM1084" s="1292"/>
      <c r="AN1084" s="1292"/>
      <c r="AO1084" s="1292"/>
      <c r="AP1084" s="1292"/>
      <c r="AQ1084" s="1292"/>
      <c r="AR1084" s="1292"/>
      <c r="AS1084" s="14"/>
      <c r="AT1084" s="68"/>
    </row>
    <row r="1085" spans="1:51" ht="12.9" customHeight="1">
      <c r="A1085" s="1"/>
      <c r="B1085" s="1"/>
      <c r="C1085" s="1288"/>
      <c r="D1085" s="1288"/>
      <c r="E1085" s="1292"/>
      <c r="F1085" s="1292"/>
      <c r="G1085" s="1292"/>
      <c r="H1085" s="1292"/>
      <c r="I1085" s="1292"/>
      <c r="J1085" s="1292"/>
      <c r="K1085" s="1292"/>
      <c r="L1085" s="1292"/>
      <c r="M1085" s="1292"/>
      <c r="N1085" s="1292"/>
      <c r="O1085" s="1292"/>
      <c r="P1085" s="1292"/>
      <c r="Q1085" s="1292"/>
      <c r="R1085" s="1292"/>
      <c r="S1085" s="1292"/>
      <c r="T1085" s="1292"/>
      <c r="U1085" s="1292"/>
      <c r="V1085" s="1292"/>
      <c r="W1085" s="1292"/>
      <c r="X1085" s="1292"/>
      <c r="Y1085" s="1292"/>
      <c r="Z1085" s="1292"/>
      <c r="AA1085" s="1292"/>
      <c r="AB1085" s="1292"/>
      <c r="AC1085" s="1292"/>
      <c r="AD1085" s="1292"/>
      <c r="AE1085" s="1292"/>
      <c r="AF1085" s="1292"/>
      <c r="AG1085" s="1292"/>
      <c r="AH1085" s="1292"/>
      <c r="AI1085" s="1292"/>
      <c r="AJ1085" s="1292"/>
      <c r="AK1085" s="1292"/>
      <c r="AL1085" s="1292"/>
      <c r="AM1085" s="1292"/>
      <c r="AN1085" s="1292"/>
      <c r="AO1085" s="1292"/>
      <c r="AP1085" s="1292"/>
      <c r="AQ1085" s="1292"/>
      <c r="AR1085" s="1292"/>
      <c r="AS1085" s="14"/>
      <c r="AT1085" s="68"/>
    </row>
    <row r="1086" spans="1:51" ht="12.9" customHeight="1">
      <c r="A1086" s="1"/>
      <c r="B1086" s="1"/>
      <c r="C1086" s="1288"/>
      <c r="D1086" s="1288"/>
      <c r="E1086" s="1292"/>
      <c r="F1086" s="1292"/>
      <c r="G1086" s="1292"/>
      <c r="H1086" s="1292"/>
      <c r="I1086" s="1292"/>
      <c r="J1086" s="1292"/>
      <c r="K1086" s="1292"/>
      <c r="L1086" s="1292"/>
      <c r="M1086" s="1292"/>
      <c r="N1086" s="1292"/>
      <c r="O1086" s="1292"/>
      <c r="P1086" s="1292"/>
      <c r="Q1086" s="1292"/>
      <c r="R1086" s="1292"/>
      <c r="S1086" s="1292"/>
      <c r="T1086" s="1292"/>
      <c r="U1086" s="1292"/>
      <c r="V1086" s="1292"/>
      <c r="W1086" s="1292"/>
      <c r="X1086" s="1292"/>
      <c r="Y1086" s="1292"/>
      <c r="Z1086" s="1292"/>
      <c r="AA1086" s="1292"/>
      <c r="AB1086" s="1292"/>
      <c r="AC1086" s="1292"/>
      <c r="AD1086" s="1292"/>
      <c r="AE1086" s="1292"/>
      <c r="AF1086" s="1292"/>
      <c r="AG1086" s="1292"/>
      <c r="AH1086" s="1292"/>
      <c r="AI1086" s="1292"/>
      <c r="AJ1086" s="1292"/>
      <c r="AK1086" s="1292"/>
      <c r="AL1086" s="1292"/>
      <c r="AM1086" s="1292"/>
      <c r="AN1086" s="1292"/>
      <c r="AO1086" s="1292"/>
      <c r="AP1086" s="1292"/>
      <c r="AQ1086" s="1292"/>
      <c r="AR1086" s="1292"/>
      <c r="AS1086" s="14"/>
      <c r="AT1086" s="68"/>
    </row>
    <row r="1087" spans="1:51" ht="12.9" customHeight="1">
      <c r="A1087" s="1"/>
      <c r="B1087" s="1"/>
      <c r="C1087" s="1288"/>
      <c r="D1087" s="1288"/>
      <c r="E1087" s="1292"/>
      <c r="F1087" s="1292"/>
      <c r="G1087" s="1292"/>
      <c r="H1087" s="1292"/>
      <c r="I1087" s="1292"/>
      <c r="J1087" s="1292"/>
      <c r="K1087" s="1292"/>
      <c r="L1087" s="1292"/>
      <c r="M1087" s="1292"/>
      <c r="N1087" s="1292"/>
      <c r="O1087" s="1292"/>
      <c r="P1087" s="1292"/>
      <c r="Q1087" s="1292"/>
      <c r="R1087" s="1292"/>
      <c r="S1087" s="1292"/>
      <c r="T1087" s="1292"/>
      <c r="U1087" s="1292"/>
      <c r="V1087" s="1292"/>
      <c r="W1087" s="1292"/>
      <c r="X1087" s="1292"/>
      <c r="Y1087" s="1292"/>
      <c r="Z1087" s="1292"/>
      <c r="AA1087" s="1292"/>
      <c r="AB1087" s="1292"/>
      <c r="AC1087" s="1292"/>
      <c r="AD1087" s="1292"/>
      <c r="AE1087" s="1292"/>
      <c r="AF1087" s="1292"/>
      <c r="AG1087" s="1292"/>
      <c r="AH1087" s="1292"/>
      <c r="AI1087" s="1292"/>
      <c r="AJ1087" s="1292"/>
      <c r="AK1087" s="1292"/>
      <c r="AL1087" s="1292"/>
      <c r="AM1087" s="1292"/>
      <c r="AN1087" s="1292"/>
      <c r="AO1087" s="1292"/>
      <c r="AP1087" s="1292"/>
      <c r="AQ1087" s="1292"/>
      <c r="AR1087" s="1292"/>
      <c r="AS1087" s="14"/>
      <c r="AT1087" s="68"/>
    </row>
    <row r="1088" spans="1:51" ht="12.9" customHeight="1">
      <c r="A1088" s="1"/>
      <c r="B1088" s="1"/>
      <c r="C1088" s="1288"/>
      <c r="D1088" s="1288"/>
      <c r="E1088" s="1292"/>
      <c r="F1088" s="1292"/>
      <c r="G1088" s="1292"/>
      <c r="H1088" s="1292"/>
      <c r="I1088" s="1292"/>
      <c r="J1088" s="1292"/>
      <c r="K1088" s="1292"/>
      <c r="L1088" s="1292"/>
      <c r="M1088" s="1292"/>
      <c r="N1088" s="1292"/>
      <c r="O1088" s="1292"/>
      <c r="P1088" s="1292"/>
      <c r="Q1088" s="1292"/>
      <c r="R1088" s="1292"/>
      <c r="S1088" s="1292"/>
      <c r="T1088" s="1292"/>
      <c r="U1088" s="1292"/>
      <c r="V1088" s="1292"/>
      <c r="W1088" s="1292"/>
      <c r="X1088" s="1292"/>
      <c r="Y1088" s="1292"/>
      <c r="Z1088" s="1292"/>
      <c r="AA1088" s="1292"/>
      <c r="AB1088" s="1292"/>
      <c r="AC1088" s="1292"/>
      <c r="AD1088" s="1292"/>
      <c r="AE1088" s="1292"/>
      <c r="AF1088" s="1292"/>
      <c r="AG1088" s="1292"/>
      <c r="AH1088" s="1292"/>
      <c r="AI1088" s="1292"/>
      <c r="AJ1088" s="1292"/>
      <c r="AK1088" s="1292"/>
      <c r="AL1088" s="1292"/>
      <c r="AM1088" s="1292"/>
      <c r="AN1088" s="1292"/>
      <c r="AO1088" s="1292"/>
      <c r="AP1088" s="1292"/>
      <c r="AQ1088" s="1292"/>
      <c r="AR1088" s="1292"/>
      <c r="AS1088" s="14"/>
      <c r="AT1088" s="68"/>
    </row>
    <row r="1089" spans="1:45" ht="12.9" customHeight="1">
      <c r="A1089" s="1"/>
      <c r="B1089" s="1"/>
      <c r="C1089" s="1288"/>
      <c r="D1089" s="128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289" t="s">
        <v>591</v>
      </c>
      <c r="B1090" s="1289"/>
      <c r="C1090" s="1288">
        <v>5</v>
      </c>
      <c r="D1090" s="1288"/>
      <c r="E1090" s="1292" t="s">
        <v>2189</v>
      </c>
      <c r="F1090" s="1292"/>
      <c r="G1090" s="1292"/>
      <c r="H1090" s="1292"/>
      <c r="I1090" s="1292"/>
      <c r="J1090" s="1292"/>
      <c r="K1090" s="1292"/>
      <c r="L1090" s="1292"/>
      <c r="M1090" s="1292"/>
      <c r="N1090" s="1292"/>
      <c r="O1090" s="1292"/>
      <c r="P1090" s="1292"/>
      <c r="Q1090" s="1292"/>
      <c r="R1090" s="1292"/>
      <c r="S1090" s="1292"/>
      <c r="T1090" s="1292"/>
      <c r="U1090" s="1292"/>
      <c r="V1090" s="1292"/>
      <c r="W1090" s="1292"/>
      <c r="X1090" s="1292"/>
      <c r="Y1090" s="1292"/>
      <c r="Z1090" s="1292"/>
      <c r="AA1090" s="1292"/>
      <c r="AB1090" s="1292"/>
      <c r="AC1090" s="1292"/>
      <c r="AD1090" s="1292"/>
      <c r="AE1090" s="1292"/>
      <c r="AF1090" s="1292"/>
      <c r="AG1090" s="1292"/>
      <c r="AH1090" s="1292"/>
      <c r="AI1090" s="1292"/>
      <c r="AJ1090" s="1292"/>
      <c r="AK1090" s="1292"/>
      <c r="AL1090" s="1292"/>
      <c r="AM1090" s="1292"/>
      <c r="AN1090" s="1292"/>
      <c r="AO1090" s="1292"/>
      <c r="AP1090" s="1292"/>
      <c r="AQ1090" s="1292"/>
      <c r="AR1090" s="1292"/>
      <c r="AS1090" s="14"/>
    </row>
    <row r="1091" spans="1:45" ht="12.9" customHeight="1">
      <c r="A1091" s="4"/>
      <c r="B1091" s="4"/>
      <c r="C1091" s="1288"/>
      <c r="D1091" s="1288"/>
      <c r="E1091" s="1292"/>
      <c r="F1091" s="1292"/>
      <c r="G1091" s="1292"/>
      <c r="H1091" s="1292"/>
      <c r="I1091" s="1292"/>
      <c r="J1091" s="1292"/>
      <c r="K1091" s="1292"/>
      <c r="L1091" s="1292"/>
      <c r="M1091" s="1292"/>
      <c r="N1091" s="1292"/>
      <c r="O1091" s="1292"/>
      <c r="P1091" s="1292"/>
      <c r="Q1091" s="1292"/>
      <c r="R1091" s="1292"/>
      <c r="S1091" s="1292"/>
      <c r="T1091" s="1292"/>
      <c r="U1091" s="1292"/>
      <c r="V1091" s="1292"/>
      <c r="W1091" s="1292"/>
      <c r="X1091" s="1292"/>
      <c r="Y1091" s="1292"/>
      <c r="Z1091" s="1292"/>
      <c r="AA1091" s="1292"/>
      <c r="AB1091" s="1292"/>
      <c r="AC1091" s="1292"/>
      <c r="AD1091" s="1292"/>
      <c r="AE1091" s="1292"/>
      <c r="AF1091" s="1292"/>
      <c r="AG1091" s="1292"/>
      <c r="AH1091" s="1292"/>
      <c r="AI1091" s="1292"/>
      <c r="AJ1091" s="1292"/>
      <c r="AK1091" s="1292"/>
      <c r="AL1091" s="1292"/>
      <c r="AM1091" s="1292"/>
      <c r="AN1091" s="1292"/>
      <c r="AO1091" s="1292"/>
      <c r="AP1091" s="1292"/>
      <c r="AQ1091" s="1292"/>
      <c r="AR1091" s="1292"/>
      <c r="AS1091" s="14"/>
    </row>
    <row r="1092" spans="1:45" ht="12.9" customHeight="1">
      <c r="A1092" s="4"/>
      <c r="B1092" s="4"/>
      <c r="C1092" s="1288"/>
      <c r="D1092" s="1288"/>
      <c r="E1092" s="1292"/>
      <c r="F1092" s="1292"/>
      <c r="G1092" s="1292"/>
      <c r="H1092" s="1292"/>
      <c r="I1092" s="1292"/>
      <c r="J1092" s="1292"/>
      <c r="K1092" s="1292"/>
      <c r="L1092" s="1292"/>
      <c r="M1092" s="1292"/>
      <c r="N1092" s="1292"/>
      <c r="O1092" s="1292"/>
      <c r="P1092" s="1292"/>
      <c r="Q1092" s="1292"/>
      <c r="R1092" s="1292"/>
      <c r="S1092" s="1292"/>
      <c r="T1092" s="1292"/>
      <c r="U1092" s="1292"/>
      <c r="V1092" s="1292"/>
      <c r="W1092" s="1292"/>
      <c r="X1092" s="1292"/>
      <c r="Y1092" s="1292"/>
      <c r="Z1092" s="1292"/>
      <c r="AA1092" s="1292"/>
      <c r="AB1092" s="1292"/>
      <c r="AC1092" s="1292"/>
      <c r="AD1092" s="1292"/>
      <c r="AE1092" s="1292"/>
      <c r="AF1092" s="1292"/>
      <c r="AG1092" s="1292"/>
      <c r="AH1092" s="1292"/>
      <c r="AI1092" s="1292"/>
      <c r="AJ1092" s="1292"/>
      <c r="AK1092" s="1292"/>
      <c r="AL1092" s="1292"/>
      <c r="AM1092" s="1292"/>
      <c r="AN1092" s="1292"/>
      <c r="AO1092" s="1292"/>
      <c r="AP1092" s="1292"/>
      <c r="AQ1092" s="1292"/>
      <c r="AR1092" s="1292"/>
      <c r="AS1092" s="14"/>
    </row>
    <row r="1093" spans="1:45" ht="12.9" customHeight="1">
      <c r="A1093" s="35"/>
      <c r="B1093" s="25"/>
      <c r="C1093" s="1288"/>
      <c r="D1093" s="128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289" t="s">
        <v>591</v>
      </c>
      <c r="B1094" s="1289"/>
      <c r="C1094" s="1288">
        <v>6</v>
      </c>
      <c r="D1094" s="1288"/>
      <c r="E1094" s="1292" t="s">
        <v>2190</v>
      </c>
      <c r="F1094" s="1292"/>
      <c r="G1094" s="1292"/>
      <c r="H1094" s="1292"/>
      <c r="I1094" s="1292"/>
      <c r="J1094" s="1292"/>
      <c r="K1094" s="1292"/>
      <c r="L1094" s="1292"/>
      <c r="M1094" s="1292"/>
      <c r="N1094" s="1292"/>
      <c r="O1094" s="1292"/>
      <c r="P1094" s="1292"/>
      <c r="Q1094" s="1292"/>
      <c r="R1094" s="1292"/>
      <c r="S1094" s="1292"/>
      <c r="T1094" s="1292"/>
      <c r="U1094" s="1292"/>
      <c r="V1094" s="1292"/>
      <c r="W1094" s="1292"/>
      <c r="X1094" s="1292"/>
      <c r="Y1094" s="1292"/>
      <c r="Z1094" s="1292"/>
      <c r="AA1094" s="1292"/>
      <c r="AB1094" s="1292"/>
      <c r="AC1094" s="1292"/>
      <c r="AD1094" s="1292"/>
      <c r="AE1094" s="1292"/>
      <c r="AF1094" s="1292"/>
      <c r="AG1094" s="1292"/>
      <c r="AH1094" s="1292"/>
      <c r="AI1094" s="1292"/>
      <c r="AJ1094" s="1292"/>
      <c r="AK1094" s="1292"/>
      <c r="AL1094" s="1292"/>
      <c r="AM1094" s="1292"/>
      <c r="AN1094" s="1292"/>
      <c r="AO1094" s="1292"/>
      <c r="AP1094" s="1292"/>
      <c r="AQ1094" s="1292"/>
      <c r="AR1094" s="1292"/>
      <c r="AS1094" s="14"/>
    </row>
    <row r="1095" spans="1:45" ht="12.9" customHeight="1">
      <c r="A1095" s="1"/>
      <c r="B1095" s="1"/>
      <c r="C1095" s="1"/>
      <c r="D1095" s="1"/>
      <c r="E1095" s="1292"/>
      <c r="F1095" s="1292"/>
      <c r="G1095" s="1292"/>
      <c r="H1095" s="1292"/>
      <c r="I1095" s="1292"/>
      <c r="J1095" s="1292"/>
      <c r="K1095" s="1292"/>
      <c r="L1095" s="1292"/>
      <c r="M1095" s="1292"/>
      <c r="N1095" s="1292"/>
      <c r="O1095" s="1292"/>
      <c r="P1095" s="1292"/>
      <c r="Q1095" s="1292"/>
      <c r="R1095" s="1292"/>
      <c r="S1095" s="1292"/>
      <c r="T1095" s="1292"/>
      <c r="U1095" s="1292"/>
      <c r="V1095" s="1292"/>
      <c r="W1095" s="1292"/>
      <c r="X1095" s="1292"/>
      <c r="Y1095" s="1292"/>
      <c r="Z1095" s="1292"/>
      <c r="AA1095" s="1292"/>
      <c r="AB1095" s="1292"/>
      <c r="AC1095" s="1292"/>
      <c r="AD1095" s="1292"/>
      <c r="AE1095" s="1292"/>
      <c r="AF1095" s="1292"/>
      <c r="AG1095" s="1292"/>
      <c r="AH1095" s="1292"/>
      <c r="AI1095" s="1292"/>
      <c r="AJ1095" s="1292"/>
      <c r="AK1095" s="1292"/>
      <c r="AL1095" s="1292"/>
      <c r="AM1095" s="1292"/>
      <c r="AN1095" s="1292"/>
      <c r="AO1095" s="1292"/>
      <c r="AP1095" s="1292"/>
      <c r="AQ1095" s="1292"/>
      <c r="AR1095" s="1292"/>
      <c r="AS1095" s="14"/>
    </row>
    <row r="1096" spans="1:45" ht="12.9" customHeight="1">
      <c r="A1096" s="1"/>
      <c r="B1096" s="1"/>
      <c r="C1096" s="1288"/>
      <c r="D1096" s="1288"/>
      <c r="E1096" s="1292"/>
      <c r="F1096" s="1292"/>
      <c r="G1096" s="1292"/>
      <c r="H1096" s="1292"/>
      <c r="I1096" s="1292"/>
      <c r="J1096" s="1292"/>
      <c r="K1096" s="1292"/>
      <c r="L1096" s="1292"/>
      <c r="M1096" s="1292"/>
      <c r="N1096" s="1292"/>
      <c r="O1096" s="1292"/>
      <c r="P1096" s="1292"/>
      <c r="Q1096" s="1292"/>
      <c r="R1096" s="1292"/>
      <c r="S1096" s="1292"/>
      <c r="T1096" s="1292"/>
      <c r="U1096" s="1292"/>
      <c r="V1096" s="1292"/>
      <c r="W1096" s="1292"/>
      <c r="X1096" s="1292"/>
      <c r="Y1096" s="1292"/>
      <c r="Z1096" s="1292"/>
      <c r="AA1096" s="1292"/>
      <c r="AB1096" s="1292"/>
      <c r="AC1096" s="1292"/>
      <c r="AD1096" s="1292"/>
      <c r="AE1096" s="1292"/>
      <c r="AF1096" s="1292"/>
      <c r="AG1096" s="1292"/>
      <c r="AH1096" s="1292"/>
      <c r="AI1096" s="1292"/>
      <c r="AJ1096" s="1292"/>
      <c r="AK1096" s="1292"/>
      <c r="AL1096" s="1292"/>
      <c r="AM1096" s="1292"/>
      <c r="AN1096" s="1292"/>
      <c r="AO1096" s="1292"/>
      <c r="AP1096" s="1292"/>
      <c r="AQ1096" s="1292"/>
      <c r="AR1096" s="1292"/>
      <c r="AS1096" s="14"/>
    </row>
    <row r="1097" spans="1:45" ht="12.9" customHeight="1">
      <c r="A1097" s="35"/>
      <c r="B1097" s="25"/>
      <c r="C1097" s="1288"/>
      <c r="D1097" s="128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289" t="s">
        <v>591</v>
      </c>
      <c r="B1098" s="1289"/>
      <c r="C1098" s="1288">
        <v>7</v>
      </c>
      <c r="D1098" s="1288"/>
      <c r="E1098" s="1292" t="s">
        <v>2088</v>
      </c>
      <c r="F1098" s="1292"/>
      <c r="G1098" s="1292"/>
      <c r="H1098" s="1292"/>
      <c r="I1098" s="1292"/>
      <c r="J1098" s="1292"/>
      <c r="K1098" s="1292"/>
      <c r="L1098" s="1292"/>
      <c r="M1098" s="1292"/>
      <c r="N1098" s="1292"/>
      <c r="O1098" s="1292"/>
      <c r="P1098" s="1292"/>
      <c r="Q1098" s="1292"/>
      <c r="R1098" s="1292"/>
      <c r="S1098" s="1292"/>
      <c r="T1098" s="1292"/>
      <c r="U1098" s="1292"/>
      <c r="V1098" s="1292"/>
      <c r="W1098" s="1292"/>
      <c r="X1098" s="1292"/>
      <c r="Y1098" s="1292"/>
      <c r="Z1098" s="1292"/>
      <c r="AA1098" s="1292"/>
      <c r="AB1098" s="1292"/>
      <c r="AC1098" s="1292"/>
      <c r="AD1098" s="1292"/>
      <c r="AE1098" s="1292"/>
      <c r="AF1098" s="1292"/>
      <c r="AG1098" s="1292"/>
      <c r="AH1098" s="1292"/>
      <c r="AI1098" s="1292"/>
      <c r="AJ1098" s="1292"/>
      <c r="AK1098" s="1292"/>
      <c r="AL1098" s="1292"/>
      <c r="AM1098" s="1292"/>
      <c r="AN1098" s="1292"/>
      <c r="AO1098" s="1292"/>
      <c r="AP1098" s="1292"/>
      <c r="AQ1098" s="1292"/>
      <c r="AR1098" s="1292"/>
      <c r="AS1098" s="14"/>
    </row>
    <row r="1099" spans="1:45" ht="12.9" customHeight="1">
      <c r="A1099" s="1"/>
      <c r="B1099" s="1"/>
      <c r="C1099" s="1288"/>
      <c r="D1099" s="1288"/>
      <c r="E1099" s="1292"/>
      <c r="F1099" s="1292"/>
      <c r="G1099" s="1292"/>
      <c r="H1099" s="1292"/>
      <c r="I1099" s="1292"/>
      <c r="J1099" s="1292"/>
      <c r="K1099" s="1292"/>
      <c r="L1099" s="1292"/>
      <c r="M1099" s="1292"/>
      <c r="N1099" s="1292"/>
      <c r="O1099" s="1292"/>
      <c r="P1099" s="1292"/>
      <c r="Q1099" s="1292"/>
      <c r="R1099" s="1292"/>
      <c r="S1099" s="1292"/>
      <c r="T1099" s="1292"/>
      <c r="U1099" s="1292"/>
      <c r="V1099" s="1292"/>
      <c r="W1099" s="1292"/>
      <c r="X1099" s="1292"/>
      <c r="Y1099" s="1292"/>
      <c r="Z1099" s="1292"/>
      <c r="AA1099" s="1292"/>
      <c r="AB1099" s="1292"/>
      <c r="AC1099" s="1292"/>
      <c r="AD1099" s="1292"/>
      <c r="AE1099" s="1292"/>
      <c r="AF1099" s="1292"/>
      <c r="AG1099" s="1292"/>
      <c r="AH1099" s="1292"/>
      <c r="AI1099" s="1292"/>
      <c r="AJ1099" s="1292"/>
      <c r="AK1099" s="1292"/>
      <c r="AL1099" s="1292"/>
      <c r="AM1099" s="1292"/>
      <c r="AN1099" s="1292"/>
      <c r="AO1099" s="1292"/>
      <c r="AP1099" s="1292"/>
      <c r="AQ1099" s="1292"/>
      <c r="AR1099" s="1292"/>
      <c r="AS1099" s="14"/>
    </row>
    <row r="1100" spans="1:45" ht="12.9" customHeight="1">
      <c r="A1100" s="1"/>
      <c r="B1100" s="1"/>
      <c r="C1100" s="1288"/>
      <c r="D1100" s="1288"/>
      <c r="E1100" s="1292"/>
      <c r="F1100" s="1292"/>
      <c r="G1100" s="1292"/>
      <c r="H1100" s="1292"/>
      <c r="I1100" s="1292"/>
      <c r="J1100" s="1292"/>
      <c r="K1100" s="1292"/>
      <c r="L1100" s="1292"/>
      <c r="M1100" s="1292"/>
      <c r="N1100" s="1292"/>
      <c r="O1100" s="1292"/>
      <c r="P1100" s="1292"/>
      <c r="Q1100" s="1292"/>
      <c r="R1100" s="1292"/>
      <c r="S1100" s="1292"/>
      <c r="T1100" s="1292"/>
      <c r="U1100" s="1292"/>
      <c r="V1100" s="1292"/>
      <c r="W1100" s="1292"/>
      <c r="X1100" s="1292"/>
      <c r="Y1100" s="1292"/>
      <c r="Z1100" s="1292"/>
      <c r="AA1100" s="1292"/>
      <c r="AB1100" s="1292"/>
      <c r="AC1100" s="1292"/>
      <c r="AD1100" s="1292"/>
      <c r="AE1100" s="1292"/>
      <c r="AF1100" s="1292"/>
      <c r="AG1100" s="1292"/>
      <c r="AH1100" s="1292"/>
      <c r="AI1100" s="1292"/>
      <c r="AJ1100" s="1292"/>
      <c r="AK1100" s="1292"/>
      <c r="AL1100" s="1292"/>
      <c r="AM1100" s="1292"/>
      <c r="AN1100" s="1292"/>
      <c r="AO1100" s="1292"/>
      <c r="AP1100" s="1292"/>
      <c r="AQ1100" s="1292"/>
      <c r="AR1100" s="1292"/>
      <c r="AS1100" s="14"/>
    </row>
    <row r="1101" spans="1:45" ht="12.9" customHeight="1">
      <c r="A1101" s="1"/>
      <c r="B1101" s="1"/>
      <c r="C1101" s="1288"/>
      <c r="D1101" s="128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288"/>
      <c r="D1102" s="128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289" t="s">
        <v>591</v>
      </c>
      <c r="B1103" s="1289"/>
      <c r="C1103" s="1288">
        <v>8</v>
      </c>
      <c r="D1103" s="1288"/>
      <c r="E1103" s="1292" t="s">
        <v>1073</v>
      </c>
      <c r="F1103" s="1292"/>
      <c r="G1103" s="1292"/>
      <c r="H1103" s="1292"/>
      <c r="I1103" s="1292"/>
      <c r="J1103" s="1292"/>
      <c r="K1103" s="1292"/>
      <c r="L1103" s="1292"/>
      <c r="M1103" s="1292"/>
      <c r="N1103" s="1292"/>
      <c r="O1103" s="1292"/>
      <c r="P1103" s="1292"/>
      <c r="Q1103" s="1292"/>
      <c r="R1103" s="1292"/>
      <c r="S1103" s="1292"/>
      <c r="T1103" s="1292"/>
      <c r="U1103" s="1292"/>
      <c r="V1103" s="1292"/>
      <c r="W1103" s="1292"/>
      <c r="X1103" s="1292"/>
      <c r="Y1103" s="1292"/>
      <c r="Z1103" s="1292"/>
      <c r="AA1103" s="1292"/>
      <c r="AB1103" s="1292"/>
      <c r="AC1103" s="1292"/>
      <c r="AD1103" s="1292"/>
      <c r="AE1103" s="1292"/>
      <c r="AF1103" s="1292"/>
      <c r="AG1103" s="1292"/>
      <c r="AH1103" s="1292"/>
      <c r="AI1103" s="1292"/>
      <c r="AJ1103" s="1292"/>
      <c r="AK1103" s="1292"/>
      <c r="AL1103" s="1292"/>
      <c r="AM1103" s="1292"/>
      <c r="AN1103" s="1292"/>
      <c r="AO1103" s="1292"/>
      <c r="AP1103" s="1292"/>
      <c r="AQ1103" s="1292"/>
      <c r="AR1103" s="1292"/>
    </row>
    <row r="1104" spans="1:45" ht="12.9" customHeight="1">
      <c r="A1104" s="35"/>
      <c r="B1104" s="25"/>
      <c r="C1104" s="1288"/>
      <c r="D1104" s="1288"/>
      <c r="E1104" s="1292"/>
      <c r="F1104" s="1292"/>
      <c r="G1104" s="1292"/>
      <c r="H1104" s="1292"/>
      <c r="I1104" s="1292"/>
      <c r="J1104" s="1292"/>
      <c r="K1104" s="1292"/>
      <c r="L1104" s="1292"/>
      <c r="M1104" s="1292"/>
      <c r="N1104" s="1292"/>
      <c r="O1104" s="1292"/>
      <c r="P1104" s="1292"/>
      <c r="Q1104" s="1292"/>
      <c r="R1104" s="1292"/>
      <c r="S1104" s="1292"/>
      <c r="T1104" s="1292"/>
      <c r="U1104" s="1292"/>
      <c r="V1104" s="1292"/>
      <c r="W1104" s="1292"/>
      <c r="X1104" s="1292"/>
      <c r="Y1104" s="1292"/>
      <c r="Z1104" s="1292"/>
      <c r="AA1104" s="1292"/>
      <c r="AB1104" s="1292"/>
      <c r="AC1104" s="1292"/>
      <c r="AD1104" s="1292"/>
      <c r="AE1104" s="1292"/>
      <c r="AF1104" s="1292"/>
      <c r="AG1104" s="1292"/>
      <c r="AH1104" s="1292"/>
      <c r="AI1104" s="1292"/>
      <c r="AJ1104" s="1292"/>
      <c r="AK1104" s="1292"/>
      <c r="AL1104" s="1292"/>
      <c r="AM1104" s="1292"/>
      <c r="AN1104" s="1292"/>
      <c r="AO1104" s="1292"/>
      <c r="AP1104" s="1292"/>
      <c r="AQ1104" s="1292"/>
      <c r="AR1104" s="1292"/>
    </row>
    <row r="1105" spans="1:44" ht="12.9" customHeight="1">
      <c r="A1105" s="35"/>
      <c r="B1105" s="25"/>
      <c r="C1105" s="1288"/>
      <c r="D1105" s="128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289" t="s">
        <v>591</v>
      </c>
      <c r="B1106" s="1289"/>
      <c r="C1106" s="1290">
        <v>9</v>
      </c>
      <c r="D1106" s="1290"/>
      <c r="E1106" s="1292" t="s">
        <v>1075</v>
      </c>
      <c r="F1106" s="1292"/>
      <c r="G1106" s="1292"/>
      <c r="H1106" s="1292"/>
      <c r="I1106" s="1292"/>
      <c r="J1106" s="1292"/>
      <c r="K1106" s="1292"/>
      <c r="L1106" s="1292"/>
      <c r="M1106" s="1292"/>
      <c r="N1106" s="1292"/>
      <c r="O1106" s="1292"/>
      <c r="P1106" s="1292"/>
      <c r="Q1106" s="1292"/>
      <c r="R1106" s="1292"/>
      <c r="S1106" s="1292"/>
      <c r="T1106" s="1292"/>
      <c r="U1106" s="1292"/>
      <c r="V1106" s="1292"/>
      <c r="W1106" s="1292"/>
      <c r="X1106" s="1292"/>
      <c r="Y1106" s="1292"/>
      <c r="Z1106" s="1292"/>
      <c r="AA1106" s="1292"/>
      <c r="AB1106" s="1292"/>
      <c r="AC1106" s="1292"/>
      <c r="AD1106" s="1292"/>
      <c r="AE1106" s="1292"/>
      <c r="AF1106" s="1292"/>
      <c r="AG1106" s="1292"/>
      <c r="AH1106" s="1292"/>
      <c r="AI1106" s="1292"/>
      <c r="AJ1106" s="1292"/>
      <c r="AK1106" s="1292"/>
      <c r="AL1106" s="1292"/>
      <c r="AM1106" s="1292"/>
      <c r="AN1106" s="1292"/>
      <c r="AO1106" s="1292"/>
      <c r="AP1106" s="1292"/>
      <c r="AQ1106" s="1292"/>
      <c r="AR1106" s="1292"/>
    </row>
    <row r="1107" spans="1:44" ht="12.9" customHeight="1">
      <c r="A1107" s="1"/>
      <c r="B1107" s="1"/>
      <c r="C1107" s="1290"/>
      <c r="D1107" s="1290"/>
      <c r="E1107" s="1292"/>
      <c r="F1107" s="1292"/>
      <c r="G1107" s="1292"/>
      <c r="H1107" s="1292"/>
      <c r="I1107" s="1292"/>
      <c r="J1107" s="1292"/>
      <c r="K1107" s="1292"/>
      <c r="L1107" s="1292"/>
      <c r="M1107" s="1292"/>
      <c r="N1107" s="1292"/>
      <c r="O1107" s="1292"/>
      <c r="P1107" s="1292"/>
      <c r="Q1107" s="1292"/>
      <c r="R1107" s="1292"/>
      <c r="S1107" s="1292"/>
      <c r="T1107" s="1292"/>
      <c r="U1107" s="1292"/>
      <c r="V1107" s="1292"/>
      <c r="W1107" s="1292"/>
      <c r="X1107" s="1292"/>
      <c r="Y1107" s="1292"/>
      <c r="Z1107" s="1292"/>
      <c r="AA1107" s="1292"/>
      <c r="AB1107" s="1292"/>
      <c r="AC1107" s="1292"/>
      <c r="AD1107" s="1292"/>
      <c r="AE1107" s="1292"/>
      <c r="AF1107" s="1292"/>
      <c r="AG1107" s="1292"/>
      <c r="AH1107" s="1292"/>
      <c r="AI1107" s="1292"/>
      <c r="AJ1107" s="1292"/>
      <c r="AK1107" s="1292"/>
      <c r="AL1107" s="1292"/>
      <c r="AM1107" s="1292"/>
      <c r="AN1107" s="1292"/>
      <c r="AO1107" s="1292"/>
      <c r="AP1107" s="1292"/>
      <c r="AQ1107" s="1292"/>
      <c r="AR1107" s="1292"/>
    </row>
    <row r="1108" spans="1:44" ht="12.9" customHeight="1">
      <c r="A1108" s="35"/>
      <c r="B1108" s="25"/>
      <c r="C1108" s="1290"/>
      <c r="D1108" s="129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289" t="s">
        <v>591</v>
      </c>
      <c r="B1109" s="1289"/>
      <c r="C1109" s="1290">
        <v>10</v>
      </c>
      <c r="D1109" s="1290"/>
      <c r="E1109" s="1291" t="s">
        <v>2187</v>
      </c>
      <c r="F1109" s="1291"/>
      <c r="G1109" s="1291"/>
      <c r="H1109" s="1291"/>
      <c r="I1109" s="1291"/>
      <c r="J1109" s="1291"/>
      <c r="K1109" s="1291"/>
      <c r="L1109" s="1291"/>
      <c r="M1109" s="1291"/>
      <c r="N1109" s="1291"/>
      <c r="O1109" s="1291"/>
      <c r="P1109" s="1291"/>
      <c r="Q1109" s="1291"/>
      <c r="R1109" s="1291"/>
      <c r="S1109" s="1291"/>
      <c r="T1109" s="1291"/>
      <c r="U1109" s="1291"/>
      <c r="V1109" s="1291"/>
      <c r="W1109" s="1291"/>
      <c r="X1109" s="1291"/>
      <c r="Y1109" s="1291"/>
      <c r="Z1109" s="1291"/>
      <c r="AA1109" s="1291"/>
      <c r="AB1109" s="1291"/>
      <c r="AC1109" s="1291"/>
      <c r="AD1109" s="1291"/>
      <c r="AE1109" s="1291"/>
      <c r="AF1109" s="1291"/>
      <c r="AG1109" s="1291"/>
      <c r="AH1109" s="1291"/>
      <c r="AI1109" s="1291"/>
      <c r="AJ1109" s="1291"/>
      <c r="AK1109" s="1291"/>
      <c r="AL1109" s="1291"/>
      <c r="AM1109" s="1291"/>
      <c r="AN1109" s="1291"/>
      <c r="AO1109" s="1291"/>
      <c r="AP1109" s="1291"/>
      <c r="AQ1109" s="1291"/>
      <c r="AR1109" s="1291"/>
    </row>
    <row r="1110" spans="1:44" ht="12.9" customHeight="1">
      <c r="A1110" s="1"/>
      <c r="B1110" s="1"/>
      <c r="C1110" s="199"/>
      <c r="D1110" s="1149"/>
      <c r="E1110" s="1291"/>
      <c r="F1110" s="1291"/>
      <c r="G1110" s="1291"/>
      <c r="H1110" s="1291"/>
      <c r="I1110" s="1291"/>
      <c r="J1110" s="1291"/>
      <c r="K1110" s="1291"/>
      <c r="L1110" s="1291"/>
      <c r="M1110" s="1291"/>
      <c r="N1110" s="1291"/>
      <c r="O1110" s="1291"/>
      <c r="P1110" s="1291"/>
      <c r="Q1110" s="1291"/>
      <c r="R1110" s="1291"/>
      <c r="S1110" s="1291"/>
      <c r="T1110" s="1291"/>
      <c r="U1110" s="1291"/>
      <c r="V1110" s="1291"/>
      <c r="W1110" s="1291"/>
      <c r="X1110" s="1291"/>
      <c r="Y1110" s="1291"/>
      <c r="Z1110" s="1291"/>
      <c r="AA1110" s="1291"/>
      <c r="AB1110" s="1291"/>
      <c r="AC1110" s="1291"/>
      <c r="AD1110" s="1291"/>
      <c r="AE1110" s="1291"/>
      <c r="AF1110" s="1291"/>
      <c r="AG1110" s="1291"/>
      <c r="AH1110" s="1291"/>
      <c r="AI1110" s="1291"/>
      <c r="AJ1110" s="1291"/>
      <c r="AK1110" s="1291"/>
      <c r="AL1110" s="1291"/>
      <c r="AM1110" s="1291"/>
      <c r="AN1110" s="1291"/>
      <c r="AO1110" s="1291"/>
      <c r="AP1110" s="1291"/>
      <c r="AQ1110" s="1291"/>
      <c r="AR1110" s="1291"/>
    </row>
    <row r="1111" spans="1:44" ht="12.9"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 customHeight="1">
      <c r="A1112" s="1289" t="s">
        <v>591</v>
      </c>
      <c r="B1112" s="1289"/>
      <c r="C1112" s="1290">
        <v>11</v>
      </c>
      <c r="D1112" s="1290"/>
      <c r="E1112" s="1291" t="s">
        <v>2188</v>
      </c>
      <c r="F1112" s="1291"/>
      <c r="G1112" s="1291"/>
      <c r="H1112" s="1291"/>
      <c r="I1112" s="1291"/>
      <c r="J1112" s="1291"/>
      <c r="K1112" s="1291"/>
      <c r="L1112" s="1291"/>
      <c r="M1112" s="1291"/>
      <c r="N1112" s="1291"/>
      <c r="O1112" s="1291"/>
      <c r="P1112" s="1291"/>
      <c r="Q1112" s="1291"/>
      <c r="R1112" s="1291"/>
      <c r="S1112" s="1291"/>
      <c r="T1112" s="1291"/>
      <c r="U1112" s="1291"/>
      <c r="V1112" s="1291"/>
      <c r="W1112" s="1291"/>
      <c r="X1112" s="1291"/>
      <c r="Y1112" s="1291"/>
      <c r="Z1112" s="1291"/>
      <c r="AA1112" s="1291"/>
      <c r="AB1112" s="1291"/>
      <c r="AC1112" s="1291"/>
      <c r="AD1112" s="1291"/>
      <c r="AE1112" s="1291"/>
      <c r="AF1112" s="1291"/>
      <c r="AG1112" s="1291"/>
      <c r="AH1112" s="1291"/>
      <c r="AI1112" s="1291"/>
      <c r="AJ1112" s="1291"/>
      <c r="AK1112" s="1291"/>
      <c r="AL1112" s="1291"/>
      <c r="AM1112" s="1291"/>
      <c r="AN1112" s="1291"/>
      <c r="AO1112" s="1291"/>
      <c r="AP1112" s="1291"/>
      <c r="AQ1112" s="1291"/>
      <c r="AR1112" s="1291"/>
    </row>
    <row r="1113" spans="1:44" ht="12.9" customHeight="1">
      <c r="A1113" s="1"/>
      <c r="B1113" s="1"/>
      <c r="C1113" s="199"/>
      <c r="D1113" s="1149"/>
      <c r="E1113" s="1291"/>
      <c r="F1113" s="1291"/>
      <c r="G1113" s="1291"/>
      <c r="H1113" s="1291"/>
      <c r="I1113" s="1291"/>
      <c r="J1113" s="1291"/>
      <c r="K1113" s="1291"/>
      <c r="L1113" s="1291"/>
      <c r="M1113" s="1291"/>
      <c r="N1113" s="1291"/>
      <c r="O1113" s="1291"/>
      <c r="P1113" s="1291"/>
      <c r="Q1113" s="1291"/>
      <c r="R1113" s="1291"/>
      <c r="S1113" s="1291"/>
      <c r="T1113" s="1291"/>
      <c r="U1113" s="1291"/>
      <c r="V1113" s="1291"/>
      <c r="W1113" s="1291"/>
      <c r="X1113" s="1291"/>
      <c r="Y1113" s="1291"/>
      <c r="Z1113" s="1291"/>
      <c r="AA1113" s="1291"/>
      <c r="AB1113" s="1291"/>
      <c r="AC1113" s="1291"/>
      <c r="AD1113" s="1291"/>
      <c r="AE1113" s="1291"/>
      <c r="AF1113" s="1291"/>
      <c r="AG1113" s="1291"/>
      <c r="AH1113" s="1291"/>
      <c r="AI1113" s="1291"/>
      <c r="AJ1113" s="1291"/>
      <c r="AK1113" s="1291"/>
      <c r="AL1113" s="1291"/>
      <c r="AM1113" s="1291"/>
      <c r="AN1113" s="1291"/>
      <c r="AO1113" s="1291"/>
      <c r="AP1113" s="1291"/>
      <c r="AQ1113" s="1291"/>
      <c r="AR1113" s="1291"/>
    </row>
    <row r="1114" spans="1:44" ht="12.9"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9" t="s">
        <v>591</v>
      </c>
      <c r="B1134" s="1289"/>
      <c r="C1134" s="199">
        <v>9</v>
      </c>
      <c r="D1134" s="1460" t="s">
        <v>1074</v>
      </c>
      <c r="E1134" s="1460"/>
      <c r="F1134" s="1460"/>
      <c r="G1134" s="1460"/>
      <c r="H1134" s="1460"/>
      <c r="I1134" s="1460"/>
      <c r="J1134" s="1460"/>
      <c r="K1134" s="1460"/>
      <c r="L1134" s="1460"/>
      <c r="M1134" s="1460"/>
      <c r="N1134" s="1460"/>
      <c r="O1134" s="1460"/>
      <c r="P1134" s="1460"/>
      <c r="Q1134" s="1460"/>
      <c r="R1134" s="1460"/>
      <c r="S1134" s="1460"/>
      <c r="T1134" s="1460"/>
      <c r="U1134" s="1460"/>
      <c r="V1134" s="1460"/>
      <c r="W1134" s="1460"/>
      <c r="X1134" s="1460"/>
      <c r="Y1134" s="1460"/>
      <c r="Z1134" s="1460"/>
      <c r="AA1134" s="1460"/>
      <c r="AB1134" s="1460"/>
      <c r="AC1134" s="1460"/>
      <c r="AD1134" s="1460"/>
      <c r="AE1134" s="1460"/>
      <c r="AF1134" s="1460"/>
      <c r="AG1134" s="1460"/>
      <c r="AH1134" s="1460"/>
      <c r="AI1134" s="1460"/>
      <c r="AJ1134" s="1460"/>
      <c r="AK1134" s="1460"/>
    </row>
    <row r="1135" spans="1:37" ht="0" hidden="1" customHeight="1">
      <c r="A1135" s="35"/>
      <c r="B1135" s="25"/>
      <c r="C1135" s="199"/>
      <c r="D1135" s="1460"/>
      <c r="E1135" s="1460"/>
      <c r="F1135" s="1460"/>
      <c r="G1135" s="1460"/>
      <c r="H1135" s="1460"/>
      <c r="I1135" s="1460"/>
      <c r="J1135" s="1460"/>
      <c r="K1135" s="1460"/>
      <c r="L1135" s="1460"/>
      <c r="M1135" s="1460"/>
      <c r="N1135" s="1460"/>
      <c r="O1135" s="1460"/>
      <c r="P1135" s="1460"/>
      <c r="Q1135" s="1460"/>
      <c r="R1135" s="1460"/>
      <c r="S1135" s="1460"/>
      <c r="T1135" s="1460"/>
      <c r="U1135" s="1460"/>
      <c r="V1135" s="1460"/>
      <c r="W1135" s="1460"/>
      <c r="X1135" s="1460"/>
      <c r="Y1135" s="1460"/>
      <c r="Z1135" s="1460"/>
      <c r="AA1135" s="1460"/>
      <c r="AB1135" s="1460"/>
      <c r="AC1135" s="1460"/>
      <c r="AD1135" s="1460"/>
      <c r="AE1135" s="1460"/>
      <c r="AF1135" s="1460"/>
      <c r="AG1135" s="1460"/>
      <c r="AH1135" s="1460"/>
      <c r="AI1135" s="1460"/>
      <c r="AJ1135" s="1460"/>
      <c r="AK1135" s="1460"/>
    </row>
    <row r="1136" spans="1:37" ht="0" hidden="1" customHeight="1">
      <c r="D1136" s="1460"/>
      <c r="E1136" s="1460"/>
      <c r="F1136" s="1460"/>
      <c r="G1136" s="1460"/>
      <c r="H1136" s="1460"/>
      <c r="I1136" s="1460"/>
      <c r="J1136" s="1460"/>
      <c r="K1136" s="1460"/>
      <c r="L1136" s="1460"/>
      <c r="M1136" s="1460"/>
      <c r="N1136" s="1460"/>
      <c r="O1136" s="1460"/>
      <c r="P1136" s="1460"/>
      <c r="Q1136" s="1460"/>
      <c r="R1136" s="1460"/>
      <c r="S1136" s="1460"/>
      <c r="T1136" s="1460"/>
      <c r="U1136" s="1460"/>
      <c r="V1136" s="1460"/>
      <c r="W1136" s="1460"/>
      <c r="X1136" s="1460"/>
      <c r="Y1136" s="1460"/>
      <c r="Z1136" s="1460"/>
      <c r="AA1136" s="1460"/>
      <c r="AB1136" s="1460"/>
      <c r="AC1136" s="1460"/>
      <c r="AD1136" s="1460"/>
      <c r="AE1136" s="1460"/>
      <c r="AF1136" s="1460"/>
      <c r="AG1136" s="1460"/>
      <c r="AH1136" s="1460"/>
      <c r="AI1136" s="1460"/>
      <c r="AJ1136" s="1460"/>
      <c r="AK1136" s="1460"/>
    </row>
    <row r="1146" ht="15" hidden="1" customHeight="1"/>
    <row r="2026" ht="9.9"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69">
    <mergeCell ref="DJ798:DN798"/>
    <mergeCell ref="DJ799:DN799"/>
    <mergeCell ref="DJ800:DN800"/>
    <mergeCell ref="DO799:DS799"/>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J796:EN796"/>
    <mergeCell ref="EJ797:EN797"/>
    <mergeCell ref="EJ798:EN798"/>
    <mergeCell ref="EJ799:EN799"/>
    <mergeCell ref="EJ800:EN800"/>
    <mergeCell ref="EJ801:EN801"/>
    <mergeCell ref="EJ802:EN802"/>
    <mergeCell ref="EJ803:EN803"/>
    <mergeCell ref="DU798:DY798"/>
    <mergeCell ref="DU799:DY799"/>
    <mergeCell ref="DU800:DY800"/>
    <mergeCell ref="DU796:DY796"/>
    <mergeCell ref="DU797:DY797"/>
    <mergeCell ref="DJ801:DN801"/>
    <mergeCell ref="DU804:DY804"/>
    <mergeCell ref="DE797:DI797"/>
    <mergeCell ref="EO795:ES795"/>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EO804:ES804"/>
    <mergeCell ref="DU805:DY805"/>
    <mergeCell ref="EJ804:EN804"/>
    <mergeCell ref="EJ805:EN805"/>
    <mergeCell ref="DJ802:DN802"/>
    <mergeCell ref="DZ804:ED804"/>
    <mergeCell ref="DZ805:ED805"/>
    <mergeCell ref="DO785:DS785"/>
    <mergeCell ref="DO783:DS783"/>
    <mergeCell ref="CU783:CY783"/>
    <mergeCell ref="CU784:CY784"/>
    <mergeCell ref="CP758:CT758"/>
    <mergeCell ref="DE798:DI798"/>
    <mergeCell ref="CZ803:DD803"/>
    <mergeCell ref="CK760:CL760"/>
    <mergeCell ref="CP755:CT755"/>
    <mergeCell ref="CZ785:DD785"/>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E785:DI785"/>
    <mergeCell ref="CZ804:DD804"/>
    <mergeCell ref="CZ805:DD805"/>
    <mergeCell ref="DE795:DI795"/>
    <mergeCell ref="DE796:DI796"/>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DE800:DI800"/>
    <mergeCell ref="CZ752:DD752"/>
    <mergeCell ref="CP805:CT805"/>
    <mergeCell ref="CZ750:DD750"/>
    <mergeCell ref="DE750:DI750"/>
    <mergeCell ref="CZ758:DD758"/>
    <mergeCell ref="CP754:CT754"/>
    <mergeCell ref="CU754:CY754"/>
    <mergeCell ref="DE783:DI783"/>
    <mergeCell ref="DJ785:DN785"/>
    <mergeCell ref="CZ782:DD782"/>
    <mergeCell ref="CZ781:DD781"/>
    <mergeCell ref="DJ784:DN784"/>
    <mergeCell ref="DO784:DS784"/>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E801:DI801"/>
    <mergeCell ref="CZ783:DD783"/>
    <mergeCell ref="CZ784:DD784"/>
    <mergeCell ref="DJ795:DN795"/>
    <mergeCell ref="DJ796:DN796"/>
    <mergeCell ref="DJ797:DN797"/>
    <mergeCell ref="DE802:DI802"/>
    <mergeCell ref="DE799:DI799"/>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CU795:CY795"/>
    <mergeCell ref="CU750:CY750"/>
    <mergeCell ref="CI757:CJ757"/>
    <mergeCell ref="CK757:CL757"/>
    <mergeCell ref="CG757:CH757"/>
    <mergeCell ref="CK759:CL759"/>
    <mergeCell ref="CP783:CT783"/>
    <mergeCell ref="CP784:CT784"/>
    <mergeCell ref="CI761:CJ761"/>
    <mergeCell ref="CU781:CY781"/>
    <mergeCell ref="DE752:DI752"/>
    <mergeCell ref="CP753:CT753"/>
    <mergeCell ref="CM752:CN752"/>
    <mergeCell ref="CI750:CJ750"/>
    <mergeCell ref="CG758:CH758"/>
    <mergeCell ref="CG756:CH756"/>
    <mergeCell ref="CI748:CJ748"/>
    <mergeCell ref="DE754:DI754"/>
    <mergeCell ref="CU751:CY751"/>
    <mergeCell ref="CI749:CJ749"/>
    <mergeCell ref="CU759:CY759"/>
    <mergeCell ref="CK756:CL756"/>
    <mergeCell ref="CK750:CL750"/>
    <mergeCell ref="CM756:CN756"/>
    <mergeCell ref="CU758:CY758"/>
    <mergeCell ref="CG754:CH754"/>
    <mergeCell ref="CI754:CJ754"/>
    <mergeCell ref="CM761:CN761"/>
    <mergeCell ref="CG750:CH750"/>
    <mergeCell ref="CU753:CY753"/>
    <mergeCell ref="CK749:CL749"/>
    <mergeCell ref="CM749:CN749"/>
    <mergeCell ref="CP749:CT749"/>
    <mergeCell ref="CI759:CJ759"/>
    <mergeCell ref="DE758:DI758"/>
    <mergeCell ref="CZ761:DD761"/>
    <mergeCell ref="CK758:CL758"/>
    <mergeCell ref="CM758:CN758"/>
    <mergeCell ref="CM755:CN755"/>
    <mergeCell ref="CM753:CN753"/>
    <mergeCell ref="FY761:GC761"/>
    <mergeCell ref="DJ752:DN752"/>
    <mergeCell ref="FE761:FI761"/>
    <mergeCell ref="EE758:EI758"/>
    <mergeCell ref="EJ758:EN758"/>
    <mergeCell ref="CU755:CY755"/>
    <mergeCell ref="EO758:ES758"/>
    <mergeCell ref="CZ755:DD755"/>
    <mergeCell ref="DJ751:DN751"/>
    <mergeCell ref="DJ753:DN753"/>
    <mergeCell ref="DO753:DS753"/>
    <mergeCell ref="CU756:CY756"/>
    <mergeCell ref="FY756:GC756"/>
    <mergeCell ref="FO750:FS750"/>
    <mergeCell ref="EE749:EI749"/>
    <mergeCell ref="EJ749:EN749"/>
    <mergeCell ref="EO749:ES749"/>
    <mergeCell ref="EE752:EI752"/>
    <mergeCell ref="FY750:GC750"/>
    <mergeCell ref="EZ751:FD751"/>
    <mergeCell ref="EE757:EI757"/>
    <mergeCell ref="EJ757:EN757"/>
    <mergeCell ref="EO757:ES757"/>
    <mergeCell ref="EE755:EI755"/>
    <mergeCell ref="EJ755:EN755"/>
    <mergeCell ref="FO759:FS759"/>
    <mergeCell ref="FE760:FI760"/>
    <mergeCell ref="FJ760:FN760"/>
    <mergeCell ref="ET749:EX749"/>
    <mergeCell ref="DU750:DY750"/>
    <mergeCell ref="DZ750:ED750"/>
    <mergeCell ref="ET750:EX750"/>
    <mergeCell ref="FT759:FX759"/>
    <mergeCell ref="DJ757:DN757"/>
    <mergeCell ref="FO754:FS754"/>
    <mergeCell ref="DU749:DY749"/>
    <mergeCell ref="DZ749:ED749"/>
    <mergeCell ref="FT757:FX757"/>
    <mergeCell ref="FT761:FX761"/>
    <mergeCell ref="EO753:ES753"/>
    <mergeCell ref="DZ761:ED761"/>
    <mergeCell ref="CZ756:DD756"/>
    <mergeCell ref="DE756:DI756"/>
    <mergeCell ref="DJ756:DN756"/>
    <mergeCell ref="DJ761:DN761"/>
    <mergeCell ref="DU757:DY757"/>
    <mergeCell ref="DO754:DS754"/>
    <mergeCell ref="CZ754:DD754"/>
    <mergeCell ref="FE750:FI750"/>
    <mergeCell ref="FJ750:FN750"/>
    <mergeCell ref="FJ761:FN761"/>
    <mergeCell ref="FO758:FS758"/>
    <mergeCell ref="FO761:FS761"/>
    <mergeCell ref="FE756:FI756"/>
    <mergeCell ref="FO756:FS756"/>
    <mergeCell ref="EZ753:FD753"/>
    <mergeCell ref="EO755:ES755"/>
    <mergeCell ref="ET755:EX755"/>
    <mergeCell ref="DU756:DY756"/>
    <mergeCell ref="DZ756:ED756"/>
    <mergeCell ref="EE756:EI756"/>
    <mergeCell ref="EJ756:EN756"/>
    <mergeCell ref="EO756:ES756"/>
    <mergeCell ref="DO759:DS759"/>
    <mergeCell ref="EO750:ES750"/>
    <mergeCell ref="ET761:EX761"/>
    <mergeCell ref="ET753:EX753"/>
    <mergeCell ref="EZ754:FD754"/>
    <mergeCell ref="FJ755:FN755"/>
    <mergeCell ref="EZ757:FD757"/>
    <mergeCell ref="FE757:FI757"/>
    <mergeCell ref="FJ757:FN757"/>
    <mergeCell ref="EZ761:FD761"/>
    <mergeCell ref="ET756:EX756"/>
    <mergeCell ref="FJ758:FN758"/>
    <mergeCell ref="EZ755:FD755"/>
    <mergeCell ref="CZ757:DD757"/>
    <mergeCell ref="DU754:DY754"/>
    <mergeCell ref="DZ754:ED754"/>
    <mergeCell ref="EE753:EI753"/>
    <mergeCell ref="DZ757:ED757"/>
    <mergeCell ref="EO754:ES754"/>
    <mergeCell ref="DO757:DS757"/>
    <mergeCell ref="ET758:EX758"/>
    <mergeCell ref="EJ754:EN754"/>
    <mergeCell ref="EZ756:FD756"/>
    <mergeCell ref="ET760:EX760"/>
    <mergeCell ref="EO759:ES759"/>
    <mergeCell ref="CZ760:DD760"/>
    <mergeCell ref="FJ756:FN756"/>
    <mergeCell ref="DE755:DI755"/>
    <mergeCell ref="FE751:FI751"/>
    <mergeCell ref="FJ751:FN751"/>
    <mergeCell ref="DJ758:DN758"/>
    <mergeCell ref="DZ758:ED758"/>
    <mergeCell ref="DO751:DS751"/>
    <mergeCell ref="FO755:FS755"/>
    <mergeCell ref="FT755:FX755"/>
    <mergeCell ref="FY752:GC752"/>
    <mergeCell ref="DU751:DY751"/>
    <mergeCell ref="DZ751:ED751"/>
    <mergeCell ref="EE751:EI751"/>
    <mergeCell ref="EJ751:EN751"/>
    <mergeCell ref="EO751:ES751"/>
    <mergeCell ref="ET751:EX751"/>
    <mergeCell ref="DU752:DY752"/>
    <mergeCell ref="DZ752:ED752"/>
    <mergeCell ref="CU742:CY742"/>
    <mergeCell ref="DE743:DI743"/>
    <mergeCell ref="DE745:DI745"/>
    <mergeCell ref="FY751:GC751"/>
    <mergeCell ref="DE740:DI740"/>
    <mergeCell ref="FY754:GC754"/>
    <mergeCell ref="FE755:FI755"/>
    <mergeCell ref="CZ743:DD743"/>
    <mergeCell ref="DJ748:DN748"/>
    <mergeCell ref="FE752:FI752"/>
    <mergeCell ref="FJ752:FN752"/>
    <mergeCell ref="FO752:FS752"/>
    <mergeCell ref="DZ753:ED753"/>
    <mergeCell ref="CU748:CY748"/>
    <mergeCell ref="EJ753:EN753"/>
    <mergeCell ref="EZ749:FD749"/>
    <mergeCell ref="FE749:FI749"/>
    <mergeCell ref="FJ749:FN749"/>
    <mergeCell ref="FO749:FS749"/>
    <mergeCell ref="FY749:GC749"/>
    <mergeCell ref="EZ750:FD750"/>
    <mergeCell ref="FO751:FS751"/>
    <mergeCell ref="FT751:FX751"/>
    <mergeCell ref="DE749:DI749"/>
    <mergeCell ref="CP750:CT750"/>
    <mergeCell ref="CP751:CT751"/>
    <mergeCell ref="CP747:CT747"/>
    <mergeCell ref="DX643:EB643"/>
    <mergeCell ref="DX646:EB646"/>
    <mergeCell ref="EC646:EG646"/>
    <mergeCell ref="EH646:EL646"/>
    <mergeCell ref="EM646:EQ646"/>
    <mergeCell ref="ER646:EV646"/>
    <mergeCell ref="EC643:EG643"/>
    <mergeCell ref="EH643:EL643"/>
    <mergeCell ref="EM643:EQ643"/>
    <mergeCell ref="ER643:EV643"/>
    <mergeCell ref="EW643:FA643"/>
    <mergeCell ref="CU735:CY735"/>
    <mergeCell ref="DJ739:DN739"/>
    <mergeCell ref="ET748:EX748"/>
    <mergeCell ref="DO725:DS725"/>
    <mergeCell ref="CZ729:DD729"/>
    <mergeCell ref="EH645:EL645"/>
    <mergeCell ref="DX676:EB676"/>
    <mergeCell ref="DX656:EB656"/>
    <mergeCell ref="DO726:DS726"/>
    <mergeCell ref="EH648:EL648"/>
    <mergeCell ref="CU749:CY749"/>
    <mergeCell ref="CZ749:DD749"/>
    <mergeCell ref="DZ748:ED748"/>
    <mergeCell ref="EE748:EI748"/>
    <mergeCell ref="EJ750:EN750"/>
    <mergeCell ref="FY760:GC760"/>
    <mergeCell ref="EC644:EG644"/>
    <mergeCell ref="EH644:EL644"/>
    <mergeCell ref="DX644:EB644"/>
    <mergeCell ref="ER644:EV644"/>
    <mergeCell ref="EZ758:FD758"/>
    <mergeCell ref="FE758:FI758"/>
    <mergeCell ref="DX666:EB666"/>
    <mergeCell ref="EC666:EG666"/>
    <mergeCell ref="EH666:EL666"/>
    <mergeCell ref="EM666:EQ666"/>
    <mergeCell ref="ET757:EX757"/>
    <mergeCell ref="FY757:GC757"/>
    <mergeCell ref="FE754:FI754"/>
    <mergeCell ref="FJ754:FN754"/>
    <mergeCell ref="ET754:EX754"/>
    <mergeCell ref="DU755:DY755"/>
    <mergeCell ref="DZ755:ED755"/>
    <mergeCell ref="ER666:EV666"/>
    <mergeCell ref="EZ752:FD752"/>
    <mergeCell ref="FT752:FX752"/>
    <mergeCell ref="FT735:FX735"/>
    <mergeCell ref="FT749:FX749"/>
    <mergeCell ref="FY746:GC746"/>
    <mergeCell ref="EZ745:FD745"/>
    <mergeCell ref="FE745:FI745"/>
    <mergeCell ref="FJ745:FN745"/>
    <mergeCell ref="FO745:FS745"/>
    <mergeCell ref="FT740:FX740"/>
    <mergeCell ref="FY740:GC740"/>
    <mergeCell ref="FO739:FS739"/>
    <mergeCell ref="FO743:FS743"/>
    <mergeCell ref="CZ741:DD741"/>
    <mergeCell ref="CZ744:DD744"/>
    <mergeCell ref="CM743:CN743"/>
    <mergeCell ref="CM741:CN741"/>
    <mergeCell ref="CG745:CH745"/>
    <mergeCell ref="CI740:CJ740"/>
    <mergeCell ref="CK741:CL741"/>
    <mergeCell ref="CG746:CH746"/>
    <mergeCell ref="CK747:CL747"/>
    <mergeCell ref="CP742:CT742"/>
    <mergeCell ref="CP746:CT746"/>
    <mergeCell ref="CK737:CL737"/>
    <mergeCell ref="CP738:CT738"/>
    <mergeCell ref="CG735:CH735"/>
    <mergeCell ref="CK745:CL745"/>
    <mergeCell ref="CZ746:DD746"/>
    <mergeCell ref="CK735:CL735"/>
    <mergeCell ref="CM735:CN735"/>
    <mergeCell ref="CU747:CY747"/>
    <mergeCell ref="CK739:CL739"/>
    <mergeCell ref="CG740:CH740"/>
    <mergeCell ref="CM747:CN747"/>
    <mergeCell ref="CU739:CY739"/>
    <mergeCell ref="CM740:CN740"/>
    <mergeCell ref="CK740:CL740"/>
    <mergeCell ref="CI735:CJ735"/>
    <mergeCell ref="CG747:CH747"/>
    <mergeCell ref="CI742:CJ742"/>
    <mergeCell ref="CI745:CJ745"/>
    <mergeCell ref="CG742:CH742"/>
    <mergeCell ref="CM744:CN744"/>
    <mergeCell ref="EW644:FA644"/>
    <mergeCell ref="ER645:EV645"/>
    <mergeCell ref="EM667:EQ667"/>
    <mergeCell ref="Z667:AK667"/>
    <mergeCell ref="AH747:AJ747"/>
    <mergeCell ref="N599:O599"/>
    <mergeCell ref="CZ748:DD748"/>
    <mergeCell ref="CU741:CY741"/>
    <mergeCell ref="CP734:CT734"/>
    <mergeCell ref="CP733:CT733"/>
    <mergeCell ref="CP735:CT735"/>
    <mergeCell ref="CU734:CY734"/>
    <mergeCell ref="CZ734:DD734"/>
    <mergeCell ref="CZ739:DD739"/>
    <mergeCell ref="CI747:CJ747"/>
    <mergeCell ref="AK747:AO747"/>
    <mergeCell ref="DJ741:DN741"/>
    <mergeCell ref="DJ740:DN740"/>
    <mergeCell ref="DZ739:ED739"/>
    <mergeCell ref="EE739:EI739"/>
    <mergeCell ref="EJ739:EN739"/>
    <mergeCell ref="DU740:DY740"/>
    <mergeCell ref="CG739:CH739"/>
    <mergeCell ref="CI732:CJ732"/>
    <mergeCell ref="T732:W732"/>
    <mergeCell ref="CG732:CH732"/>
    <mergeCell ref="CP730:CT730"/>
    <mergeCell ref="CP726:CT726"/>
    <mergeCell ref="CI726:CJ726"/>
    <mergeCell ref="CM745:CN745"/>
    <mergeCell ref="CU745:CY745"/>
    <mergeCell ref="H614:R614"/>
    <mergeCell ref="AM565:AS565"/>
    <mergeCell ref="B497:P498"/>
    <mergeCell ref="AC514:AF514"/>
    <mergeCell ref="Q497:R498"/>
    <mergeCell ref="AH543:AK543"/>
    <mergeCell ref="AC540:AF540"/>
    <mergeCell ref="AC539:AF539"/>
    <mergeCell ref="AC547:AF547"/>
    <mergeCell ref="L516:AB516"/>
    <mergeCell ref="O528:AA528"/>
    <mergeCell ref="AH526:AK526"/>
    <mergeCell ref="G580:L580"/>
    <mergeCell ref="CM750:CN750"/>
    <mergeCell ref="G613:L613"/>
    <mergeCell ref="CI738:CJ738"/>
    <mergeCell ref="CI739:CJ739"/>
    <mergeCell ref="CM736:CN736"/>
    <mergeCell ref="CK736:CL736"/>
    <mergeCell ref="AK642:AN642"/>
    <mergeCell ref="AK643:AN643"/>
    <mergeCell ref="CI746:CJ746"/>
    <mergeCell ref="Q569:S569"/>
    <mergeCell ref="N591:O591"/>
    <mergeCell ref="W569:Y569"/>
    <mergeCell ref="Z570:AD570"/>
    <mergeCell ref="AE570:AH570"/>
    <mergeCell ref="H581:R581"/>
    <mergeCell ref="B574:AL574"/>
    <mergeCell ref="N583:O583"/>
    <mergeCell ref="CK732:CL732"/>
    <mergeCell ref="CM739:CN739"/>
    <mergeCell ref="CI741:CJ741"/>
    <mergeCell ref="DZ742:ED742"/>
    <mergeCell ref="CG744:CH744"/>
    <mergeCell ref="CK744:CL744"/>
    <mergeCell ref="CU740:CY740"/>
    <mergeCell ref="CZ745:DD745"/>
    <mergeCell ref="AM559:AS561"/>
    <mergeCell ref="AI613:AK613"/>
    <mergeCell ref="W570:Y570"/>
    <mergeCell ref="T567:V567"/>
    <mergeCell ref="T566:V566"/>
    <mergeCell ref="O540:AA540"/>
    <mergeCell ref="M564:P564"/>
    <mergeCell ref="AI566:AL566"/>
    <mergeCell ref="O537:AA537"/>
    <mergeCell ref="AH541:AK541"/>
    <mergeCell ref="X722:AB725"/>
    <mergeCell ref="AE702:AF702"/>
    <mergeCell ref="W638:Y638"/>
    <mergeCell ref="AG583:AH583"/>
    <mergeCell ref="Z580:AE580"/>
    <mergeCell ref="Z585:AK585"/>
    <mergeCell ref="M582:R582"/>
    <mergeCell ref="AG607:AH607"/>
    <mergeCell ref="Z564:AD564"/>
    <mergeCell ref="AI563:AL563"/>
    <mergeCell ref="G693:R693"/>
    <mergeCell ref="AG689:AH689"/>
    <mergeCell ref="AI571:AL571"/>
    <mergeCell ref="AI572:AL572"/>
    <mergeCell ref="T569:V569"/>
    <mergeCell ref="C570:L570"/>
    <mergeCell ref="Q573:S573"/>
    <mergeCell ref="AM562:AS562"/>
    <mergeCell ref="AO647:AS647"/>
    <mergeCell ref="AO637:AS637"/>
    <mergeCell ref="AO646:AS646"/>
    <mergeCell ref="AC527:AF527"/>
    <mergeCell ref="AC531:AF531"/>
    <mergeCell ref="Q493:AK493"/>
    <mergeCell ref="AC533:AF533"/>
    <mergeCell ref="W482:Y482"/>
    <mergeCell ref="AM568:AS568"/>
    <mergeCell ref="AH537:AK537"/>
    <mergeCell ref="AH542:AK542"/>
    <mergeCell ref="AI568:AL568"/>
    <mergeCell ref="AE563:AH563"/>
    <mergeCell ref="AH547:AK547"/>
    <mergeCell ref="AH549:AK549"/>
    <mergeCell ref="AC536:AF536"/>
    <mergeCell ref="T564:V564"/>
    <mergeCell ref="AI580:AK580"/>
    <mergeCell ref="G612:R612"/>
    <mergeCell ref="G597:L597"/>
    <mergeCell ref="T568:V568"/>
    <mergeCell ref="AC549:AF549"/>
    <mergeCell ref="Z559:AD561"/>
    <mergeCell ref="AH521:AK521"/>
    <mergeCell ref="Z577:AK577"/>
    <mergeCell ref="AH523:AK523"/>
    <mergeCell ref="AH515:AK515"/>
    <mergeCell ref="W559:Y561"/>
    <mergeCell ref="T559:V561"/>
    <mergeCell ref="Z565:AD565"/>
    <mergeCell ref="AM563:AS563"/>
    <mergeCell ref="Q403:U403"/>
    <mergeCell ref="AD421:AE421"/>
    <mergeCell ref="H423:AE424"/>
    <mergeCell ref="AC511:AF511"/>
    <mergeCell ref="AC521:AF521"/>
    <mergeCell ref="AC522:AF522"/>
    <mergeCell ref="AH546:AK546"/>
    <mergeCell ref="Q502:AK502"/>
    <mergeCell ref="C567:L567"/>
    <mergeCell ref="B559:L561"/>
    <mergeCell ref="E429:AJ429"/>
    <mergeCell ref="D446:AF446"/>
    <mergeCell ref="D473:V473"/>
    <mergeCell ref="AI565:AL565"/>
    <mergeCell ref="AI562:AL562"/>
    <mergeCell ref="M503:P503"/>
    <mergeCell ref="AH517:AK517"/>
    <mergeCell ref="AC513:AF513"/>
    <mergeCell ref="AG459:AJ459"/>
    <mergeCell ref="D475:V475"/>
    <mergeCell ref="W475:Y475"/>
    <mergeCell ref="W478:Y478"/>
    <mergeCell ref="AC518:AF518"/>
    <mergeCell ref="AH522:AK522"/>
    <mergeCell ref="W473:Y473"/>
    <mergeCell ref="Q564:S564"/>
    <mergeCell ref="Z567:AD567"/>
    <mergeCell ref="O531:AA531"/>
    <mergeCell ref="AH530:AK530"/>
    <mergeCell ref="M559:P561"/>
    <mergeCell ref="AC544:AF544"/>
    <mergeCell ref="AC550:AF550"/>
    <mergeCell ref="AG447:AJ447"/>
    <mergeCell ref="B509:H510"/>
    <mergeCell ref="D477:V477"/>
    <mergeCell ref="AH535:AK535"/>
    <mergeCell ref="S497:AK498"/>
    <mergeCell ref="AG456:AJ456"/>
    <mergeCell ref="AC463:AF463"/>
    <mergeCell ref="AH520:AK520"/>
    <mergeCell ref="D449:AF449"/>
    <mergeCell ref="D479:V479"/>
    <mergeCell ref="AH513:AK513"/>
    <mergeCell ref="AC529:AF529"/>
    <mergeCell ref="D456:AF456"/>
    <mergeCell ref="AG450:AJ450"/>
    <mergeCell ref="D458:AF458"/>
    <mergeCell ref="AC532:AF532"/>
    <mergeCell ref="AH514:AK514"/>
    <mergeCell ref="AH516:AK516"/>
    <mergeCell ref="AC516:AF516"/>
    <mergeCell ref="D450:AF450"/>
    <mergeCell ref="B525:H527"/>
    <mergeCell ref="AH528:AK528"/>
    <mergeCell ref="D480:V480"/>
    <mergeCell ref="W480:Y480"/>
    <mergeCell ref="W474:Y474"/>
    <mergeCell ref="AH518:AK518"/>
    <mergeCell ref="AC523:AF523"/>
    <mergeCell ref="Q499:AK499"/>
    <mergeCell ref="AH503:AK503"/>
    <mergeCell ref="AC509:AF509"/>
    <mergeCell ref="AC507:AK507"/>
    <mergeCell ref="W476:Y476"/>
    <mergeCell ref="G578:R578"/>
    <mergeCell ref="Z569:AD569"/>
    <mergeCell ref="AE573:AH573"/>
    <mergeCell ref="AC546:AF546"/>
    <mergeCell ref="Z562:AD562"/>
    <mergeCell ref="Q566:S566"/>
    <mergeCell ref="M565:P565"/>
    <mergeCell ref="AC541:AF541"/>
    <mergeCell ref="AH545:AK545"/>
    <mergeCell ref="T571:V571"/>
    <mergeCell ref="Z572:AD572"/>
    <mergeCell ref="AG455:AJ455"/>
    <mergeCell ref="AG448:AJ448"/>
    <mergeCell ref="D453:AF453"/>
    <mergeCell ref="D476:V476"/>
    <mergeCell ref="AC520:AF520"/>
    <mergeCell ref="B511:H516"/>
    <mergeCell ref="D481:V481"/>
    <mergeCell ref="D478:V478"/>
    <mergeCell ref="AC542:AF542"/>
    <mergeCell ref="AH550:AK550"/>
    <mergeCell ref="AC543:AF543"/>
    <mergeCell ref="AH548:AK548"/>
    <mergeCell ref="AE559:AH561"/>
    <mergeCell ref="AE568:AH568"/>
    <mergeCell ref="C562:L562"/>
    <mergeCell ref="Q565:S565"/>
    <mergeCell ref="AI559:AL561"/>
    <mergeCell ref="Q568:S568"/>
    <mergeCell ref="C568:L568"/>
    <mergeCell ref="Z568:AD568"/>
    <mergeCell ref="Q562:S562"/>
    <mergeCell ref="C564:L564"/>
    <mergeCell ref="AC525:AF525"/>
    <mergeCell ref="M566:P566"/>
    <mergeCell ref="W565:Y565"/>
    <mergeCell ref="AC534:AF534"/>
    <mergeCell ref="Z563:AD563"/>
    <mergeCell ref="Q567:S567"/>
    <mergeCell ref="W481:Y481"/>
    <mergeCell ref="AC512:AF512"/>
    <mergeCell ref="AE572:AH572"/>
    <mergeCell ref="AE571:AH571"/>
    <mergeCell ref="AC545:AF545"/>
    <mergeCell ref="O534:AA534"/>
    <mergeCell ref="C566:L566"/>
    <mergeCell ref="Q563:S563"/>
    <mergeCell ref="Q559:S561"/>
    <mergeCell ref="M563:P563"/>
    <mergeCell ref="C563:L563"/>
    <mergeCell ref="T562:V562"/>
    <mergeCell ref="AC548:AF548"/>
    <mergeCell ref="AE567:AH567"/>
    <mergeCell ref="M244:AE244"/>
    <mergeCell ref="I185:AE185"/>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P354:AE354"/>
    <mergeCell ref="R421:S421"/>
    <mergeCell ref="Q438:R438"/>
    <mergeCell ref="D457:AF457"/>
    <mergeCell ref="AG454:AJ454"/>
    <mergeCell ref="AC262:AE262"/>
    <mergeCell ref="P308:R308"/>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57:AE257"/>
    <mergeCell ref="AA309:AF309"/>
    <mergeCell ref="W270:X270"/>
    <mergeCell ref="U272:W272"/>
    <mergeCell ref="M266:T266"/>
    <mergeCell ref="M265:AE265"/>
    <mergeCell ref="AA317:AF317"/>
    <mergeCell ref="H320:R320"/>
    <mergeCell ref="M261:AE261"/>
    <mergeCell ref="AH263:AK263"/>
    <mergeCell ref="M268:AE268"/>
    <mergeCell ref="L289:AD289"/>
    <mergeCell ref="L284:AD284"/>
    <mergeCell ref="V285:W285"/>
    <mergeCell ref="M262:T262"/>
    <mergeCell ref="L283:AJ283"/>
    <mergeCell ref="H308:M308"/>
    <mergeCell ref="H309:M309"/>
    <mergeCell ref="AA266:AK266"/>
    <mergeCell ref="M269:AE269"/>
    <mergeCell ref="AA274:AK274"/>
    <mergeCell ref="M270:T270"/>
    <mergeCell ref="AI316:AK316"/>
    <mergeCell ref="H306:R306"/>
    <mergeCell ref="H305:R305"/>
    <mergeCell ref="H312:R312"/>
    <mergeCell ref="H315:R315"/>
    <mergeCell ref="AA310:AK310"/>
    <mergeCell ref="AF260:AK260"/>
    <mergeCell ref="Z272:AE272"/>
    <mergeCell ref="AA318:AK318"/>
    <mergeCell ref="AA316:AF31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AI178:AK178"/>
    <mergeCell ref="R177:S177"/>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M243:T243"/>
    <mergeCell ref="W243:X243"/>
    <mergeCell ref="T212:U212"/>
    <mergeCell ref="F150:T150"/>
    <mergeCell ref="J173:S173"/>
    <mergeCell ref="AH255:AK255"/>
    <mergeCell ref="M253:AE253"/>
    <mergeCell ref="M256:R256"/>
    <mergeCell ref="O159:T159"/>
    <mergeCell ref="T287:V287"/>
    <mergeCell ref="P300:R300"/>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52:AE252"/>
    <mergeCell ref="D204:M204"/>
    <mergeCell ref="M247:T247"/>
    <mergeCell ref="T197:U197"/>
    <mergeCell ref="W262:X262"/>
    <mergeCell ref="AF268:AK268"/>
    <mergeCell ref="AC270:AE270"/>
    <mergeCell ref="M271:AE271"/>
    <mergeCell ref="L286:AD286"/>
    <mergeCell ref="AA326:AK326"/>
    <mergeCell ref="AA308:AF308"/>
    <mergeCell ref="AA337:AK337"/>
    <mergeCell ref="AA336:AK336"/>
    <mergeCell ref="AI324:AK324"/>
    <mergeCell ref="AA321:AK321"/>
    <mergeCell ref="H321:R321"/>
    <mergeCell ref="H322:R322"/>
    <mergeCell ref="H323:R323"/>
    <mergeCell ref="H337:R337"/>
    <mergeCell ref="AI332:AK332"/>
    <mergeCell ref="H326:R326"/>
    <mergeCell ref="P332:R332"/>
    <mergeCell ref="M273:AE273"/>
    <mergeCell ref="AB285:AD285"/>
    <mergeCell ref="Y287:AD287"/>
    <mergeCell ref="AA304:AK304"/>
    <mergeCell ref="H334:R334"/>
    <mergeCell ref="H333:M333"/>
    <mergeCell ref="AI308:AK308"/>
    <mergeCell ref="H298:R298"/>
    <mergeCell ref="H299:R299"/>
    <mergeCell ref="H297:R297"/>
    <mergeCell ref="AA299:AK299"/>
    <mergeCell ref="AA298:AK298"/>
    <mergeCell ref="AA297:AK297"/>
    <mergeCell ref="H304:R304"/>
    <mergeCell ref="H307:R307"/>
    <mergeCell ref="AA307:AK307"/>
    <mergeCell ref="AA301:AF301"/>
    <mergeCell ref="H301:M301"/>
    <mergeCell ref="M263:AE263"/>
    <mergeCell ref="AH271:AK271"/>
    <mergeCell ref="T276:X276"/>
    <mergeCell ref="AI300:AK300"/>
    <mergeCell ref="AA332:AF332"/>
    <mergeCell ref="H332:M332"/>
    <mergeCell ref="AA324:AF324"/>
    <mergeCell ref="H314:R314"/>
    <mergeCell ref="H313:R313"/>
    <mergeCell ref="H300:M300"/>
    <mergeCell ref="H302:R302"/>
    <mergeCell ref="AA300:AF300"/>
    <mergeCell ref="AA320:AK320"/>
    <mergeCell ref="AA315:AK315"/>
    <mergeCell ref="AA312:AK312"/>
    <mergeCell ref="D279:H279"/>
    <mergeCell ref="X279:AC279"/>
    <mergeCell ref="H317:M317"/>
    <mergeCell ref="P316:R316"/>
    <mergeCell ref="U264:W264"/>
    <mergeCell ref="H324:M324"/>
    <mergeCell ref="L285:S285"/>
    <mergeCell ref="L287:Q287"/>
    <mergeCell ref="H316:M316"/>
    <mergeCell ref="H296:R296"/>
    <mergeCell ref="AA296:AK296"/>
    <mergeCell ref="M272:R272"/>
    <mergeCell ref="M274:T274"/>
    <mergeCell ref="AA323:AK323"/>
    <mergeCell ref="AA322:AK322"/>
    <mergeCell ref="AA325:AF325"/>
    <mergeCell ref="AA306:AK306"/>
    <mergeCell ref="AA345:AK345"/>
    <mergeCell ref="H342:R342"/>
    <mergeCell ref="H336:R336"/>
    <mergeCell ref="AA313:AK313"/>
    <mergeCell ref="H325:M325"/>
    <mergeCell ref="AA334:AK334"/>
    <mergeCell ref="AA339:AK339"/>
    <mergeCell ref="AA305:AK305"/>
    <mergeCell ref="H310:R310"/>
    <mergeCell ref="AA338:AK338"/>
    <mergeCell ref="H349:M349"/>
    <mergeCell ref="AC517:AF517"/>
    <mergeCell ref="AC524:AF524"/>
    <mergeCell ref="Q501:AK501"/>
    <mergeCell ref="AC510:AF510"/>
    <mergeCell ref="B522:H524"/>
    <mergeCell ref="H338:R338"/>
    <mergeCell ref="H339:R339"/>
    <mergeCell ref="P340:R340"/>
    <mergeCell ref="AA333:AF333"/>
    <mergeCell ref="AC395:AJ395"/>
    <mergeCell ref="K412:AJ412"/>
    <mergeCell ref="P355:AE355"/>
    <mergeCell ref="W477:Y477"/>
    <mergeCell ref="AF427:AH427"/>
    <mergeCell ref="AJ366:AK366"/>
    <mergeCell ref="H318:R318"/>
    <mergeCell ref="P324:R324"/>
    <mergeCell ref="AA314:AK314"/>
    <mergeCell ref="H340:M34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46:AK346"/>
    <mergeCell ref="H341:M341"/>
    <mergeCell ref="P356:Z356"/>
    <mergeCell ref="AA350:AK350"/>
    <mergeCell ref="E377:AH378"/>
    <mergeCell ref="D447:AF447"/>
    <mergeCell ref="P358:AE358"/>
    <mergeCell ref="V391:W391"/>
    <mergeCell ref="J376:K376"/>
    <mergeCell ref="S414:AJ414"/>
    <mergeCell ref="AC394:AJ394"/>
    <mergeCell ref="S411:U411"/>
    <mergeCell ref="P433:Q433"/>
    <mergeCell ref="AG403:AJ403"/>
    <mergeCell ref="J397:U397"/>
    <mergeCell ref="P427:R427"/>
    <mergeCell ref="AA348:AF348"/>
    <mergeCell ref="P434:Q434"/>
    <mergeCell ref="I427:K427"/>
    <mergeCell ref="S422:T422"/>
    <mergeCell ref="AG402:AJ402"/>
    <mergeCell ref="M365:N365"/>
    <mergeCell ref="Z441:AA441"/>
    <mergeCell ref="AI401:AJ401"/>
    <mergeCell ref="AG388:AH388"/>
    <mergeCell ref="S401:U401"/>
    <mergeCell ref="G594:R594"/>
    <mergeCell ref="W568:Y568"/>
    <mergeCell ref="P580:R580"/>
    <mergeCell ref="G585:R585"/>
    <mergeCell ref="C569:L569"/>
    <mergeCell ref="W571:Y571"/>
    <mergeCell ref="W572:Y572"/>
    <mergeCell ref="W573:Y573"/>
    <mergeCell ref="AF582:AK582"/>
    <mergeCell ref="G579:R579"/>
    <mergeCell ref="T570:V570"/>
    <mergeCell ref="G577:R577"/>
    <mergeCell ref="H590:R590"/>
    <mergeCell ref="Z587:AK587"/>
    <mergeCell ref="T572:V572"/>
    <mergeCell ref="C571:L571"/>
    <mergeCell ref="Q570:S570"/>
    <mergeCell ref="T573:V573"/>
    <mergeCell ref="AJ365:AK365"/>
    <mergeCell ref="AD386:AE386"/>
    <mergeCell ref="AC380:AF380"/>
    <mergeCell ref="AC379:AF379"/>
    <mergeCell ref="V386:W386"/>
    <mergeCell ref="S386:T386"/>
    <mergeCell ref="Y373:Z373"/>
    <mergeCell ref="N387:P387"/>
    <mergeCell ref="W427:Y427"/>
    <mergeCell ref="Z641:AB641"/>
    <mergeCell ref="K759:N759"/>
    <mergeCell ref="AH737:AJ737"/>
    <mergeCell ref="O738:S738"/>
    <mergeCell ref="Z671:AE671"/>
    <mergeCell ref="Z651:AK651"/>
    <mergeCell ref="AH730:AJ730"/>
    <mergeCell ref="AK758:AO758"/>
    <mergeCell ref="T734:W734"/>
    <mergeCell ref="AK754:AO754"/>
    <mergeCell ref="AK742:AO742"/>
    <mergeCell ref="B726:F726"/>
    <mergeCell ref="B729:F729"/>
    <mergeCell ref="B735:F735"/>
    <mergeCell ref="H688:R688"/>
    <mergeCell ref="B731:F731"/>
    <mergeCell ref="AK750:AO750"/>
    <mergeCell ref="X750:AB750"/>
    <mergeCell ref="B743:F743"/>
    <mergeCell ref="B736:F736"/>
    <mergeCell ref="B747:F747"/>
    <mergeCell ref="O744:S744"/>
    <mergeCell ref="K746:N746"/>
    <mergeCell ref="J783:N783"/>
    <mergeCell ref="G745:J745"/>
    <mergeCell ref="G743:J743"/>
    <mergeCell ref="K751:N751"/>
    <mergeCell ref="T759:W759"/>
    <mergeCell ref="K756:N756"/>
    <mergeCell ref="B737:F737"/>
    <mergeCell ref="B739:F739"/>
    <mergeCell ref="B738:F738"/>
    <mergeCell ref="G691:R691"/>
    <mergeCell ref="N689:O689"/>
    <mergeCell ref="X727:AB727"/>
    <mergeCell ref="G694:R694"/>
    <mergeCell ref="O757:S757"/>
    <mergeCell ref="O754:S754"/>
    <mergeCell ref="O751:S751"/>
    <mergeCell ref="T751:W751"/>
    <mergeCell ref="K748:N748"/>
    <mergeCell ref="T781:W781"/>
    <mergeCell ref="J781:N781"/>
    <mergeCell ref="T760:W760"/>
    <mergeCell ref="X781:AB781"/>
    <mergeCell ref="X736:AB736"/>
    <mergeCell ref="K732:N732"/>
    <mergeCell ref="O759:S759"/>
    <mergeCell ref="B762:AH763"/>
    <mergeCell ref="T756:W756"/>
    <mergeCell ref="X755:AB755"/>
    <mergeCell ref="X754:AB754"/>
    <mergeCell ref="O736:S736"/>
    <mergeCell ref="K740:N740"/>
    <mergeCell ref="T743:W743"/>
    <mergeCell ref="T750:W750"/>
    <mergeCell ref="AH752:AJ752"/>
    <mergeCell ref="B741:F741"/>
    <mergeCell ref="X746:AB746"/>
    <mergeCell ref="T735:W735"/>
    <mergeCell ref="X753:AB753"/>
    <mergeCell ref="AH755:AJ755"/>
    <mergeCell ref="AH756:AJ756"/>
    <mergeCell ref="AC750:AG750"/>
    <mergeCell ref="G740:J740"/>
    <mergeCell ref="AH743:AJ743"/>
    <mergeCell ref="X760:AB760"/>
    <mergeCell ref="T749:W749"/>
    <mergeCell ref="AH740:AJ740"/>
    <mergeCell ref="X743:AB743"/>
    <mergeCell ref="X744:AB744"/>
    <mergeCell ref="AH739:AJ739"/>
    <mergeCell ref="AC744:AG744"/>
    <mergeCell ref="G736:J736"/>
    <mergeCell ref="O745:S745"/>
    <mergeCell ref="O746:S746"/>
    <mergeCell ref="T747:W747"/>
    <mergeCell ref="K742:N742"/>
    <mergeCell ref="K733:N733"/>
    <mergeCell ref="X737:AB737"/>
    <mergeCell ref="K739:N739"/>
    <mergeCell ref="K741:N741"/>
    <mergeCell ref="K737:N737"/>
    <mergeCell ref="AC747:AG747"/>
    <mergeCell ref="AH741:AJ741"/>
    <mergeCell ref="K743:N743"/>
    <mergeCell ref="K744:N744"/>
    <mergeCell ref="C835:H835"/>
    <mergeCell ref="M835:P835"/>
    <mergeCell ref="X801:AB801"/>
    <mergeCell ref="AB926:AE926"/>
    <mergeCell ref="AA931:AF931"/>
    <mergeCell ref="B733:F733"/>
    <mergeCell ref="B732:F732"/>
    <mergeCell ref="G668:R668"/>
    <mergeCell ref="T642:V642"/>
    <mergeCell ref="G683:R683"/>
    <mergeCell ref="G741:J741"/>
    <mergeCell ref="X751:AB751"/>
    <mergeCell ref="X752:AB752"/>
    <mergeCell ref="X732:AB732"/>
    <mergeCell ref="O730:S730"/>
    <mergeCell ref="O734:S734"/>
    <mergeCell ref="O731:S731"/>
    <mergeCell ref="O741:S741"/>
    <mergeCell ref="O737:S737"/>
    <mergeCell ref="O739:S739"/>
    <mergeCell ref="O729:S729"/>
    <mergeCell ref="T754:W754"/>
    <mergeCell ref="O781:S781"/>
    <mergeCell ref="J784:N784"/>
    <mergeCell ref="T782:W782"/>
    <mergeCell ref="X782:AB782"/>
    <mergeCell ref="K749:N749"/>
    <mergeCell ref="O782:S782"/>
    <mergeCell ref="B742:F742"/>
    <mergeCell ref="B744:F744"/>
    <mergeCell ref="O753:S753"/>
    <mergeCell ref="G742:J742"/>
    <mergeCell ref="AW927:AY927"/>
    <mergeCell ref="J857:V857"/>
    <mergeCell ref="W854:AC854"/>
    <mergeCell ref="M838:P838"/>
    <mergeCell ref="C840:L840"/>
    <mergeCell ref="W865:AC865"/>
    <mergeCell ref="M883:V883"/>
    <mergeCell ref="AC895:AH895"/>
    <mergeCell ref="W870:AC870"/>
    <mergeCell ref="W880:AC880"/>
    <mergeCell ref="W862:AC862"/>
    <mergeCell ref="W883:AC883"/>
    <mergeCell ref="W878:AC878"/>
    <mergeCell ref="C845:AJ845"/>
    <mergeCell ref="W875:AC875"/>
    <mergeCell ref="W857:AC857"/>
    <mergeCell ref="W855:AC855"/>
    <mergeCell ref="M869:V869"/>
    <mergeCell ref="W853:AC853"/>
    <mergeCell ref="M854:V854"/>
    <mergeCell ref="T866:V866"/>
    <mergeCell ref="M880:V880"/>
    <mergeCell ref="W879:AC879"/>
    <mergeCell ref="AC894:AH894"/>
    <mergeCell ref="M885:V885"/>
    <mergeCell ref="W877:AC877"/>
    <mergeCell ref="W881:AC881"/>
    <mergeCell ref="Q839:T839"/>
    <mergeCell ref="T868:V868"/>
    <mergeCell ref="W885:AC885"/>
    <mergeCell ref="W884:AC884"/>
    <mergeCell ref="W859:AC859"/>
    <mergeCell ref="BD911:BE911"/>
    <mergeCell ref="BD909:BE909"/>
    <mergeCell ref="AC902:AH902"/>
    <mergeCell ref="C836:H836"/>
    <mergeCell ref="C837:H837"/>
    <mergeCell ref="Y837:AB837"/>
    <mergeCell ref="M886:V886"/>
    <mergeCell ref="AC893:AH893"/>
    <mergeCell ref="W886:AC886"/>
    <mergeCell ref="BD908:BE908"/>
    <mergeCell ref="BD910:BE910"/>
    <mergeCell ref="Q838:T838"/>
    <mergeCell ref="AG839:AJ839"/>
    <mergeCell ref="AC896:AH896"/>
    <mergeCell ref="M887:V887"/>
    <mergeCell ref="W867:AC867"/>
    <mergeCell ref="U836:X836"/>
    <mergeCell ref="AG836:AJ836"/>
    <mergeCell ref="AC836:AF836"/>
    <mergeCell ref="M840:P840"/>
    <mergeCell ref="Y839:AB839"/>
    <mergeCell ref="F839:L839"/>
    <mergeCell ref="AG838:AJ838"/>
    <mergeCell ref="M836:P836"/>
    <mergeCell ref="W876:AC876"/>
    <mergeCell ref="AG837:AJ837"/>
    <mergeCell ref="W850:AC850"/>
    <mergeCell ref="U837:X837"/>
    <mergeCell ref="Q836:T836"/>
    <mergeCell ref="AC901:AH901"/>
    <mergeCell ref="AC897:AH897"/>
    <mergeCell ref="E894:AB894"/>
    <mergeCell ref="M833:P833"/>
    <mergeCell ref="U834:X834"/>
    <mergeCell ref="J797:N797"/>
    <mergeCell ref="J799:N799"/>
    <mergeCell ref="M834:P834"/>
    <mergeCell ref="Q833:T833"/>
    <mergeCell ref="X802:AB802"/>
    <mergeCell ref="X797:AB797"/>
    <mergeCell ref="Y834:AB834"/>
    <mergeCell ref="O799:S799"/>
    <mergeCell ref="AZ859:BA859"/>
    <mergeCell ref="AC899:AH899"/>
    <mergeCell ref="W887:AC887"/>
    <mergeCell ref="Z815:AE815"/>
    <mergeCell ref="AC797:AG797"/>
    <mergeCell ref="AC798:AG798"/>
    <mergeCell ref="Z826:AE826"/>
    <mergeCell ref="T803:W803"/>
    <mergeCell ref="O798:S798"/>
    <mergeCell ref="Z822:AE822"/>
    <mergeCell ref="J803:N803"/>
    <mergeCell ref="P824:Y824"/>
    <mergeCell ref="T802:W802"/>
    <mergeCell ref="T800:W800"/>
    <mergeCell ref="Y808:AC808"/>
    <mergeCell ref="T797:W797"/>
    <mergeCell ref="O803:S803"/>
    <mergeCell ref="Z814:AE814"/>
    <mergeCell ref="X799:AB799"/>
    <mergeCell ref="Q831:T832"/>
    <mergeCell ref="Z817:AE817"/>
    <mergeCell ref="Z823:AE823"/>
    <mergeCell ref="Z676:AK676"/>
    <mergeCell ref="H680:R680"/>
    <mergeCell ref="R713:T713"/>
    <mergeCell ref="O722:S725"/>
    <mergeCell ref="AK731:AO731"/>
    <mergeCell ref="AH735:AJ735"/>
    <mergeCell ref="AK732:AO732"/>
    <mergeCell ref="K730:N730"/>
    <mergeCell ref="K731:N731"/>
    <mergeCell ref="T731:W731"/>
    <mergeCell ref="K729:N729"/>
    <mergeCell ref="G729:J729"/>
    <mergeCell ref="G692:R692"/>
    <mergeCell ref="AA696:AK696"/>
    <mergeCell ref="O728:S728"/>
    <mergeCell ref="AE703:AI703"/>
    <mergeCell ref="G760:J760"/>
    <mergeCell ref="X730:AB730"/>
    <mergeCell ref="AH750:AJ750"/>
    <mergeCell ref="K738:N738"/>
    <mergeCell ref="X740:AB740"/>
    <mergeCell ref="T730:W730"/>
    <mergeCell ref="AK734:AO734"/>
    <mergeCell ref="K735:N735"/>
    <mergeCell ref="G732:J732"/>
    <mergeCell ref="T729:W729"/>
    <mergeCell ref="G730:J730"/>
    <mergeCell ref="G738:J738"/>
    <mergeCell ref="X738:AB738"/>
    <mergeCell ref="AC729:AG729"/>
    <mergeCell ref="X742:AB742"/>
    <mergeCell ref="AC758:AG758"/>
    <mergeCell ref="O805:S805"/>
    <mergeCell ref="AC805:AG805"/>
    <mergeCell ref="AC795:AG795"/>
    <mergeCell ref="J802:N802"/>
    <mergeCell ref="O802:S802"/>
    <mergeCell ref="AC801:AG801"/>
    <mergeCell ref="O743:S743"/>
    <mergeCell ref="AH728:AJ728"/>
    <mergeCell ref="T737:W737"/>
    <mergeCell ref="AH753:AJ753"/>
    <mergeCell ref="AH754:AJ754"/>
    <mergeCell ref="X728:AB728"/>
    <mergeCell ref="AK751:AO751"/>
    <mergeCell ref="X726:AB726"/>
    <mergeCell ref="K726:N726"/>
    <mergeCell ref="G726:J726"/>
    <mergeCell ref="AK735:AO735"/>
    <mergeCell ref="AK737:AO737"/>
    <mergeCell ref="K727:N727"/>
    <mergeCell ref="G727:J727"/>
    <mergeCell ref="X796:AB796"/>
    <mergeCell ref="T799:W799"/>
    <mergeCell ref="AC804:AG804"/>
    <mergeCell ref="AC796:AG796"/>
    <mergeCell ref="T736:W736"/>
    <mergeCell ref="AC748:AG748"/>
    <mergeCell ref="AC749:AG749"/>
    <mergeCell ref="AC745:AG745"/>
    <mergeCell ref="AH734:AJ734"/>
    <mergeCell ref="G735:J735"/>
    <mergeCell ref="O735:S735"/>
    <mergeCell ref="K734:N734"/>
    <mergeCell ref="K728:N728"/>
    <mergeCell ref="AC727:AG727"/>
    <mergeCell ref="G734:J734"/>
    <mergeCell ref="T728:W728"/>
    <mergeCell ref="CI728:CJ728"/>
    <mergeCell ref="CG730:CH730"/>
    <mergeCell ref="CI731:CJ731"/>
    <mergeCell ref="AC730:AG730"/>
    <mergeCell ref="AK730:AO730"/>
    <mergeCell ref="AK729:AO729"/>
    <mergeCell ref="CI734:CJ734"/>
    <mergeCell ref="CG734:CH734"/>
    <mergeCell ref="G731:J731"/>
    <mergeCell ref="T733:W733"/>
    <mergeCell ref="X735:AB735"/>
    <mergeCell ref="G739:J739"/>
    <mergeCell ref="AC735:AG735"/>
    <mergeCell ref="AK736:AO736"/>
    <mergeCell ref="AK738:AO738"/>
    <mergeCell ref="AC732:AG732"/>
    <mergeCell ref="O726:S726"/>
    <mergeCell ref="CI727:CJ727"/>
    <mergeCell ref="Z668:AK668"/>
    <mergeCell ref="AK726:AO726"/>
    <mergeCell ref="CM732:CN732"/>
    <mergeCell ref="CG726:CH726"/>
    <mergeCell ref="AI695:AK695"/>
    <mergeCell ref="CK726:CL726"/>
    <mergeCell ref="P663:R663"/>
    <mergeCell ref="G670:R670"/>
    <mergeCell ref="G669:R669"/>
    <mergeCell ref="CG728:CH728"/>
    <mergeCell ref="CM731:CN731"/>
    <mergeCell ref="CK730:CL730"/>
    <mergeCell ref="CI730:CJ730"/>
    <mergeCell ref="CG729:CH729"/>
    <mergeCell ref="CG727:CH727"/>
    <mergeCell ref="AH732:AJ732"/>
    <mergeCell ref="AH729:AJ729"/>
    <mergeCell ref="O727:S727"/>
    <mergeCell ref="AG673:AH673"/>
    <mergeCell ref="A717:AT719"/>
    <mergeCell ref="N681:O681"/>
    <mergeCell ref="G695:L695"/>
    <mergeCell ref="P695:R695"/>
    <mergeCell ref="K722:N725"/>
    <mergeCell ref="Z693:AK693"/>
    <mergeCell ref="AE706:AI706"/>
    <mergeCell ref="AC722:AG725"/>
    <mergeCell ref="G679:L679"/>
    <mergeCell ref="T726:W726"/>
    <mergeCell ref="G676:R676"/>
    <mergeCell ref="AO649:AS649"/>
    <mergeCell ref="Z659:AK659"/>
    <mergeCell ref="AA672:AK672"/>
    <mergeCell ref="G675:R675"/>
    <mergeCell ref="G678:R678"/>
    <mergeCell ref="Z677:AK677"/>
    <mergeCell ref="N665:O665"/>
    <mergeCell ref="AG665:AH665"/>
    <mergeCell ref="X731:AB731"/>
    <mergeCell ref="T727:W727"/>
    <mergeCell ref="O732:S732"/>
    <mergeCell ref="AG681:AH681"/>
    <mergeCell ref="AI663:AK663"/>
    <mergeCell ref="P671:R671"/>
    <mergeCell ref="G671:L671"/>
    <mergeCell ref="Z691:AK691"/>
    <mergeCell ref="Z678:AK678"/>
    <mergeCell ref="G687:L687"/>
    <mergeCell ref="G684:R684"/>
    <mergeCell ref="AI687:AK687"/>
    <mergeCell ref="G685:R685"/>
    <mergeCell ref="Z686:AK686"/>
    <mergeCell ref="AA680:AK680"/>
    <mergeCell ref="N657:O657"/>
    <mergeCell ref="AC728:AG728"/>
    <mergeCell ref="Z692:AK692"/>
    <mergeCell ref="AK728:AO728"/>
    <mergeCell ref="W708:AK708"/>
    <mergeCell ref="AG697:AH697"/>
    <mergeCell ref="J713:O713"/>
    <mergeCell ref="AK722:AO725"/>
    <mergeCell ref="N697:O697"/>
    <mergeCell ref="G662:R662"/>
    <mergeCell ref="G661:R661"/>
    <mergeCell ref="G653:R653"/>
    <mergeCell ref="T643:V643"/>
    <mergeCell ref="T644:V644"/>
    <mergeCell ref="T645:V645"/>
    <mergeCell ref="Z655:AE655"/>
    <mergeCell ref="Z643:AB643"/>
    <mergeCell ref="AF642:AJ642"/>
    <mergeCell ref="G652:R652"/>
    <mergeCell ref="Z646:AB646"/>
    <mergeCell ref="B649:AN649"/>
    <mergeCell ref="G651:R651"/>
    <mergeCell ref="Z653:AK653"/>
    <mergeCell ref="Z661:AK661"/>
    <mergeCell ref="W643:Y643"/>
    <mergeCell ref="Q644:S644"/>
    <mergeCell ref="Z642:AB642"/>
    <mergeCell ref="C643:L643"/>
    <mergeCell ref="AE411:AJ411"/>
    <mergeCell ref="D455:AF455"/>
    <mergeCell ref="AH511:AK511"/>
    <mergeCell ref="AC508:AF508"/>
    <mergeCell ref="M637:P637"/>
    <mergeCell ref="W632:Y634"/>
    <mergeCell ref="T641:V641"/>
    <mergeCell ref="G655:L655"/>
    <mergeCell ref="Q646:S646"/>
    <mergeCell ref="H656:R656"/>
    <mergeCell ref="Z640:AB640"/>
    <mergeCell ref="AF638:AJ638"/>
    <mergeCell ref="M643:P643"/>
    <mergeCell ref="G654:R654"/>
    <mergeCell ref="AC645:AE645"/>
    <mergeCell ref="R420:S420"/>
    <mergeCell ref="D451:AF451"/>
    <mergeCell ref="AF439:AG439"/>
    <mergeCell ref="AG446:AJ446"/>
    <mergeCell ref="AG458:AJ458"/>
    <mergeCell ref="O543:AA543"/>
    <mergeCell ref="AH531:AK531"/>
    <mergeCell ref="AE562:AH562"/>
    <mergeCell ref="I430:K430"/>
    <mergeCell ref="AH532:AK532"/>
    <mergeCell ref="AH533:AK533"/>
    <mergeCell ref="AC515:AF515"/>
    <mergeCell ref="AH524:AK524"/>
    <mergeCell ref="W644:Y644"/>
    <mergeCell ref="Z578:AK578"/>
    <mergeCell ref="AC464:AF464"/>
    <mergeCell ref="D474:V474"/>
    <mergeCell ref="AG400:AJ400"/>
    <mergeCell ref="K413:AJ413"/>
    <mergeCell ref="Z443:AA443"/>
    <mergeCell ref="AH510:AK510"/>
    <mergeCell ref="W479:Y479"/>
    <mergeCell ref="D459:AF459"/>
    <mergeCell ref="N379:Q379"/>
    <mergeCell ref="AH508:AK508"/>
    <mergeCell ref="AI398:AJ398"/>
    <mergeCell ref="Q398:U398"/>
    <mergeCell ref="AE433:AF433"/>
    <mergeCell ref="N380:Q380"/>
    <mergeCell ref="Q399:U399"/>
    <mergeCell ref="I419:AE419"/>
    <mergeCell ref="AG404:AJ404"/>
    <mergeCell ref="G610:R610"/>
    <mergeCell ref="P589:R589"/>
    <mergeCell ref="AA590:AK590"/>
    <mergeCell ref="AG452:AJ452"/>
    <mergeCell ref="AH525:AK525"/>
    <mergeCell ref="AC537:AF537"/>
    <mergeCell ref="AH538:AK538"/>
    <mergeCell ref="AG453:AJ453"/>
    <mergeCell ref="B528:H550"/>
    <mergeCell ref="AE434:AF434"/>
    <mergeCell ref="AC528:AF528"/>
    <mergeCell ref="AC535:AF535"/>
    <mergeCell ref="AH529:AK529"/>
    <mergeCell ref="AC538:AF538"/>
    <mergeCell ref="Q500:AK500"/>
    <mergeCell ref="G576:R576"/>
    <mergeCell ref="AE564:AH564"/>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Z571:AD571"/>
    <mergeCell ref="G586:R586"/>
    <mergeCell ref="D415:AJ416"/>
    <mergeCell ref="D454:AF454"/>
    <mergeCell ref="D460:AJ461"/>
    <mergeCell ref="AG399:AJ399"/>
    <mergeCell ref="Q400:U400"/>
    <mergeCell ref="N381:Q381"/>
    <mergeCell ref="N372:O372"/>
    <mergeCell ref="Q374:AG374"/>
    <mergeCell ref="AH540:AK540"/>
    <mergeCell ref="AC530:AF530"/>
    <mergeCell ref="AG591:AH591"/>
    <mergeCell ref="G596:R596"/>
    <mergeCell ref="Z605:AE605"/>
    <mergeCell ref="AF637:AJ637"/>
    <mergeCell ref="G677:R677"/>
    <mergeCell ref="W637:Y637"/>
    <mergeCell ref="B632:L634"/>
    <mergeCell ref="AO643:AS643"/>
    <mergeCell ref="Z621:AE621"/>
    <mergeCell ref="Z644:AB644"/>
    <mergeCell ref="P605:R605"/>
    <mergeCell ref="B722:F725"/>
    <mergeCell ref="W636:Y636"/>
    <mergeCell ref="Q642:S642"/>
    <mergeCell ref="AK644:AN644"/>
    <mergeCell ref="C645:L645"/>
    <mergeCell ref="C640:L640"/>
    <mergeCell ref="M640:P640"/>
    <mergeCell ref="Q641:S641"/>
    <mergeCell ref="AF639:AJ639"/>
    <mergeCell ref="Z637:AB637"/>
    <mergeCell ref="W641:Y641"/>
    <mergeCell ref="Z638:AB638"/>
    <mergeCell ref="T638:V638"/>
    <mergeCell ref="T639:V639"/>
    <mergeCell ref="AC636:AE636"/>
    <mergeCell ref="C637:L637"/>
    <mergeCell ref="AF636:AJ636"/>
    <mergeCell ref="Z636:AB636"/>
    <mergeCell ref="AK632:AN634"/>
    <mergeCell ref="C638:L638"/>
    <mergeCell ref="C639:L639"/>
    <mergeCell ref="Z595:AK595"/>
    <mergeCell ref="Q638:S638"/>
    <mergeCell ref="AC638:AE638"/>
    <mergeCell ref="Z573:AD573"/>
    <mergeCell ref="AK646:AN646"/>
    <mergeCell ref="CM725:CN725"/>
    <mergeCell ref="CM727:CN727"/>
    <mergeCell ref="CM729:CN729"/>
    <mergeCell ref="W711:AK711"/>
    <mergeCell ref="AF644:AJ644"/>
    <mergeCell ref="M632:P634"/>
    <mergeCell ref="G587:R587"/>
    <mergeCell ref="G602:R602"/>
    <mergeCell ref="Z602:AK602"/>
    <mergeCell ref="Z611:AK611"/>
    <mergeCell ref="AG599:AH599"/>
    <mergeCell ref="G605:L605"/>
    <mergeCell ref="AC640:AE640"/>
    <mergeCell ref="M642:P642"/>
    <mergeCell ref="Z670:AK670"/>
    <mergeCell ref="Z663:AE663"/>
    <mergeCell ref="AH727:AJ727"/>
    <mergeCell ref="CI725:CJ725"/>
    <mergeCell ref="AA688:AK688"/>
    <mergeCell ref="W645:Y645"/>
    <mergeCell ref="Z618:AK618"/>
    <mergeCell ref="G611:R611"/>
    <mergeCell ref="G595:R595"/>
    <mergeCell ref="G589:L589"/>
    <mergeCell ref="Z612:AK612"/>
    <mergeCell ref="G620:R620"/>
    <mergeCell ref="Z597:AE597"/>
    <mergeCell ref="G593:R593"/>
    <mergeCell ref="AO635:AS635"/>
    <mergeCell ref="AK635:AN635"/>
    <mergeCell ref="AK641:AN641"/>
    <mergeCell ref="C642:L642"/>
    <mergeCell ref="G617:R617"/>
    <mergeCell ref="M636:P636"/>
    <mergeCell ref="Z613:AE613"/>
    <mergeCell ref="Z617:AK617"/>
    <mergeCell ref="N615:O615"/>
    <mergeCell ref="P613:R613"/>
    <mergeCell ref="AK638:AN638"/>
    <mergeCell ref="Z593:AK593"/>
    <mergeCell ref="AC635:AE635"/>
    <mergeCell ref="M635:P635"/>
    <mergeCell ref="W639:Y639"/>
    <mergeCell ref="M638:P638"/>
    <mergeCell ref="M639:P639"/>
    <mergeCell ref="AF641:AJ641"/>
    <mergeCell ref="M641:P641"/>
    <mergeCell ref="Z639:AB639"/>
    <mergeCell ref="AK639:AN639"/>
    <mergeCell ref="AK640:AN640"/>
    <mergeCell ref="AF640:AJ640"/>
    <mergeCell ref="AC639:AE639"/>
    <mergeCell ref="AO638:AS638"/>
    <mergeCell ref="Q640:S640"/>
    <mergeCell ref="Q639:S639"/>
    <mergeCell ref="T640:V640"/>
    <mergeCell ref="T636:V636"/>
    <mergeCell ref="G609:R609"/>
    <mergeCell ref="AA606:AK606"/>
    <mergeCell ref="AO640:AS640"/>
    <mergeCell ref="AO641:AS641"/>
    <mergeCell ref="G618:R618"/>
    <mergeCell ref="AI679:AK679"/>
    <mergeCell ref="Z684:AK684"/>
    <mergeCell ref="DJ726:DN726"/>
    <mergeCell ref="CZ727:DD727"/>
    <mergeCell ref="AI671:AK671"/>
    <mergeCell ref="G663:L663"/>
    <mergeCell ref="H664:R664"/>
    <mergeCell ref="H696:R696"/>
    <mergeCell ref="Z695:AE695"/>
    <mergeCell ref="CZ726:DD726"/>
    <mergeCell ref="CZ725:DD725"/>
    <mergeCell ref="AK727:AO727"/>
    <mergeCell ref="CK727:CL727"/>
    <mergeCell ref="DE726:DI726"/>
    <mergeCell ref="AF632:AJ634"/>
    <mergeCell ref="C635:L635"/>
    <mergeCell ref="AO644:AS644"/>
    <mergeCell ref="C644:L644"/>
    <mergeCell ref="G621:L621"/>
    <mergeCell ref="AH726:AJ726"/>
    <mergeCell ref="AC726:AG726"/>
    <mergeCell ref="DE725:DI725"/>
    <mergeCell ref="AE707:AI707"/>
    <mergeCell ref="AA664:AK664"/>
    <mergeCell ref="M646:P646"/>
    <mergeCell ref="W646:Y646"/>
    <mergeCell ref="Z662:AK662"/>
    <mergeCell ref="P655:R655"/>
    <mergeCell ref="AI655:AK655"/>
    <mergeCell ref="AA614:AK614"/>
    <mergeCell ref="M644:P644"/>
    <mergeCell ref="AG623:AH623"/>
    <mergeCell ref="G603:R603"/>
    <mergeCell ref="H598:R598"/>
    <mergeCell ref="G604:R604"/>
    <mergeCell ref="Z604:AK604"/>
    <mergeCell ref="H606:R606"/>
    <mergeCell ref="Z645:AB645"/>
    <mergeCell ref="M645:P645"/>
    <mergeCell ref="Q645:S645"/>
    <mergeCell ref="T646:V646"/>
    <mergeCell ref="Z654:AK654"/>
    <mergeCell ref="DJ727:DN727"/>
    <mergeCell ref="Z679:AE679"/>
    <mergeCell ref="EC649:EG649"/>
    <mergeCell ref="EC651:EG651"/>
    <mergeCell ref="EC650:EG650"/>
    <mergeCell ref="AF646:AJ646"/>
    <mergeCell ref="Z675:AK675"/>
    <mergeCell ref="AC646:AE646"/>
    <mergeCell ref="EC645:EG645"/>
    <mergeCell ref="EC660:EG660"/>
    <mergeCell ref="EC655:EG655"/>
    <mergeCell ref="DX657:EB657"/>
    <mergeCell ref="DX649:EB649"/>
    <mergeCell ref="AO642:AS642"/>
    <mergeCell ref="Z669:AK669"/>
    <mergeCell ref="CM726:CN726"/>
    <mergeCell ref="AE701:AF701"/>
    <mergeCell ref="CU726:CY726"/>
    <mergeCell ref="CP725:CT725"/>
    <mergeCell ref="DX647:EB647"/>
    <mergeCell ref="CU725:CY725"/>
    <mergeCell ref="AC643:AE643"/>
    <mergeCell ref="Z660:AK660"/>
    <mergeCell ref="AO648:AS648"/>
    <mergeCell ref="Z683:AK683"/>
    <mergeCell ref="Z685:AK685"/>
    <mergeCell ref="X733:AB733"/>
    <mergeCell ref="X729:AB729"/>
    <mergeCell ref="AE704:AI704"/>
    <mergeCell ref="CM728:CN728"/>
    <mergeCell ref="CM730:CN730"/>
    <mergeCell ref="CZ731:DD731"/>
    <mergeCell ref="AK733:AO733"/>
    <mergeCell ref="CM733:CN733"/>
    <mergeCell ref="CP727:CT727"/>
    <mergeCell ref="AE710:AF710"/>
    <mergeCell ref="CK731:CL731"/>
    <mergeCell ref="CK729:CL729"/>
    <mergeCell ref="E715:AK715"/>
    <mergeCell ref="W714:AK714"/>
    <mergeCell ref="G722:J725"/>
    <mergeCell ref="B728:F728"/>
    <mergeCell ref="B730:F730"/>
    <mergeCell ref="G728:J728"/>
    <mergeCell ref="CP729:CT729"/>
    <mergeCell ref="CU727:CY727"/>
    <mergeCell ref="CK728:CL728"/>
    <mergeCell ref="O733:S733"/>
    <mergeCell ref="CG733:CH733"/>
    <mergeCell ref="CG731:CH731"/>
    <mergeCell ref="AC644:AE644"/>
    <mergeCell ref="CK733:CL733"/>
    <mergeCell ref="DE737:DI737"/>
    <mergeCell ref="DJ736:DN736"/>
    <mergeCell ref="DU735:DY735"/>
    <mergeCell ref="DE730:DI730"/>
    <mergeCell ref="CU738:CY738"/>
    <mergeCell ref="DE732:DI732"/>
    <mergeCell ref="CP731:CT731"/>
    <mergeCell ref="DE733:DI733"/>
    <mergeCell ref="CP728:CT728"/>
    <mergeCell ref="CU728:CY728"/>
    <mergeCell ref="CU731:CY731"/>
    <mergeCell ref="DE727:DI727"/>
    <mergeCell ref="CZ728:DD728"/>
    <mergeCell ref="CU732:CY732"/>
    <mergeCell ref="CU733:CY733"/>
    <mergeCell ref="CI733:CJ733"/>
    <mergeCell ref="CI729:CJ729"/>
    <mergeCell ref="CP732:CT732"/>
    <mergeCell ref="DE728:DI728"/>
    <mergeCell ref="CK734:CL734"/>
    <mergeCell ref="DE735:DI735"/>
    <mergeCell ref="CI737:CJ737"/>
    <mergeCell ref="CP737:CT737"/>
    <mergeCell ref="CU782:CY782"/>
    <mergeCell ref="X791:AB794"/>
    <mergeCell ref="X795:AB795"/>
    <mergeCell ref="X804:AB804"/>
    <mergeCell ref="CZ742:DD742"/>
    <mergeCell ref="DE739:DI739"/>
    <mergeCell ref="DE742:DI742"/>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DE736:DI736"/>
    <mergeCell ref="DJ729:DN729"/>
    <mergeCell ref="CZ736:DD736"/>
    <mergeCell ref="DJ733:DN733"/>
    <mergeCell ref="CU730:CY730"/>
    <mergeCell ref="CZ730:DD730"/>
    <mergeCell ref="CZ732:DD732"/>
    <mergeCell ref="CZ733:DD733"/>
    <mergeCell ref="DE734:DI734"/>
    <mergeCell ref="CU736:CY736"/>
    <mergeCell ref="CZ735:DD735"/>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DJ731:DN731"/>
    <mergeCell ref="X798:AB798"/>
    <mergeCell ref="U839:X839"/>
    <mergeCell ref="CK746:CL746"/>
    <mergeCell ref="CG737:CH737"/>
    <mergeCell ref="CM738:CN738"/>
    <mergeCell ref="CM737:CN737"/>
    <mergeCell ref="CG755:CH755"/>
    <mergeCell ref="CI755:CJ755"/>
    <mergeCell ref="CK755:CL755"/>
    <mergeCell ref="CK753:CL753"/>
    <mergeCell ref="CI751:CJ751"/>
    <mergeCell ref="CK751:CL751"/>
    <mergeCell ref="CM746:CN746"/>
    <mergeCell ref="CP748:CT748"/>
    <mergeCell ref="CK742:CL742"/>
    <mergeCell ref="AK755:AO755"/>
    <mergeCell ref="CP736:CT736"/>
    <mergeCell ref="CI736:CJ736"/>
    <mergeCell ref="AH736:AJ736"/>
    <mergeCell ref="K754:N754"/>
    <mergeCell ref="K745:N745"/>
    <mergeCell ref="CM751:CN751"/>
    <mergeCell ref="AK749:AO749"/>
    <mergeCell ref="AK752:AO752"/>
    <mergeCell ref="AC753:AG753"/>
    <mergeCell ref="AC754:AG754"/>
    <mergeCell ref="AK748:AO748"/>
    <mergeCell ref="CP740:CT740"/>
    <mergeCell ref="CK738:CL738"/>
    <mergeCell ref="CP739:CT739"/>
    <mergeCell ref="CG738:CH738"/>
    <mergeCell ref="CG736:CH736"/>
    <mergeCell ref="CG741:CH741"/>
    <mergeCell ref="AC737:AG737"/>
    <mergeCell ref="T738:W738"/>
    <mergeCell ref="CP744:CT744"/>
    <mergeCell ref="CK752:CL752"/>
    <mergeCell ref="CP743:CT743"/>
    <mergeCell ref="AC741:AG741"/>
    <mergeCell ref="X739:AB739"/>
    <mergeCell ref="O740:S740"/>
    <mergeCell ref="X784:AB784"/>
    <mergeCell ref="J777:N780"/>
    <mergeCell ref="B749:F749"/>
    <mergeCell ref="AC761:AG761"/>
    <mergeCell ref="T784:W784"/>
    <mergeCell ref="CI744:CJ744"/>
    <mergeCell ref="O756:S756"/>
    <mergeCell ref="AC760:AG760"/>
    <mergeCell ref="T757:W757"/>
    <mergeCell ref="K758:N758"/>
    <mergeCell ref="X756:AB756"/>
    <mergeCell ref="X757:AB757"/>
    <mergeCell ref="J791:N794"/>
    <mergeCell ref="T798:W798"/>
    <mergeCell ref="T801:W801"/>
    <mergeCell ref="B751:F751"/>
    <mergeCell ref="G759:J759"/>
    <mergeCell ref="K750:N750"/>
    <mergeCell ref="B752:F752"/>
    <mergeCell ref="B753:F753"/>
    <mergeCell ref="B746:F746"/>
    <mergeCell ref="O749:S749"/>
    <mergeCell ref="X758:AB758"/>
    <mergeCell ref="AC757:AG757"/>
    <mergeCell ref="O796:S796"/>
    <mergeCell ref="AH760:AJ760"/>
    <mergeCell ref="X777:AB780"/>
    <mergeCell ref="T777:W780"/>
    <mergeCell ref="J787:K787"/>
    <mergeCell ref="J795:N795"/>
    <mergeCell ref="O748:S748"/>
    <mergeCell ref="K757:N757"/>
    <mergeCell ref="CM748:CN748"/>
    <mergeCell ref="O783:S783"/>
    <mergeCell ref="CG759:CH759"/>
    <mergeCell ref="AH759:AJ759"/>
    <mergeCell ref="AC759:AG759"/>
    <mergeCell ref="Z821:AE821"/>
    <mergeCell ref="O752:S752"/>
    <mergeCell ref="O747:S747"/>
    <mergeCell ref="DJ783:DN783"/>
    <mergeCell ref="BD914:BF914"/>
    <mergeCell ref="BD919:BE919"/>
    <mergeCell ref="BD912:BE912"/>
    <mergeCell ref="AC898:AH898"/>
    <mergeCell ref="C834:H834"/>
    <mergeCell ref="AC800:AG800"/>
    <mergeCell ref="O795:S795"/>
    <mergeCell ref="O801:S801"/>
    <mergeCell ref="J798:N798"/>
    <mergeCell ref="U835:X835"/>
    <mergeCell ref="BG856:BL856"/>
    <mergeCell ref="CP810:CT810"/>
    <mergeCell ref="CP796:CT796"/>
    <mergeCell ref="AG834:AJ834"/>
    <mergeCell ref="AG833:AJ833"/>
    <mergeCell ref="CU785:CY785"/>
    <mergeCell ref="CU761:CY761"/>
    <mergeCell ref="CM760:CN760"/>
    <mergeCell ref="CP760:CT760"/>
    <mergeCell ref="CP782:CT782"/>
    <mergeCell ref="AH748:AJ748"/>
    <mergeCell ref="AH757:AJ757"/>
    <mergeCell ref="CM757:CN757"/>
    <mergeCell ref="AA935:AF935"/>
    <mergeCell ref="U936:Z936"/>
    <mergeCell ref="AA937:AF937"/>
    <mergeCell ref="AA940:AF940"/>
    <mergeCell ref="C838:H838"/>
    <mergeCell ref="U932:Z932"/>
    <mergeCell ref="U941:Z941"/>
    <mergeCell ref="AA941:AF941"/>
    <mergeCell ref="G747:J747"/>
    <mergeCell ref="F925:T926"/>
    <mergeCell ref="B759:F759"/>
    <mergeCell ref="U838:X838"/>
    <mergeCell ref="U840:X840"/>
    <mergeCell ref="AC834:AF834"/>
    <mergeCell ref="AC835:AF835"/>
    <mergeCell ref="U831:X832"/>
    <mergeCell ref="Z816:AE816"/>
    <mergeCell ref="AC833:AF833"/>
    <mergeCell ref="T783:W783"/>
    <mergeCell ref="C771:AR773"/>
    <mergeCell ref="B760:F760"/>
    <mergeCell ref="AC755:AG755"/>
    <mergeCell ref="O761:S761"/>
    <mergeCell ref="B750:F750"/>
    <mergeCell ref="Z825:AE825"/>
    <mergeCell ref="O797:S797"/>
    <mergeCell ref="T795:W795"/>
    <mergeCell ref="T796:W796"/>
    <mergeCell ref="B761:F761"/>
    <mergeCell ref="O760:S760"/>
    <mergeCell ref="K760:N760"/>
    <mergeCell ref="X783:AB783"/>
    <mergeCell ref="A1106:B1106"/>
    <mergeCell ref="DJ745:DN745"/>
    <mergeCell ref="DJ743:DN743"/>
    <mergeCell ref="CG743:CH743"/>
    <mergeCell ref="U833:X833"/>
    <mergeCell ref="CG751:CH751"/>
    <mergeCell ref="DE747:DI747"/>
    <mergeCell ref="Q840:T840"/>
    <mergeCell ref="M839:P839"/>
    <mergeCell ref="CP745:CT745"/>
    <mergeCell ref="CI743:CJ743"/>
    <mergeCell ref="CP741:CT741"/>
    <mergeCell ref="AC903:AH903"/>
    <mergeCell ref="M884:V884"/>
    <mergeCell ref="CP803:CT803"/>
    <mergeCell ref="CP804:CT804"/>
    <mergeCell ref="CP801:CT801"/>
    <mergeCell ref="CP800:CT800"/>
    <mergeCell ref="CP799:CT799"/>
    <mergeCell ref="CP798:CT798"/>
    <mergeCell ref="AC746:AG746"/>
    <mergeCell ref="X749:AB749"/>
    <mergeCell ref="AH744:AJ744"/>
    <mergeCell ref="O785:S785"/>
    <mergeCell ref="AC799:AG799"/>
    <mergeCell ref="J804:N804"/>
    <mergeCell ref="X748:AB748"/>
    <mergeCell ref="AK744:AO744"/>
    <mergeCell ref="DE741:DI741"/>
    <mergeCell ref="CU743:CY743"/>
    <mergeCell ref="CZ759:DD759"/>
    <mergeCell ref="K752:N752"/>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976:S976"/>
    <mergeCell ref="AA953:AF953"/>
    <mergeCell ref="W851:AC851"/>
    <mergeCell ref="M977:S977"/>
    <mergeCell ref="F941:T941"/>
    <mergeCell ref="AA948:AF948"/>
    <mergeCell ref="AA949:AF949"/>
    <mergeCell ref="W861:AC861"/>
    <mergeCell ref="BD913:BE913"/>
    <mergeCell ref="BD915:BF915"/>
    <mergeCell ref="A1134:B1134"/>
    <mergeCell ref="G733:J733"/>
    <mergeCell ref="B740:F740"/>
    <mergeCell ref="T753:W753"/>
    <mergeCell ref="AH738:AJ738"/>
    <mergeCell ref="AC731:AG731"/>
    <mergeCell ref="AC802:AG802"/>
    <mergeCell ref="AC803:AG803"/>
    <mergeCell ref="M831:P832"/>
    <mergeCell ref="T804:W804"/>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7:AF947"/>
    <mergeCell ref="U952:Z952"/>
    <mergeCell ref="F947:T947"/>
    <mergeCell ref="M837:P837"/>
    <mergeCell ref="F938:T938"/>
    <mergeCell ref="F948:T948"/>
    <mergeCell ref="J785:N785"/>
    <mergeCell ref="A1109:B1109"/>
    <mergeCell ref="G761:J761"/>
    <mergeCell ref="M967:S967"/>
    <mergeCell ref="AJ1000:AQ1000"/>
    <mergeCell ref="W874:AC874"/>
    <mergeCell ref="W888:AC888"/>
    <mergeCell ref="M969:S969"/>
    <mergeCell ref="AE970:AK970"/>
    <mergeCell ref="T982:Z982"/>
    <mergeCell ref="AA950:AF950"/>
    <mergeCell ref="Z910:AE910"/>
    <mergeCell ref="J782:N782"/>
    <mergeCell ref="O764:R764"/>
    <mergeCell ref="AC783:AG783"/>
    <mergeCell ref="AC791:AG794"/>
    <mergeCell ref="J966:S966"/>
    <mergeCell ref="AA957:AF957"/>
    <mergeCell ref="Z908:AE908"/>
    <mergeCell ref="I958:T958"/>
    <mergeCell ref="I955:T955"/>
    <mergeCell ref="AA955:AF955"/>
    <mergeCell ref="AD767:AF767"/>
    <mergeCell ref="F946:T946"/>
    <mergeCell ref="U946:Z946"/>
    <mergeCell ref="U940:Z940"/>
    <mergeCell ref="M964:S964"/>
    <mergeCell ref="AA945:AF945"/>
    <mergeCell ref="O804:S804"/>
    <mergeCell ref="O784:S784"/>
    <mergeCell ref="O777:S780"/>
    <mergeCell ref="AC782:AG782"/>
    <mergeCell ref="AC837:AF837"/>
    <mergeCell ref="C833:H833"/>
    <mergeCell ref="Y833:AB833"/>
    <mergeCell ref="C806:AN807"/>
    <mergeCell ref="AJ1022:AQ1024"/>
    <mergeCell ref="AJ1025:AQ1028"/>
    <mergeCell ref="AA980:AG980"/>
    <mergeCell ref="T981:Z981"/>
    <mergeCell ref="AC784:AG784"/>
    <mergeCell ref="O791:S794"/>
    <mergeCell ref="J805:N805"/>
    <mergeCell ref="AC785:AG785"/>
    <mergeCell ref="AA936:AF936"/>
    <mergeCell ref="U951:Z951"/>
    <mergeCell ref="Q837:T837"/>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AJ995:AQ995"/>
    <mergeCell ref="AJ1010:AQ1015"/>
    <mergeCell ref="AJ1029:AQ1033"/>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AJ994:AQ994"/>
    <mergeCell ref="J801:N801"/>
    <mergeCell ref="Q835:T835"/>
    <mergeCell ref="X785:AB785"/>
    <mergeCell ref="Q834:T834"/>
    <mergeCell ref="AG831:AJ832"/>
    <mergeCell ref="Y831:AB832"/>
    <mergeCell ref="Y809:AC809"/>
    <mergeCell ref="U947:Z947"/>
    <mergeCell ref="AA942:AF942"/>
    <mergeCell ref="Z909:AE909"/>
    <mergeCell ref="AA938:AF938"/>
    <mergeCell ref="U939:Z939"/>
    <mergeCell ref="AA939:AF939"/>
    <mergeCell ref="AA946:AF946"/>
    <mergeCell ref="F924:T9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38:AE1038"/>
    <mergeCell ref="B1000:AA1000"/>
    <mergeCell ref="D1010:AE1010"/>
    <mergeCell ref="AB997:AI997"/>
    <mergeCell ref="D1017:AE1019"/>
    <mergeCell ref="AF1030:AI1031"/>
    <mergeCell ref="AF1032:AI1033"/>
    <mergeCell ref="I956:T956"/>
    <mergeCell ref="D1031:AE1032"/>
    <mergeCell ref="D997:Q997"/>
    <mergeCell ref="D998:Q998"/>
    <mergeCell ref="B1001:AI1001"/>
    <mergeCell ref="K753:N753"/>
    <mergeCell ref="T748:W748"/>
    <mergeCell ref="G749:J749"/>
    <mergeCell ref="O750:S750"/>
    <mergeCell ref="W863:AC863"/>
    <mergeCell ref="W860:AC860"/>
    <mergeCell ref="U950:Z950"/>
    <mergeCell ref="AA952:AF952"/>
    <mergeCell ref="AF1036:AI1037"/>
    <mergeCell ref="D1055:AE1056"/>
    <mergeCell ref="D1016:AE1016"/>
    <mergeCell ref="R999:AA999"/>
    <mergeCell ref="AJ999:AQ999"/>
    <mergeCell ref="W983:AG983"/>
    <mergeCell ref="M982:S982"/>
    <mergeCell ref="AG1025:AH1025"/>
    <mergeCell ref="AG1029:AH1029"/>
    <mergeCell ref="D1025:AE1025"/>
    <mergeCell ref="R996:AA996"/>
    <mergeCell ref="D1009:AE1009"/>
    <mergeCell ref="D1011:AE1015"/>
    <mergeCell ref="D1020:AE1020"/>
    <mergeCell ref="AJ1045:AQ1049"/>
    <mergeCell ref="D1050:AE1050"/>
    <mergeCell ref="D1051:AE1053"/>
    <mergeCell ref="F984:L984"/>
    <mergeCell ref="AJ1050:AQ1053"/>
    <mergeCell ref="D1039:AE1040"/>
    <mergeCell ref="AJ1038:AQ1040"/>
    <mergeCell ref="AJ996:AQ996"/>
    <mergeCell ref="AJ997:AQ997"/>
    <mergeCell ref="AG1038:AH1038"/>
    <mergeCell ref="O983:P983"/>
    <mergeCell ref="FE739:FI739"/>
    <mergeCell ref="FJ739:FN739"/>
    <mergeCell ref="FO757:FS757"/>
    <mergeCell ref="FY753:GC753"/>
    <mergeCell ref="D995:Q995"/>
    <mergeCell ref="AB995:AI995"/>
    <mergeCell ref="D1003:AE1003"/>
    <mergeCell ref="AC739:AG739"/>
    <mergeCell ref="B745:F745"/>
    <mergeCell ref="AH761:AJ761"/>
    <mergeCell ref="AK753:AO753"/>
    <mergeCell ref="AH749:AJ749"/>
    <mergeCell ref="AB1000:AI1000"/>
    <mergeCell ref="AA977:AG977"/>
    <mergeCell ref="B1002:AE1002"/>
    <mergeCell ref="R995:AA995"/>
    <mergeCell ref="U958:Z958"/>
    <mergeCell ref="U949:Z949"/>
    <mergeCell ref="AB999:AI999"/>
    <mergeCell ref="J800:N800"/>
    <mergeCell ref="X803:AB803"/>
    <mergeCell ref="O800:S800"/>
    <mergeCell ref="X800:AB800"/>
    <mergeCell ref="U953:Z953"/>
    <mergeCell ref="J796:N796"/>
    <mergeCell ref="T791:W794"/>
    <mergeCell ref="AE968:AK968"/>
    <mergeCell ref="AE969:AK969"/>
    <mergeCell ref="AK760:AO760"/>
    <mergeCell ref="T746:W746"/>
    <mergeCell ref="O758:S758"/>
    <mergeCell ref="FT758:FX758"/>
    <mergeCell ref="FY758:GC758"/>
    <mergeCell ref="FY735:GC735"/>
    <mergeCell ref="X759:AB759"/>
    <mergeCell ref="FJ734:FN734"/>
    <mergeCell ref="FO734:FS734"/>
    <mergeCell ref="FT734:FX734"/>
    <mergeCell ref="FY738:GC73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EZ728:FD728"/>
    <mergeCell ref="FE728:FI728"/>
    <mergeCell ref="FT736:FX736"/>
    <mergeCell ref="CU746:CY746"/>
    <mergeCell ref="AC736:AG736"/>
    <mergeCell ref="FT754:FX754"/>
    <mergeCell ref="FJ747:FN747"/>
    <mergeCell ref="FO747:FS747"/>
    <mergeCell ref="FY734:GC734"/>
    <mergeCell ref="DZ740:ED740"/>
    <mergeCell ref="EE740:EI740"/>
    <mergeCell ref="EJ740:EN740"/>
    <mergeCell ref="DU739:DY739"/>
    <mergeCell ref="EO739:ES739"/>
    <mergeCell ref="DU744:DY744"/>
    <mergeCell ref="DJ737:DN737"/>
    <mergeCell ref="DO737:DS737"/>
    <mergeCell ref="CU737:CY737"/>
    <mergeCell ref="T742:W742"/>
    <mergeCell ref="T740:W740"/>
    <mergeCell ref="T739:W739"/>
    <mergeCell ref="DO734:DS734"/>
    <mergeCell ref="CM742:CN742"/>
    <mergeCell ref="CZ738:DD738"/>
    <mergeCell ref="CZ740:DD740"/>
    <mergeCell ref="CK743:CL743"/>
    <mergeCell ref="AC740:AG740"/>
    <mergeCell ref="X741:AB741"/>
    <mergeCell ref="CM734:CN734"/>
    <mergeCell ref="AC751:AG751"/>
    <mergeCell ref="AC752:AG752"/>
    <mergeCell ref="AH751:AJ751"/>
    <mergeCell ref="AK743:AO743"/>
    <mergeCell ref="AK741:AO741"/>
    <mergeCell ref="DO749:DS749"/>
    <mergeCell ref="EJ752:EN752"/>
    <mergeCell ref="EO752:ES752"/>
    <mergeCell ref="FY744:GC744"/>
    <mergeCell ref="FJ742:FN742"/>
    <mergeCell ref="FO742:FS742"/>
    <mergeCell ref="FO738:FS738"/>
    <mergeCell ref="FT738:FX738"/>
    <mergeCell ref="FO740:FS740"/>
    <mergeCell ref="FE741:FI741"/>
    <mergeCell ref="FJ743:FN743"/>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33:FN733"/>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EZ736:FD736"/>
    <mergeCell ref="FE736:FI736"/>
    <mergeCell ref="EZ740:FD740"/>
    <mergeCell ref="EZ747:FD747"/>
    <mergeCell ref="FJ736:FN736"/>
    <mergeCell ref="FO736:FS736"/>
    <mergeCell ref="FO744:FS744"/>
    <mergeCell ref="FT744:FX744"/>
    <mergeCell ref="FE747:FI747"/>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T739:FX739"/>
    <mergeCell ref="FY739:GC739"/>
    <mergeCell ref="EE743:EI743"/>
    <mergeCell ref="EJ742:EN742"/>
    <mergeCell ref="EE741:EI741"/>
    <mergeCell ref="ET740:EX740"/>
    <mergeCell ref="EO740:ES740"/>
    <mergeCell ref="FJ729:FN729"/>
    <mergeCell ref="FO729:FS729"/>
    <mergeCell ref="EZ739:FD739"/>
    <mergeCell ref="ET742:EX742"/>
    <mergeCell ref="ET745:EX745"/>
    <mergeCell ref="ET743:EX743"/>
    <mergeCell ref="EZ741:FD741"/>
    <mergeCell ref="EJ736:EN736"/>
    <mergeCell ref="EO735:ES735"/>
    <mergeCell ref="EJ732:EN732"/>
    <mergeCell ref="EO738:ES738"/>
    <mergeCell ref="ET738:EX738"/>
    <mergeCell ref="EO732:ES732"/>
    <mergeCell ref="ET732:EX732"/>
    <mergeCell ref="EO734:ES734"/>
    <mergeCell ref="ET734:EX734"/>
    <mergeCell ref="ET730:EX730"/>
    <mergeCell ref="EO736:ES736"/>
    <mergeCell ref="ET736:EX736"/>
    <mergeCell ref="FE734:FI734"/>
    <mergeCell ref="FE740:FI740"/>
    <mergeCell ref="FJ740:FN740"/>
    <mergeCell ref="ET729:EX729"/>
    <mergeCell ref="FE735:FI735"/>
    <mergeCell ref="FJ735:FN735"/>
    <mergeCell ref="FO735:FS735"/>
    <mergeCell ref="ET737:EX737"/>
    <mergeCell ref="EZ735:FD735"/>
    <mergeCell ref="EZ734:FD734"/>
    <mergeCell ref="DU730:DY730"/>
    <mergeCell ref="EJ733:EN733"/>
    <mergeCell ref="ET731:EX731"/>
    <mergeCell ref="DU733:DY733"/>
    <mergeCell ref="DZ733:ED733"/>
    <mergeCell ref="DZ732:ED732"/>
    <mergeCell ref="DU734:DY734"/>
    <mergeCell ref="EE731:EI731"/>
    <mergeCell ref="EJ731:EN731"/>
    <mergeCell ref="EO733:ES733"/>
    <mergeCell ref="EE733:EI733"/>
    <mergeCell ref="EC678:EG678"/>
    <mergeCell ref="EH678:EL678"/>
    <mergeCell ref="DZ730:ED730"/>
    <mergeCell ref="DU725:DY725"/>
    <mergeCell ref="DU728:DY728"/>
    <mergeCell ref="DU732:DY732"/>
    <mergeCell ref="DZ727:ED727"/>
    <mergeCell ref="EE728:EI728"/>
    <mergeCell ref="EJ729:EN729"/>
    <mergeCell ref="DZ737:ED737"/>
    <mergeCell ref="ET735:EX735"/>
    <mergeCell ref="ET728:EX728"/>
    <mergeCell ref="DZ734:ED734"/>
    <mergeCell ref="DU736:DY736"/>
    <mergeCell ref="DZ735:ED735"/>
    <mergeCell ref="EE735:EI735"/>
    <mergeCell ref="EO731:ES731"/>
    <mergeCell ref="EO729:ES729"/>
    <mergeCell ref="ET733:EX733"/>
    <mergeCell ref="EM671:EQ671"/>
    <mergeCell ref="ER671:EV671"/>
    <mergeCell ref="EC673:EG673"/>
    <mergeCell ref="EH673:EL673"/>
    <mergeCell ref="EM673:EQ673"/>
    <mergeCell ref="EM674:EQ674"/>
    <mergeCell ref="ER674:EV674"/>
    <mergeCell ref="DX678:EB678"/>
    <mergeCell ref="EM672:EQ672"/>
    <mergeCell ref="ER672:EV672"/>
    <mergeCell ref="EC675:EG675"/>
    <mergeCell ref="EH675:EL675"/>
    <mergeCell ref="DZ728:ED728"/>
    <mergeCell ref="EJ727:EN727"/>
    <mergeCell ref="EO728:ES728"/>
    <mergeCell ref="ET726:EX726"/>
    <mergeCell ref="ER677:EV677"/>
    <mergeCell ref="ER676:EV676"/>
    <mergeCell ref="EW676:FA676"/>
    <mergeCell ref="EW672:FA672"/>
    <mergeCell ref="EM678:EQ678"/>
    <mergeCell ref="EM675:EQ675"/>
    <mergeCell ref="ER675:EV675"/>
    <mergeCell ref="DZ729:ED729"/>
    <mergeCell ref="EC676:EG676"/>
    <mergeCell ref="DX677:EB677"/>
    <mergeCell ref="EO725:ES725"/>
    <mergeCell ref="EC672:EG672"/>
    <mergeCell ref="DX672:EB672"/>
    <mergeCell ref="EM668:EQ668"/>
    <mergeCell ref="DX651:EB651"/>
    <mergeCell ref="DX648:EB648"/>
    <mergeCell ref="EC667:EG667"/>
    <mergeCell ref="EH664:EL664"/>
    <mergeCell ref="EM664:EQ664"/>
    <mergeCell ref="EJ725:EN725"/>
    <mergeCell ref="EE725:EI725"/>
    <mergeCell ref="EJ728:EN728"/>
    <mergeCell ref="EO730:ES730"/>
    <mergeCell ref="EW670:FA670"/>
    <mergeCell ref="DX671:EB671"/>
    <mergeCell ref="EC671:EG671"/>
    <mergeCell ref="EH671:EL671"/>
    <mergeCell ref="ER673:EV673"/>
    <mergeCell ref="EW673:FA673"/>
    <mergeCell ref="EH672:EL672"/>
    <mergeCell ref="DX674:EB674"/>
    <mergeCell ref="EC674:EG674"/>
    <mergeCell ref="EH668:EL668"/>
    <mergeCell ref="EW675:FA675"/>
    <mergeCell ref="DX675:EB675"/>
    <mergeCell ref="EW669:FA669"/>
    <mergeCell ref="EM670:EQ670"/>
    <mergeCell ref="ER670:EV670"/>
    <mergeCell ref="DX673:EB673"/>
    <mergeCell ref="DZ725:ED725"/>
    <mergeCell ref="EJ726:EN726"/>
    <mergeCell ref="DZ726:ED726"/>
    <mergeCell ref="EE726:EI726"/>
    <mergeCell ref="EW652:FA652"/>
    <mergeCell ref="EM655:EQ655"/>
    <mergeCell ref="EW659:FA659"/>
    <mergeCell ref="EW657:FA657"/>
    <mergeCell ref="EH650:EL650"/>
    <mergeCell ref="EM650:EQ650"/>
    <mergeCell ref="ER650:EV650"/>
    <mergeCell ref="EW658:FA658"/>
    <mergeCell ref="EW656:FA656"/>
    <mergeCell ref="EH661:EL661"/>
    <mergeCell ref="DX661:EB661"/>
    <mergeCell ref="EC661:EG661"/>
    <mergeCell ref="ER664:EV664"/>
    <mergeCell ref="DX658:EB658"/>
    <mergeCell ref="DX660:EB660"/>
    <mergeCell ref="DX662:EB662"/>
    <mergeCell ref="DX659:EB659"/>
    <mergeCell ref="EC659:EG659"/>
    <mergeCell ref="EH658:EL658"/>
    <mergeCell ref="DX652:EB652"/>
    <mergeCell ref="DX650:EB650"/>
    <mergeCell ref="EC652:EG652"/>
    <mergeCell ref="EH652:EL652"/>
    <mergeCell ref="EM661:EQ661"/>
    <mergeCell ref="ER661:EV661"/>
    <mergeCell ref="EW663:FA663"/>
    <mergeCell ref="ER663:EV663"/>
    <mergeCell ref="EH659:EL659"/>
    <mergeCell ref="DX653:EB653"/>
    <mergeCell ref="DX655:EB655"/>
    <mergeCell ref="ER657:EV657"/>
    <mergeCell ref="DX654:EB654"/>
    <mergeCell ref="EC654:EG654"/>
    <mergeCell ref="ER659:EV659"/>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M648:EQ648"/>
    <mergeCell ref="EH655:EL655"/>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ER647:EV647"/>
    <mergeCell ref="EW649:FA649"/>
    <mergeCell ref="EM649:EQ649"/>
    <mergeCell ref="EH656:EL656"/>
    <mergeCell ref="ER678:EV678"/>
    <mergeCell ref="ER667:EV667"/>
    <mergeCell ref="EW667:FA667"/>
    <mergeCell ref="EO727:ES727"/>
    <mergeCell ref="ET727:EX727"/>
    <mergeCell ref="EO726:ES726"/>
    <mergeCell ref="EW671:FA671"/>
    <mergeCell ref="EH653:EL653"/>
    <mergeCell ref="EM653:EQ653"/>
    <mergeCell ref="EW677:FA677"/>
    <mergeCell ref="EW660:FA660"/>
    <mergeCell ref="EM662:EQ662"/>
    <mergeCell ref="ER662:EV662"/>
    <mergeCell ref="EM660:EQ660"/>
    <mergeCell ref="EM676:EQ676"/>
    <mergeCell ref="ER660:EV660"/>
    <mergeCell ref="EH660:EL660"/>
    <mergeCell ref="EC668:EG668"/>
    <mergeCell ref="EC664:EG664"/>
    <mergeCell ref="DX668:EB668"/>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EW674:FA674"/>
    <mergeCell ref="EW662:FA662"/>
    <mergeCell ref="ER669:EV669"/>
    <mergeCell ref="EE734:EI734"/>
    <mergeCell ref="EJ734:EN734"/>
    <mergeCell ref="EC677:EG677"/>
    <mergeCell ref="EH677:EL677"/>
    <mergeCell ref="EM677:EQ677"/>
    <mergeCell ref="EW666:FA666"/>
    <mergeCell ref="EE736:EI736"/>
    <mergeCell ref="EO737:ES737"/>
    <mergeCell ref="EH654:EL654"/>
    <mergeCell ref="EM656:EQ656"/>
    <mergeCell ref="EH663:EL663"/>
    <mergeCell ref="EM663:EQ663"/>
    <mergeCell ref="DU726:DY726"/>
    <mergeCell ref="DU729:DY729"/>
    <mergeCell ref="EE729:EI729"/>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ET744:EX744"/>
    <mergeCell ref="EJ735:EN735"/>
    <mergeCell ref="DJ754:DN754"/>
    <mergeCell ref="EJ743:EN743"/>
    <mergeCell ref="EO743:ES743"/>
    <mergeCell ref="EO760:ES760"/>
    <mergeCell ref="EJ760:EN760"/>
    <mergeCell ref="ET746:EX746"/>
    <mergeCell ref="DO748:DS748"/>
    <mergeCell ref="EE761:EI761"/>
    <mergeCell ref="DU747:DY747"/>
    <mergeCell ref="DZ747:ED747"/>
    <mergeCell ref="DE751:DI751"/>
    <mergeCell ref="DZ760:ED760"/>
    <mergeCell ref="DJ760:DN760"/>
    <mergeCell ref="EE754:EI754"/>
    <mergeCell ref="ET747:EX747"/>
    <mergeCell ref="DO756:DS756"/>
    <mergeCell ref="DE757:DI757"/>
    <mergeCell ref="DU738:DY738"/>
    <mergeCell ref="ET741:EX741"/>
    <mergeCell ref="EJ741:EN741"/>
    <mergeCell ref="EJ745:EN745"/>
    <mergeCell ref="DZ744:ED744"/>
    <mergeCell ref="EE744:EI744"/>
    <mergeCell ref="EJ744:EN744"/>
    <mergeCell ref="EJ747:EN747"/>
    <mergeCell ref="EO745:ES745"/>
    <mergeCell ref="EO748:ES748"/>
    <mergeCell ref="DO741:DS741"/>
    <mergeCell ref="DO742:DS742"/>
    <mergeCell ref="ET752:EX752"/>
    <mergeCell ref="EE750:EI750"/>
    <mergeCell ref="EJ748:EN748"/>
    <mergeCell ref="DU742:DY742"/>
    <mergeCell ref="DO752:DS752"/>
    <mergeCell ref="EE746:EI746"/>
    <mergeCell ref="DO746:DS746"/>
    <mergeCell ref="DO758:DS758"/>
    <mergeCell ref="DJ781:DN781"/>
    <mergeCell ref="EE759:EI759"/>
    <mergeCell ref="DU759:DY759"/>
    <mergeCell ref="DZ759:ED759"/>
    <mergeCell ref="DU760:DY760"/>
    <mergeCell ref="DU746:DY746"/>
    <mergeCell ref="DJ746:DN746"/>
    <mergeCell ref="DE781:DI781"/>
    <mergeCell ref="DE748:DI748"/>
    <mergeCell ref="DU748:DY748"/>
    <mergeCell ref="DO781:DS781"/>
    <mergeCell ref="DO762:DS762"/>
    <mergeCell ref="DE761:DI761"/>
    <mergeCell ref="DJ749:DN749"/>
    <mergeCell ref="EC658:EG658"/>
    <mergeCell ref="EC663:EG663"/>
    <mergeCell ref="DJ728:DN728"/>
    <mergeCell ref="DJ725:DN725"/>
    <mergeCell ref="DJ730:DN730"/>
    <mergeCell ref="DZ745:ED745"/>
    <mergeCell ref="EJ746:EN746"/>
    <mergeCell ref="DO736:DS736"/>
    <mergeCell ref="DO731:DS731"/>
    <mergeCell ref="DO732:DS732"/>
    <mergeCell ref="DZ746:ED746"/>
    <mergeCell ref="DO740:DS740"/>
    <mergeCell ref="DO728:DS728"/>
    <mergeCell ref="DO730:DS730"/>
    <mergeCell ref="DU731:DY731"/>
    <mergeCell ref="DZ731:ED731"/>
    <mergeCell ref="EE727:EI727"/>
    <mergeCell ref="DO744:DS744"/>
    <mergeCell ref="EE742:EI742"/>
    <mergeCell ref="EE738:EI738"/>
    <mergeCell ref="EJ738:EN738"/>
    <mergeCell ref="DU737:DY737"/>
    <mergeCell ref="DO727:DS727"/>
    <mergeCell ref="DZ743:ED743"/>
    <mergeCell ref="DU741:DY741"/>
    <mergeCell ref="DJ732:DN732"/>
    <mergeCell ref="EE745:EI745"/>
    <mergeCell ref="EJ730:EN730"/>
    <mergeCell ref="DU727:DY727"/>
    <mergeCell ref="EM669:EQ669"/>
    <mergeCell ref="DX663:EB663"/>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E744:DI744"/>
    <mergeCell ref="DJ755:DN755"/>
    <mergeCell ref="CZ747:DD747"/>
    <mergeCell ref="DO755:DS755"/>
    <mergeCell ref="DU753:DY753"/>
    <mergeCell ref="DJ782:DN782"/>
    <mergeCell ref="DO743:DS743"/>
    <mergeCell ref="DE784:DI784"/>
    <mergeCell ref="DO782:DS782"/>
    <mergeCell ref="DU761:DY761"/>
    <mergeCell ref="DJ744:DN744"/>
    <mergeCell ref="EO741:ES741"/>
    <mergeCell ref="EO742:ES742"/>
    <mergeCell ref="EO744:ES744"/>
    <mergeCell ref="EM644:EQ644"/>
    <mergeCell ref="DX645:EB645"/>
    <mergeCell ref="AC641:AE641"/>
    <mergeCell ref="B647:AN647"/>
    <mergeCell ref="B648:AN648"/>
    <mergeCell ref="B727:F727"/>
    <mergeCell ref="Z694:AK694"/>
    <mergeCell ref="Z687:AE687"/>
    <mergeCell ref="AO645:AS645"/>
    <mergeCell ref="T744:W744"/>
    <mergeCell ref="G667:R667"/>
    <mergeCell ref="P679:R679"/>
    <mergeCell ref="G659:R659"/>
    <mergeCell ref="G660:R660"/>
    <mergeCell ref="J712:X712"/>
    <mergeCell ref="T722:W725"/>
    <mergeCell ref="AA656:AK656"/>
    <mergeCell ref="AK645:AN645"/>
    <mergeCell ref="H672:R672"/>
    <mergeCell ref="G686:R686"/>
    <mergeCell ref="P687:R687"/>
    <mergeCell ref="G744:J744"/>
    <mergeCell ref="G737:J737"/>
    <mergeCell ref="N673:O673"/>
    <mergeCell ref="AG657:AH657"/>
    <mergeCell ref="DO733:DS733"/>
    <mergeCell ref="EM657:EQ657"/>
    <mergeCell ref="DX664:EB664"/>
    <mergeCell ref="C646:L646"/>
    <mergeCell ref="Z594:AK594"/>
    <mergeCell ref="P430:R430"/>
    <mergeCell ref="AH509:AK509"/>
    <mergeCell ref="G482:V482"/>
    <mergeCell ref="AH534:AK534"/>
    <mergeCell ref="M569:P569"/>
    <mergeCell ref="C573:L573"/>
    <mergeCell ref="W566:Y566"/>
    <mergeCell ref="AE566:AH566"/>
    <mergeCell ref="C565:L565"/>
    <mergeCell ref="G601:R601"/>
    <mergeCell ref="AI605:AK605"/>
    <mergeCell ref="A625:AT626"/>
    <mergeCell ref="Z652:AK652"/>
    <mergeCell ref="T637:V637"/>
    <mergeCell ref="C636:L636"/>
    <mergeCell ref="AF645:AJ645"/>
    <mergeCell ref="AM571:AS571"/>
    <mergeCell ref="AO636:AS636"/>
    <mergeCell ref="AG615:AH615"/>
    <mergeCell ref="AO632:AS634"/>
    <mergeCell ref="AK636:AN636"/>
    <mergeCell ref="W635:Y635"/>
    <mergeCell ref="T635:V635"/>
    <mergeCell ref="Z588:AK588"/>
    <mergeCell ref="Z603:AK603"/>
    <mergeCell ref="AC637:AE637"/>
    <mergeCell ref="AF643:AJ643"/>
    <mergeCell ref="AM569:AS569"/>
    <mergeCell ref="AM567:AS567"/>
    <mergeCell ref="AA581:AK581"/>
    <mergeCell ref="AC642:AE642"/>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AM570:AS570"/>
    <mergeCell ref="AO639:AS639"/>
    <mergeCell ref="AI564:AL564"/>
    <mergeCell ref="T565:V565"/>
    <mergeCell ref="W564:Y564"/>
    <mergeCell ref="T632:V634"/>
    <mergeCell ref="AM566:AS566"/>
    <mergeCell ref="V390:W390"/>
    <mergeCell ref="T563:V563"/>
    <mergeCell ref="W567:Y56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Z579:AK579"/>
    <mergeCell ref="AC526:AF526"/>
    <mergeCell ref="AH512:AK512"/>
    <mergeCell ref="M562:P562"/>
    <mergeCell ref="AH539:AK539"/>
    <mergeCell ref="Z609:AK609"/>
    <mergeCell ref="AI567:AL567"/>
    <mergeCell ref="AM564:AS564"/>
    <mergeCell ref="AI570:AL570"/>
    <mergeCell ref="Z576:AK576"/>
    <mergeCell ref="Q632:S634"/>
    <mergeCell ref="M573:P573"/>
    <mergeCell ref="Z619:AK619"/>
    <mergeCell ref="AM573:AS573"/>
    <mergeCell ref="AM572:AS572"/>
    <mergeCell ref="AE565:AH565"/>
    <mergeCell ref="N623:O623"/>
    <mergeCell ref="AI621:AK621"/>
    <mergeCell ref="AA622:AK622"/>
    <mergeCell ref="AC632:AE634"/>
    <mergeCell ref="AM574:AS574"/>
    <mergeCell ref="H622:R622"/>
    <mergeCell ref="P597:R597"/>
    <mergeCell ref="Z596:AK596"/>
    <mergeCell ref="G619:R619"/>
    <mergeCell ref="Z610:AK610"/>
    <mergeCell ref="Z620:AK620"/>
    <mergeCell ref="N607:O607"/>
    <mergeCell ref="AA598:AK598"/>
    <mergeCell ref="AI597:AK597"/>
    <mergeCell ref="G588:R588"/>
    <mergeCell ref="Z589:AE589"/>
    <mergeCell ref="T752:W752"/>
    <mergeCell ref="O755:S755"/>
    <mergeCell ref="T755:W755"/>
    <mergeCell ref="AC756:AG756"/>
    <mergeCell ref="AH758:AJ758"/>
    <mergeCell ref="AK739:AO739"/>
    <mergeCell ref="K736:N736"/>
    <mergeCell ref="AK740:AO740"/>
    <mergeCell ref="K755:N755"/>
    <mergeCell ref="M968:S968"/>
    <mergeCell ref="AB996:AI996"/>
    <mergeCell ref="D996:Q996"/>
    <mergeCell ref="R998:AA998"/>
    <mergeCell ref="AJ998:AQ998"/>
    <mergeCell ref="J1033:AE1033"/>
    <mergeCell ref="AJ1001:AQ1001"/>
    <mergeCell ref="AJ1002:AQ1002"/>
    <mergeCell ref="AC738:AG738"/>
    <mergeCell ref="AG764:AJ76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34:F734"/>
    <mergeCell ref="B748:F748"/>
    <mergeCell ref="AH745:AJ745"/>
    <mergeCell ref="AH746:AJ746"/>
    <mergeCell ref="G746: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AJ1054:AQ1057"/>
    <mergeCell ref="AJ1058:AQ1061"/>
    <mergeCell ref="U938:Z938"/>
    <mergeCell ref="B754:F754"/>
    <mergeCell ref="B755:F755"/>
    <mergeCell ref="B756:F756"/>
    <mergeCell ref="M980:S980"/>
    <mergeCell ref="M965:S965"/>
    <mergeCell ref="AB966:AK966"/>
    <mergeCell ref="AA979:AG979"/>
    <mergeCell ref="M979:S979"/>
    <mergeCell ref="I959:T959"/>
    <mergeCell ref="AE964:AK964"/>
    <mergeCell ref="C774:AR776"/>
    <mergeCell ref="F951:T951"/>
    <mergeCell ref="M971:S971"/>
    <mergeCell ref="AA934:AF934"/>
    <mergeCell ref="AE967:AK967"/>
    <mergeCell ref="D1021:AE1021"/>
    <mergeCell ref="C1098:D1098"/>
    <mergeCell ref="C1093:D1093"/>
    <mergeCell ref="C1094:D1094"/>
    <mergeCell ref="C1096:D1096"/>
    <mergeCell ref="C1097:D1097"/>
    <mergeCell ref="E1076:AR1077"/>
    <mergeCell ref="M981:S981"/>
    <mergeCell ref="D1008:AE1008"/>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1041:AQ1044"/>
    <mergeCell ref="AJ1003:AQ1009"/>
    <mergeCell ref="AJ1016:AQ1019"/>
    <mergeCell ref="AJ1020:AQ1021"/>
    <mergeCell ref="D994:Q994"/>
    <mergeCell ref="E1106:AR1107"/>
    <mergeCell ref="E1109:AR1110"/>
    <mergeCell ref="C1086:D1086"/>
    <mergeCell ref="C1087:D1087"/>
    <mergeCell ref="C1088:D1088"/>
    <mergeCell ref="C1089:D1089"/>
    <mergeCell ref="C1090:D1090"/>
    <mergeCell ref="AB994:AI994"/>
    <mergeCell ref="M984:S984"/>
    <mergeCell ref="D1029:AE1030"/>
    <mergeCell ref="D1034:AE1034"/>
    <mergeCell ref="AF1035:AI1035"/>
    <mergeCell ref="D1062:AI1062"/>
    <mergeCell ref="AJ1034:AQ1037"/>
    <mergeCell ref="A1074:B1074"/>
    <mergeCell ref="A1076:B1076"/>
    <mergeCell ref="C1074:D1074"/>
    <mergeCell ref="C1075:D1075"/>
    <mergeCell ref="C1076:D1076"/>
    <mergeCell ref="C1077:D1077"/>
    <mergeCell ref="C1078:D1078"/>
    <mergeCell ref="C1079:D1079"/>
    <mergeCell ref="C1080:D1080"/>
    <mergeCell ref="C1081:D1081"/>
    <mergeCell ref="R997:AA997"/>
    <mergeCell ref="D999:Q999"/>
    <mergeCell ref="AB998:AI998"/>
    <mergeCell ref="D1004:AE1007"/>
    <mergeCell ref="AJ1062:AQ1062"/>
    <mergeCell ref="D1046:AE1049"/>
    <mergeCell ref="D1054:AE1054"/>
    <mergeCell ref="D1023:AE1024"/>
    <mergeCell ref="C1091:D1091"/>
    <mergeCell ref="C1092:D1092"/>
    <mergeCell ref="C1099:D1099"/>
    <mergeCell ref="C1100:D1100"/>
    <mergeCell ref="A1103:B1103"/>
    <mergeCell ref="C1085:D1085"/>
    <mergeCell ref="A1098:B1098"/>
    <mergeCell ref="C1082:D1082"/>
    <mergeCell ref="C1083:D1083"/>
    <mergeCell ref="C1084:D1084"/>
    <mergeCell ref="A1094:B1094"/>
    <mergeCell ref="A1090:B1090"/>
    <mergeCell ref="A1084:B1084"/>
    <mergeCell ref="A1079:B107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9:AR1082"/>
    <mergeCell ref="E1084:AR1088"/>
    <mergeCell ref="E1090:AR1092"/>
    <mergeCell ref="E1094:AR1096"/>
    <mergeCell ref="E1098:AR1100"/>
    <mergeCell ref="E1103:AR110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3" workbookViewId="0">
      <selection activeCell="E100" sqref="E100"/>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ol min="16384" max="16384" width="0.109375" style="158" customWidth="1"/>
  </cols>
  <sheetData>
    <row r="1" spans="1:21" s="110" customFormat="1" ht="13.8">
      <c r="A1" s="168" t="s">
        <v>549</v>
      </c>
      <c r="B1" s="125"/>
      <c r="C1" s="125"/>
      <c r="D1" s="125"/>
      <c r="E1" s="126"/>
      <c r="F1" s="1888" t="s">
        <v>621</v>
      </c>
      <c r="G1" s="1889"/>
      <c r="H1" s="1889"/>
      <c r="I1" s="1889"/>
      <c r="J1" s="1889"/>
      <c r="K1" s="1889"/>
      <c r="L1" s="1889"/>
      <c r="M1" s="1889"/>
      <c r="N1" s="1889"/>
      <c r="O1" s="1889"/>
      <c r="P1" s="1889"/>
      <c r="Q1" s="1889"/>
      <c r="R1" s="1890"/>
      <c r="S1" s="112"/>
      <c r="T1" s="111"/>
      <c r="U1" s="113"/>
    </row>
    <row r="2" spans="1:21" s="138" customFormat="1" ht="71.25" customHeight="1">
      <c r="A2" s="137"/>
      <c r="B2" s="138" t="s">
        <v>23</v>
      </c>
      <c r="C2" s="138" t="s">
        <v>374</v>
      </c>
      <c r="D2" s="138" t="s">
        <v>373</v>
      </c>
      <c r="E2" s="138" t="s">
        <v>24</v>
      </c>
      <c r="F2" s="139" t="str">
        <f>Application!B635&amp;Application!C635</f>
        <v>1)Citibank, N.A.</v>
      </c>
      <c r="G2" s="139" t="str">
        <f>Application!B636&amp;Application!C636</f>
        <v>2)610 West by Vintage Partners, LLC</v>
      </c>
      <c r="H2" s="139" t="str">
        <f>Application!B637&amp;Application!C637</f>
        <v>3)Vintage Housing Development, Inc.</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2000000</v>
      </c>
      <c r="C4" s="147">
        <v>2000000</v>
      </c>
      <c r="D4" s="147"/>
      <c r="E4" s="147">
        <v>2000000</v>
      </c>
      <c r="F4" s="147"/>
      <c r="G4" s="147"/>
      <c r="H4" s="147"/>
      <c r="I4" s="147"/>
      <c r="J4" s="147"/>
      <c r="K4" s="147"/>
      <c r="L4" s="147"/>
      <c r="M4" s="147"/>
      <c r="N4" s="147"/>
      <c r="O4" s="147"/>
      <c r="P4" s="147"/>
      <c r="Q4" s="147"/>
      <c r="R4" s="512">
        <f>SUM(E4:Q4)</f>
        <v>2000000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593</v>
      </c>
      <c r="B8" s="146">
        <f>SUM(C8:D8)</f>
        <v>2000000</v>
      </c>
      <c r="C8" s="146">
        <f t="shared" ref="C8:Q8" si="0">SUM(C4:C7)</f>
        <v>2000000</v>
      </c>
      <c r="D8" s="146">
        <f t="shared" si="0"/>
        <v>0</v>
      </c>
      <c r="E8" s="146">
        <f t="shared" si="0"/>
        <v>2000000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2000000</v>
      </c>
      <c r="S8" s="148"/>
      <c r="T8" s="148"/>
      <c r="U8" s="143"/>
    </row>
    <row r="9" spans="1:21" s="144" customFormat="1">
      <c r="A9" s="145" t="s">
        <v>594</v>
      </c>
      <c r="B9" s="146">
        <f>SUM(C9+D9)</f>
        <v>24000000</v>
      </c>
      <c r="C9" s="147">
        <v>24000000</v>
      </c>
      <c r="D9" s="147"/>
      <c r="E9" s="147">
        <v>24000000</v>
      </c>
      <c r="F9" s="147"/>
      <c r="G9" s="147"/>
      <c r="H9" s="147"/>
      <c r="I9" s="147"/>
      <c r="J9" s="147"/>
      <c r="K9" s="147"/>
      <c r="L9" s="147"/>
      <c r="M9" s="147"/>
      <c r="N9" s="147"/>
      <c r="O9" s="147"/>
      <c r="P9" s="147"/>
      <c r="Q9" s="147"/>
      <c r="R9" s="512">
        <f>SUM(E9:Q9)</f>
        <v>24000000</v>
      </c>
      <c r="S9" s="148"/>
      <c r="T9" s="147">
        <v>24000000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2">
      <c r="A11" s="149" t="s">
        <v>596</v>
      </c>
      <c r="B11" s="146">
        <f>SUM(C11:D11)</f>
        <v>24000000</v>
      </c>
      <c r="C11" s="146">
        <f t="shared" ref="C11:Q11" si="1">SUM(C9:C10)</f>
        <v>24000000</v>
      </c>
      <c r="D11" s="146">
        <f t="shared" si="1"/>
        <v>0</v>
      </c>
      <c r="E11" s="146">
        <f t="shared" si="1"/>
        <v>24000000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24000000</v>
      </c>
      <c r="S11" s="148"/>
      <c r="T11" s="150">
        <f>SUM(T9:T10)</f>
        <v>24000000</v>
      </c>
      <c r="U11" s="143"/>
    </row>
    <row r="12" spans="1:21" s="144" customFormat="1" ht="12">
      <c r="A12" s="149" t="s">
        <v>84</v>
      </c>
      <c r="B12" s="146">
        <f t="shared" ref="B12:Q12" si="2">SUM(B8+B11)</f>
        <v>26000000</v>
      </c>
      <c r="C12" s="146">
        <f t="shared" si="2"/>
        <v>26000000</v>
      </c>
      <c r="D12" s="146">
        <f t="shared" si="2"/>
        <v>0</v>
      </c>
      <c r="E12" s="146">
        <f t="shared" si="2"/>
        <v>26000000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26000000</v>
      </c>
      <c r="S12" s="148"/>
      <c r="T12" s="148"/>
      <c r="U12" s="143"/>
    </row>
    <row r="13" spans="1:21" s="144" customFormat="1">
      <c r="A13" s="287" t="s">
        <v>902</v>
      </c>
      <c r="B13" s="146">
        <f>SUM(C13+D13)</f>
        <v>2000000</v>
      </c>
      <c r="C13" s="147">
        <v>2000000</v>
      </c>
      <c r="D13" s="147"/>
      <c r="E13" s="147"/>
      <c r="F13" s="147">
        <v>2000000</v>
      </c>
      <c r="G13" s="147"/>
      <c r="H13" s="147"/>
      <c r="I13" s="147"/>
      <c r="J13" s="147"/>
      <c r="K13" s="147"/>
      <c r="L13" s="147"/>
      <c r="M13" s="147"/>
      <c r="N13" s="147"/>
      <c r="O13" s="147"/>
      <c r="P13" s="147"/>
      <c r="Q13" s="147"/>
      <c r="R13" s="512">
        <f>SUM(E13:Q13)</f>
        <v>2000000</v>
      </c>
      <c r="S13" s="147">
        <v>2000000</v>
      </c>
      <c r="T13" s="147"/>
      <c r="U13" s="143"/>
    </row>
    <row r="14" spans="1:21" s="144" customFormat="1" ht="22.8">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2">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2">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599</v>
      </c>
      <c r="B30" s="146">
        <f t="shared" si="6"/>
        <v>32894738</v>
      </c>
      <c r="C30" s="147">
        <v>32894738</v>
      </c>
      <c r="D30" s="147"/>
      <c r="E30" s="147"/>
      <c r="F30" s="147">
        <v>32894738</v>
      </c>
      <c r="G30" s="147"/>
      <c r="H30" s="147"/>
      <c r="I30" s="147"/>
      <c r="J30" s="147"/>
      <c r="K30" s="147"/>
      <c r="L30" s="147"/>
      <c r="M30" s="147"/>
      <c r="N30" s="147"/>
      <c r="O30" s="147"/>
      <c r="P30" s="147"/>
      <c r="Q30" s="147"/>
      <c r="R30" s="512">
        <f t="shared" si="7"/>
        <v>32894738</v>
      </c>
      <c r="S30" s="147">
        <v>32894738</v>
      </c>
      <c r="T30" s="147"/>
      <c r="U30" s="143"/>
    </row>
    <row r="31" spans="1:21" s="144" customFormat="1">
      <c r="A31" s="145" t="s">
        <v>600</v>
      </c>
      <c r="B31" s="146">
        <f t="shared" si="6"/>
        <v>1973684</v>
      </c>
      <c r="C31" s="147">
        <v>1973684</v>
      </c>
      <c r="D31" s="147"/>
      <c r="E31" s="147"/>
      <c r="F31" s="147">
        <v>1973684</v>
      </c>
      <c r="G31" s="147"/>
      <c r="H31" s="147"/>
      <c r="I31" s="147"/>
      <c r="J31" s="147"/>
      <c r="K31" s="147"/>
      <c r="L31" s="147"/>
      <c r="M31" s="147"/>
      <c r="N31" s="147"/>
      <c r="O31" s="147"/>
      <c r="P31" s="147"/>
      <c r="Q31" s="147"/>
      <c r="R31" s="512">
        <f t="shared" si="7"/>
        <v>1973684</v>
      </c>
      <c r="S31" s="147">
        <v>1973684</v>
      </c>
      <c r="T31" s="147"/>
      <c r="U31" s="143"/>
    </row>
    <row r="32" spans="1:21" s="144" customFormat="1">
      <c r="A32" s="145" t="s">
        <v>137</v>
      </c>
      <c r="B32" s="146">
        <f t="shared" si="6"/>
        <v>657894</v>
      </c>
      <c r="C32" s="147">
        <v>657894</v>
      </c>
      <c r="D32" s="147"/>
      <c r="E32" s="147"/>
      <c r="F32" s="147">
        <v>657894</v>
      </c>
      <c r="G32" s="147"/>
      <c r="H32" s="147"/>
      <c r="I32" s="147"/>
      <c r="J32" s="147"/>
      <c r="K32" s="147"/>
      <c r="L32" s="147"/>
      <c r="M32" s="147"/>
      <c r="N32" s="147"/>
      <c r="O32" s="147"/>
      <c r="P32" s="147"/>
      <c r="Q32" s="147"/>
      <c r="R32" s="512">
        <f t="shared" si="7"/>
        <v>657894</v>
      </c>
      <c r="S32" s="147">
        <v>657894</v>
      </c>
      <c r="T32" s="147"/>
      <c r="U32" s="143"/>
    </row>
    <row r="33" spans="1:21" s="144" customFormat="1">
      <c r="A33" s="145" t="s">
        <v>138</v>
      </c>
      <c r="B33" s="146">
        <f t="shared" si="6"/>
        <v>1973684</v>
      </c>
      <c r="C33" s="147">
        <v>1973684</v>
      </c>
      <c r="D33" s="147"/>
      <c r="E33" s="147"/>
      <c r="F33" s="147">
        <v>1973684</v>
      </c>
      <c r="G33" s="147"/>
      <c r="H33" s="147"/>
      <c r="I33" s="147"/>
      <c r="J33" s="147"/>
      <c r="K33" s="147"/>
      <c r="L33" s="147"/>
      <c r="M33" s="147"/>
      <c r="N33" s="147"/>
      <c r="O33" s="147"/>
      <c r="P33" s="147"/>
      <c r="Q33" s="147"/>
      <c r="R33" s="512">
        <f t="shared" si="7"/>
        <v>1973684</v>
      </c>
      <c r="S33" s="147">
        <v>1973684</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1000000</v>
      </c>
      <c r="C35" s="147">
        <v>1000000</v>
      </c>
      <c r="D35" s="147"/>
      <c r="E35" s="147"/>
      <c r="F35" s="147">
        <v>1000000</v>
      </c>
      <c r="G35" s="147"/>
      <c r="H35" s="147"/>
      <c r="I35" s="147"/>
      <c r="J35" s="147"/>
      <c r="K35" s="147"/>
      <c r="L35" s="147"/>
      <c r="M35" s="147"/>
      <c r="N35" s="147"/>
      <c r="O35" s="147"/>
      <c r="P35" s="147"/>
      <c r="Q35" s="147"/>
      <c r="R35" s="512">
        <f t="shared" si="7"/>
        <v>1000000</v>
      </c>
      <c r="S35" s="147">
        <v>1000000</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ht="12">
      <c r="A38" s="149" t="s">
        <v>143</v>
      </c>
      <c r="B38" s="146">
        <f t="shared" si="6"/>
        <v>38500000</v>
      </c>
      <c r="C38" s="146">
        <f>SUM(C29:C37)</f>
        <v>38500000</v>
      </c>
      <c r="D38" s="146">
        <f t="shared" ref="D38:Q38" si="8">SUM(D29:D37)</f>
        <v>0</v>
      </c>
      <c r="E38" s="146">
        <f t="shared" si="8"/>
        <v>0</v>
      </c>
      <c r="F38" s="146">
        <f t="shared" si="8"/>
        <v>38500000</v>
      </c>
      <c r="G38" s="146">
        <f t="shared" si="8"/>
        <v>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38500000</v>
      </c>
      <c r="S38" s="150">
        <f>SUM(S29:S37)</f>
        <v>38500000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1100000</v>
      </c>
      <c r="C40" s="147">
        <v>1100000</v>
      </c>
      <c r="D40" s="147"/>
      <c r="E40" s="147"/>
      <c r="F40" s="147">
        <v>1100000</v>
      </c>
      <c r="G40" s="147"/>
      <c r="H40" s="147"/>
      <c r="I40" s="147"/>
      <c r="J40" s="147"/>
      <c r="K40" s="147"/>
      <c r="L40" s="147"/>
      <c r="M40" s="147"/>
      <c r="N40" s="147"/>
      <c r="O40" s="147"/>
      <c r="P40" s="147"/>
      <c r="Q40" s="147"/>
      <c r="R40" s="512">
        <f>SUM(E40:Q40)</f>
        <v>1100000</v>
      </c>
      <c r="S40" s="147">
        <v>1100000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ht="12">
      <c r="A42" s="149" t="s">
        <v>147</v>
      </c>
      <c r="B42" s="146">
        <f>SUM(C42:D42)</f>
        <v>1100000</v>
      </c>
      <c r="C42" s="146">
        <f>SUM(C39:C41)</f>
        <v>1100000</v>
      </c>
      <c r="D42" s="146">
        <f>SUM(D39:D41)</f>
        <v>0</v>
      </c>
      <c r="E42" s="146">
        <f t="shared" ref="E42:T42" si="9">SUM(E40:E41)</f>
        <v>0</v>
      </c>
      <c r="F42" s="146">
        <f t="shared" si="9"/>
        <v>1100000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1100000</v>
      </c>
      <c r="S42" s="150">
        <f t="shared" si="9"/>
        <v>1100000</v>
      </c>
      <c r="T42" s="150">
        <f t="shared" si="9"/>
        <v>0</v>
      </c>
      <c r="U42" s="143"/>
    </row>
    <row r="43" spans="1:21" s="144" customFormat="1" ht="12">
      <c r="A43" s="149" t="s">
        <v>148</v>
      </c>
      <c r="B43" s="146">
        <f>SUM(C43:D43)</f>
        <v>1100000</v>
      </c>
      <c r="C43" s="147">
        <v>1100000</v>
      </c>
      <c r="D43" s="147"/>
      <c r="E43" s="147"/>
      <c r="F43" s="147">
        <v>1100000</v>
      </c>
      <c r="G43" s="147"/>
      <c r="H43" s="147"/>
      <c r="I43" s="147"/>
      <c r="J43" s="147"/>
      <c r="K43" s="147"/>
      <c r="L43" s="147"/>
      <c r="M43" s="147"/>
      <c r="N43" s="147"/>
      <c r="O43" s="147"/>
      <c r="P43" s="147"/>
      <c r="Q43" s="147"/>
      <c r="R43" s="512">
        <f>SUM(E43:Q43)</f>
        <v>1100000</v>
      </c>
      <c r="S43" s="147">
        <v>1100000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11762469</v>
      </c>
      <c r="C45" s="147">
        <v>11762469</v>
      </c>
      <c r="D45" s="147"/>
      <c r="E45" s="147">
        <v>7669351</v>
      </c>
      <c r="F45" s="147"/>
      <c r="G45" s="147">
        <v>4093118</v>
      </c>
      <c r="H45" s="147"/>
      <c r="I45" s="147"/>
      <c r="J45" s="147"/>
      <c r="K45" s="147"/>
      <c r="L45" s="147"/>
      <c r="M45" s="147"/>
      <c r="N45" s="147"/>
      <c r="O45" s="147"/>
      <c r="P45" s="147"/>
      <c r="Q45" s="147"/>
      <c r="R45" s="512">
        <f t="shared" ref="R45:R53" si="11">SUM(E45:Q45)</f>
        <v>11762469</v>
      </c>
      <c r="S45" s="147">
        <v>7750000</v>
      </c>
      <c r="T45" s="147"/>
      <c r="U45" s="143"/>
    </row>
    <row r="46" spans="1:21" s="144" customFormat="1">
      <c r="A46" s="145" t="s">
        <v>151</v>
      </c>
      <c r="B46" s="146">
        <f t="shared" si="10"/>
        <v>935500</v>
      </c>
      <c r="C46" s="147">
        <v>935500</v>
      </c>
      <c r="D46" s="147"/>
      <c r="E46" s="147">
        <v>935500</v>
      </c>
      <c r="F46" s="147"/>
      <c r="G46" s="147"/>
      <c r="H46" s="147"/>
      <c r="I46" s="147"/>
      <c r="J46" s="147"/>
      <c r="K46" s="147"/>
      <c r="L46" s="147"/>
      <c r="M46" s="147"/>
      <c r="N46" s="147"/>
      <c r="O46" s="147"/>
      <c r="P46" s="147"/>
      <c r="Q46" s="147"/>
      <c r="R46" s="512">
        <f t="shared" si="11"/>
        <v>935500</v>
      </c>
      <c r="S46" s="147">
        <v>411738</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461825</v>
      </c>
      <c r="C49" s="147">
        <v>461825</v>
      </c>
      <c r="D49" s="147"/>
      <c r="E49" s="147">
        <v>461825</v>
      </c>
      <c r="F49" s="147"/>
      <c r="G49" s="147"/>
      <c r="H49" s="147"/>
      <c r="I49" s="147"/>
      <c r="J49" s="147"/>
      <c r="K49" s="147"/>
      <c r="L49" s="147"/>
      <c r="M49" s="147"/>
      <c r="N49" s="147"/>
      <c r="O49" s="147"/>
      <c r="P49" s="147"/>
      <c r="Q49" s="147"/>
      <c r="R49" s="512">
        <f t="shared" si="11"/>
        <v>461825</v>
      </c>
      <c r="S49" s="147">
        <v>7222</v>
      </c>
      <c r="T49" s="147"/>
      <c r="U49" s="143"/>
    </row>
    <row r="50" spans="1:21" s="144" customFormat="1">
      <c r="A50" s="145" t="s">
        <v>156</v>
      </c>
      <c r="B50" s="146">
        <f t="shared" si="10"/>
        <v>200000</v>
      </c>
      <c r="C50" s="147">
        <v>200000</v>
      </c>
      <c r="D50" s="147"/>
      <c r="E50" s="147">
        <v>30680</v>
      </c>
      <c r="F50" s="147">
        <v>169320</v>
      </c>
      <c r="G50" s="147"/>
      <c r="H50" s="147"/>
      <c r="I50" s="147"/>
      <c r="J50" s="147"/>
      <c r="K50" s="147"/>
      <c r="L50" s="147"/>
      <c r="M50" s="147"/>
      <c r="N50" s="147"/>
      <c r="O50" s="147"/>
      <c r="P50" s="147"/>
      <c r="Q50" s="147"/>
      <c r="R50" s="512">
        <f t="shared" si="11"/>
        <v>200000</v>
      </c>
      <c r="S50" s="147">
        <v>200000</v>
      </c>
      <c r="T50" s="147"/>
      <c r="U50" s="143"/>
    </row>
    <row r="51" spans="1:21" s="144" customFormat="1">
      <c r="A51" s="283" t="s">
        <v>154</v>
      </c>
      <c r="B51" s="146">
        <f t="shared" si="10"/>
        <v>75000</v>
      </c>
      <c r="C51" s="147">
        <v>75000</v>
      </c>
      <c r="D51" s="147"/>
      <c r="E51" s="147">
        <v>75000</v>
      </c>
      <c r="F51" s="147"/>
      <c r="G51" s="147"/>
      <c r="H51" s="147"/>
      <c r="I51" s="147"/>
      <c r="J51" s="147"/>
      <c r="K51" s="147"/>
      <c r="L51" s="147"/>
      <c r="M51" s="147"/>
      <c r="N51" s="147"/>
      <c r="O51" s="147"/>
      <c r="P51" s="147"/>
      <c r="Q51" s="147"/>
      <c r="R51" s="512">
        <f t="shared" si="11"/>
        <v>75000</v>
      </c>
      <c r="S51" s="147">
        <v>75000</v>
      </c>
      <c r="T51" s="147"/>
      <c r="U51" s="143"/>
    </row>
    <row r="52" spans="1:21" s="144" customFormat="1">
      <c r="A52" s="145" t="s">
        <v>155</v>
      </c>
      <c r="B52" s="146">
        <f t="shared" si="10"/>
        <v>0</v>
      </c>
      <c r="C52" s="147"/>
      <c r="D52" s="147"/>
      <c r="E52" s="147"/>
      <c r="F52" s="147"/>
      <c r="G52" s="147"/>
      <c r="H52" s="147"/>
      <c r="I52" s="147"/>
      <c r="J52" s="147"/>
      <c r="K52" s="147"/>
      <c r="L52" s="147"/>
      <c r="M52" s="147"/>
      <c r="N52" s="147"/>
      <c r="O52" s="147"/>
      <c r="P52" s="147"/>
      <c r="Q52" s="147"/>
      <c r="R52" s="512">
        <f t="shared" si="11"/>
        <v>0</v>
      </c>
      <c r="S52" s="147"/>
      <c r="T52" s="147"/>
      <c r="U52" s="143"/>
    </row>
    <row r="53" spans="1:21" s="144" customFormat="1">
      <c r="A53" s="1138" t="s">
        <v>2828</v>
      </c>
      <c r="B53" s="146">
        <f t="shared" si="10"/>
        <v>24000</v>
      </c>
      <c r="C53" s="147">
        <v>24000</v>
      </c>
      <c r="D53" s="147"/>
      <c r="E53" s="147"/>
      <c r="F53" s="147">
        <v>24000</v>
      </c>
      <c r="G53" s="147"/>
      <c r="H53" s="147"/>
      <c r="I53" s="147"/>
      <c r="J53" s="147"/>
      <c r="K53" s="147"/>
      <c r="L53" s="147"/>
      <c r="M53" s="147"/>
      <c r="N53" s="147"/>
      <c r="O53" s="147"/>
      <c r="P53" s="147"/>
      <c r="Q53" s="147"/>
      <c r="R53" s="512">
        <f t="shared" si="11"/>
        <v>24000</v>
      </c>
      <c r="S53" s="147">
        <v>24000</v>
      </c>
      <c r="T53" s="147"/>
      <c r="U53" s="143"/>
    </row>
    <row r="54" spans="1:21" s="153" customFormat="1" ht="12">
      <c r="A54" s="149" t="s">
        <v>157</v>
      </c>
      <c r="B54" s="150">
        <f>SUM(C54:D54)</f>
        <v>13458794</v>
      </c>
      <c r="C54" s="150">
        <f t="shared" ref="C54:T54" si="12">SUM(C45:C53)</f>
        <v>13458794</v>
      </c>
      <c r="D54" s="150">
        <f t="shared" si="12"/>
        <v>0</v>
      </c>
      <c r="E54" s="150">
        <f t="shared" si="12"/>
        <v>9172356</v>
      </c>
      <c r="F54" s="150">
        <f t="shared" si="12"/>
        <v>193320</v>
      </c>
      <c r="G54" s="150">
        <f t="shared" si="12"/>
        <v>4093118</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13458794</v>
      </c>
      <c r="S54" s="150">
        <f t="shared" si="12"/>
        <v>8467960</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0</v>
      </c>
      <c r="C56" s="147"/>
      <c r="D56" s="147"/>
      <c r="E56" s="147"/>
      <c r="F56" s="147"/>
      <c r="G56" s="147"/>
      <c r="H56" s="147"/>
      <c r="I56" s="147"/>
      <c r="J56" s="147"/>
      <c r="K56" s="147"/>
      <c r="L56" s="147"/>
      <c r="M56" s="147"/>
      <c r="N56" s="147"/>
      <c r="O56" s="147"/>
      <c r="P56" s="147"/>
      <c r="Q56" s="147"/>
      <c r="R56" s="512">
        <f t="shared" ref="R56:R61" si="14">SUM(E56:Q56)</f>
        <v>0</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0</v>
      </c>
      <c r="C58" s="147"/>
      <c r="D58" s="147"/>
      <c r="E58" s="147"/>
      <c r="F58" s="147"/>
      <c r="G58" s="147"/>
      <c r="H58" s="147"/>
      <c r="I58" s="147"/>
      <c r="J58" s="147"/>
      <c r="K58" s="147"/>
      <c r="L58" s="147"/>
      <c r="M58" s="147"/>
      <c r="N58" s="147"/>
      <c r="O58" s="147"/>
      <c r="P58" s="147"/>
      <c r="Q58" s="147"/>
      <c r="R58" s="512">
        <f t="shared" si="14"/>
        <v>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65" customHeight="1">
      <c r="A62" s="149" t="s">
        <v>301</v>
      </c>
      <c r="B62" s="146">
        <f>SUM(C62:D62)</f>
        <v>0</v>
      </c>
      <c r="C62" s="146">
        <f t="shared" ref="C62:R62" si="15">SUM(C56:C61)</f>
        <v>0</v>
      </c>
      <c r="D62" s="146">
        <f t="shared" si="15"/>
        <v>0</v>
      </c>
      <c r="E62" s="146">
        <f t="shared" si="15"/>
        <v>0</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0</v>
      </c>
      <c r="S62" s="148"/>
      <c r="T62" s="148"/>
      <c r="U62" s="143"/>
    </row>
    <row r="63" spans="1:21" s="144" customFormat="1">
      <c r="A63" s="154" t="s">
        <v>302</v>
      </c>
      <c r="B63" s="146">
        <f t="shared" ref="B63:R63" si="16">SUM(B8+B11+B13+B14+B15+B26+B27+B38+B42+B43+B54+B62)</f>
        <v>82158794</v>
      </c>
      <c r="C63" s="146">
        <f t="shared" si="16"/>
        <v>82158794</v>
      </c>
      <c r="D63" s="146">
        <f t="shared" si="16"/>
        <v>0</v>
      </c>
      <c r="E63" s="146">
        <f t="shared" si="16"/>
        <v>35172356</v>
      </c>
      <c r="F63" s="146">
        <f t="shared" si="16"/>
        <v>42893320</v>
      </c>
      <c r="G63" s="146">
        <f t="shared" si="16"/>
        <v>4093118</v>
      </c>
      <c r="H63" s="146">
        <f t="shared" si="16"/>
        <v>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82158794</v>
      </c>
      <c r="S63" s="146">
        <f>SUM(S10+S13+S14+S15+S26+S27+S38+S42+S43+S54)</f>
        <v>51167960</v>
      </c>
      <c r="T63" s="146">
        <f>SUM(T11+T13+T14+T15+T26+T27+T38+T42+T43+T54)</f>
        <v>24000000</v>
      </c>
      <c r="U63" s="143"/>
    </row>
    <row r="64" spans="1:21" s="144" customFormat="1" ht="22.8">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167205</v>
      </c>
      <c r="C65" s="147">
        <v>167205</v>
      </c>
      <c r="D65" s="147"/>
      <c r="E65" s="147"/>
      <c r="F65" s="147">
        <v>167205</v>
      </c>
      <c r="G65" s="147"/>
      <c r="H65" s="147"/>
      <c r="I65" s="147"/>
      <c r="J65" s="147"/>
      <c r="K65" s="147"/>
      <c r="L65" s="147"/>
      <c r="M65" s="147"/>
      <c r="N65" s="147"/>
      <c r="O65" s="147"/>
      <c r="P65" s="147"/>
      <c r="Q65" s="147"/>
      <c r="R65" s="512">
        <f>SUM(E65:Q65)</f>
        <v>167205</v>
      </c>
      <c r="S65" s="147">
        <v>167205</v>
      </c>
      <c r="T65" s="147"/>
      <c r="U65" s="143"/>
    </row>
    <row r="66" spans="1:21" s="144" customFormat="1" ht="24" customHeight="1">
      <c r="A66" s="283" t="s">
        <v>1629</v>
      </c>
      <c r="B66" s="146">
        <f>SUM(C66+D66)</f>
        <v>45000</v>
      </c>
      <c r="C66" s="147">
        <v>45000</v>
      </c>
      <c r="D66" s="147"/>
      <c r="E66" s="147"/>
      <c r="F66" s="147">
        <v>45000</v>
      </c>
      <c r="G66" s="147"/>
      <c r="H66" s="147"/>
      <c r="I66" s="147"/>
      <c r="J66" s="147"/>
      <c r="K66" s="147"/>
      <c r="L66" s="147"/>
      <c r="M66" s="147"/>
      <c r="N66" s="147"/>
      <c r="O66" s="147"/>
      <c r="P66" s="147"/>
      <c r="Q66" s="147"/>
      <c r="R66" s="512">
        <f>SUM(E66:Q66)</f>
        <v>45000</v>
      </c>
      <c r="S66" s="147">
        <v>45000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ht="34.200000000000003">
      <c r="A69" s="1138" t="s">
        <v>2720</v>
      </c>
      <c r="B69" s="146">
        <f>SUM(C69+D69)</f>
        <v>379500</v>
      </c>
      <c r="C69" s="147">
        <f>100000+24500+250000+5000</f>
        <v>379500</v>
      </c>
      <c r="D69" s="147"/>
      <c r="E69" s="147"/>
      <c r="F69" s="147">
        <v>379500</v>
      </c>
      <c r="G69" s="147"/>
      <c r="H69" s="147"/>
      <c r="I69" s="147"/>
      <c r="J69" s="147"/>
      <c r="K69" s="147"/>
      <c r="L69" s="147"/>
      <c r="M69" s="147"/>
      <c r="N69" s="147"/>
      <c r="O69" s="147"/>
      <c r="P69" s="147"/>
      <c r="Q69" s="147"/>
      <c r="R69" s="512">
        <f>SUM(E69:Q69)</f>
        <v>379500</v>
      </c>
      <c r="S69" s="147">
        <f>80000+250000</f>
        <v>330000</v>
      </c>
      <c r="T69" s="147"/>
      <c r="U69" s="143"/>
    </row>
    <row r="70" spans="1:21" s="144" customFormat="1" ht="12">
      <c r="A70" s="149" t="s">
        <v>1633</v>
      </c>
      <c r="B70" s="146">
        <f>SUM(C70:D70)</f>
        <v>591705</v>
      </c>
      <c r="C70" s="146">
        <f>SUM(C65:C69)</f>
        <v>591705</v>
      </c>
      <c r="D70" s="146">
        <f>SUM(D65:D69)</f>
        <v>0</v>
      </c>
      <c r="E70" s="146">
        <f t="shared" ref="E70:T70" si="17">SUM(E65:E69)</f>
        <v>0</v>
      </c>
      <c r="F70" s="146">
        <f t="shared" si="17"/>
        <v>591705</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591705</v>
      </c>
      <c r="S70" s="150">
        <f t="shared" si="17"/>
        <v>542205</v>
      </c>
      <c r="T70" s="150">
        <f t="shared" si="17"/>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1184259</v>
      </c>
      <c r="C75" s="147">
        <v>1184259</v>
      </c>
      <c r="D75" s="147"/>
      <c r="E75" s="147">
        <v>1184259</v>
      </c>
      <c r="F75" s="147"/>
      <c r="G75" s="147"/>
      <c r="H75" s="147"/>
      <c r="I75" s="147"/>
      <c r="J75" s="147"/>
      <c r="K75" s="147"/>
      <c r="L75" s="147"/>
      <c r="M75" s="147"/>
      <c r="N75" s="147"/>
      <c r="O75" s="147"/>
      <c r="P75" s="147"/>
      <c r="Q75" s="147"/>
      <c r="R75" s="512">
        <f>SUM(E75:Q75)</f>
        <v>1184259</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2">
      <c r="A77" s="149" t="s">
        <v>606</v>
      </c>
      <c r="B77" s="146">
        <f>SUM(C77:D77)</f>
        <v>1184259</v>
      </c>
      <c r="C77" s="146">
        <f>SUM(C72:C76)</f>
        <v>1184259</v>
      </c>
      <c r="D77" s="146">
        <f>SUM(D72:D76)</f>
        <v>0</v>
      </c>
      <c r="E77" s="146">
        <f t="shared" ref="E77:Q77" si="18">SUM(E72:E76)</f>
        <v>1184259</v>
      </c>
      <c r="F77" s="146">
        <f t="shared" si="18"/>
        <v>0</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1184259</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3750000</v>
      </c>
      <c r="C79" s="147">
        <v>3750000</v>
      </c>
      <c r="D79" s="147"/>
      <c r="E79" s="147"/>
      <c r="F79" s="147">
        <v>3750000</v>
      </c>
      <c r="G79" s="147"/>
      <c r="H79" s="147"/>
      <c r="I79" s="147"/>
      <c r="J79" s="147"/>
      <c r="K79" s="147"/>
      <c r="L79" s="147"/>
      <c r="M79" s="147"/>
      <c r="N79" s="147"/>
      <c r="O79" s="147"/>
      <c r="P79" s="147"/>
      <c r="Q79" s="147"/>
      <c r="R79" s="512">
        <f>SUM(E79:Q79)</f>
        <v>3750000</v>
      </c>
      <c r="S79" s="147">
        <v>3750000</v>
      </c>
      <c r="T79" s="147"/>
      <c r="U79" s="143"/>
    </row>
    <row r="80" spans="1:21" s="144" customFormat="1">
      <c r="A80" s="283" t="s">
        <v>58</v>
      </c>
      <c r="B80" s="146">
        <f>SUM(C80:D80)</f>
        <v>125000</v>
      </c>
      <c r="C80" s="147">
        <v>125000</v>
      </c>
      <c r="D80" s="147"/>
      <c r="E80" s="147"/>
      <c r="F80" s="147">
        <v>125000</v>
      </c>
      <c r="G80" s="147"/>
      <c r="H80" s="147"/>
      <c r="I80" s="147"/>
      <c r="J80" s="147"/>
      <c r="K80" s="147"/>
      <c r="L80" s="147"/>
      <c r="M80" s="147"/>
      <c r="N80" s="147"/>
      <c r="O80" s="147"/>
      <c r="P80" s="147"/>
      <c r="Q80" s="147"/>
      <c r="R80" s="512">
        <f>SUM(E80:Q80)</f>
        <v>125000</v>
      </c>
      <c r="S80" s="147">
        <v>125000</v>
      </c>
      <c r="T80" s="147"/>
      <c r="U80" s="143"/>
    </row>
    <row r="81" spans="1:21" s="144" customFormat="1" ht="12">
      <c r="A81" s="149" t="s">
        <v>1208</v>
      </c>
      <c r="B81" s="146">
        <f>SUM(C81:D81)</f>
        <v>3875000</v>
      </c>
      <c r="C81" s="505">
        <f>SUM(C79:C80)</f>
        <v>3875000</v>
      </c>
      <c r="D81" s="505">
        <f t="shared" ref="D81:T81" si="19">SUM(D79:D80)</f>
        <v>0</v>
      </c>
      <c r="E81" s="505">
        <f t="shared" si="19"/>
        <v>0</v>
      </c>
      <c r="F81" s="505">
        <f t="shared" si="19"/>
        <v>3875000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3875000</v>
      </c>
      <c r="S81" s="505">
        <f t="shared" si="19"/>
        <v>3875000</v>
      </c>
      <c r="T81" s="505">
        <f t="shared" si="1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2044</v>
      </c>
      <c r="B83" s="146">
        <f t="shared" ref="B83:B95" si="20">SUM(C83+D83)</f>
        <v>127235</v>
      </c>
      <c r="C83" s="147">
        <v>127235</v>
      </c>
      <c r="D83" s="147"/>
      <c r="E83" s="147"/>
      <c r="F83" s="147">
        <v>127235</v>
      </c>
      <c r="G83" s="147"/>
      <c r="H83" s="147"/>
      <c r="I83" s="147"/>
      <c r="J83" s="147"/>
      <c r="K83" s="147"/>
      <c r="L83" s="147"/>
      <c r="M83" s="147"/>
      <c r="N83" s="147"/>
      <c r="O83" s="147"/>
      <c r="P83" s="147"/>
      <c r="Q83" s="147"/>
      <c r="R83" s="512">
        <f t="shared" ref="R83:R95" si="21">SUM(E83:Q83)</f>
        <v>127235</v>
      </c>
      <c r="S83" s="148"/>
      <c r="T83" s="148"/>
      <c r="U83" s="143"/>
    </row>
    <row r="84" spans="1:21" s="144" customFormat="1">
      <c r="A84" s="145" t="s">
        <v>767</v>
      </c>
      <c r="B84" s="146">
        <f t="shared" si="20"/>
        <v>3500</v>
      </c>
      <c r="C84" s="147">
        <v>3500</v>
      </c>
      <c r="D84" s="147"/>
      <c r="E84" s="147">
        <v>3500</v>
      </c>
      <c r="F84" s="147"/>
      <c r="G84" s="147"/>
      <c r="H84" s="147"/>
      <c r="I84" s="147"/>
      <c r="J84" s="147"/>
      <c r="K84" s="147"/>
      <c r="L84" s="147"/>
      <c r="M84" s="147"/>
      <c r="N84" s="147"/>
      <c r="O84" s="147"/>
      <c r="P84" s="147"/>
      <c r="Q84" s="147"/>
      <c r="R84" s="512">
        <f t="shared" si="21"/>
        <v>3500</v>
      </c>
      <c r="S84" s="147">
        <v>3500</v>
      </c>
      <c r="T84" s="147"/>
      <c r="U84" s="143"/>
    </row>
    <row r="85" spans="1:21" s="144" customFormat="1">
      <c r="A85" s="145" t="s">
        <v>768</v>
      </c>
      <c r="B85" s="146">
        <f t="shared" si="20"/>
        <v>1176016</v>
      </c>
      <c r="C85" s="147">
        <v>1176016</v>
      </c>
      <c r="D85" s="147"/>
      <c r="E85" s="147"/>
      <c r="F85" s="147">
        <v>1176016</v>
      </c>
      <c r="G85" s="147"/>
      <c r="H85" s="147"/>
      <c r="I85" s="147"/>
      <c r="J85" s="147"/>
      <c r="K85" s="147"/>
      <c r="L85" s="147"/>
      <c r="M85" s="147"/>
      <c r="N85" s="147"/>
      <c r="O85" s="147"/>
      <c r="P85" s="147"/>
      <c r="Q85" s="147"/>
      <c r="R85" s="512">
        <f t="shared" si="21"/>
        <v>1176016</v>
      </c>
      <c r="S85" s="147">
        <v>1176016</v>
      </c>
      <c r="T85" s="147"/>
      <c r="U85" s="143"/>
    </row>
    <row r="86" spans="1:21" s="144" customFormat="1">
      <c r="A86" s="145" t="s">
        <v>769</v>
      </c>
      <c r="B86" s="146">
        <f t="shared" si="20"/>
        <v>1823984</v>
      </c>
      <c r="C86" s="147">
        <v>1823984</v>
      </c>
      <c r="D86" s="147"/>
      <c r="E86" s="147"/>
      <c r="F86" s="147">
        <v>1823984</v>
      </c>
      <c r="G86" s="147"/>
      <c r="H86" s="147"/>
      <c r="I86" s="147"/>
      <c r="J86" s="147"/>
      <c r="K86" s="147"/>
      <c r="L86" s="147"/>
      <c r="M86" s="147"/>
      <c r="N86" s="147"/>
      <c r="O86" s="147"/>
      <c r="P86" s="147"/>
      <c r="Q86" s="147"/>
      <c r="R86" s="512">
        <f t="shared" si="21"/>
        <v>1823984</v>
      </c>
      <c r="S86" s="147">
        <v>1823984</v>
      </c>
      <c r="T86" s="147"/>
      <c r="U86" s="143"/>
    </row>
    <row r="87" spans="1:21" s="144" customFormat="1">
      <c r="A87" s="145" t="s">
        <v>770</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771</v>
      </c>
      <c r="B88" s="146">
        <f t="shared" si="20"/>
        <v>87740</v>
      </c>
      <c r="C88" s="147">
        <v>87740</v>
      </c>
      <c r="D88" s="147"/>
      <c r="E88" s="147"/>
      <c r="F88" s="147">
        <v>87740</v>
      </c>
      <c r="G88" s="147"/>
      <c r="H88" s="147"/>
      <c r="I88" s="147"/>
      <c r="J88" s="147"/>
      <c r="K88" s="147"/>
      <c r="L88" s="147"/>
      <c r="M88" s="147"/>
      <c r="N88" s="147"/>
      <c r="O88" s="147"/>
      <c r="P88" s="147"/>
      <c r="Q88" s="147"/>
      <c r="R88" s="512">
        <f t="shared" si="21"/>
        <v>87740</v>
      </c>
      <c r="S88" s="148"/>
      <c r="T88" s="148"/>
      <c r="U88" s="143"/>
    </row>
    <row r="89" spans="1:21" s="144" customFormat="1">
      <c r="A89" s="145" t="s">
        <v>772</v>
      </c>
      <c r="B89" s="146">
        <f t="shared" si="20"/>
        <v>550000</v>
      </c>
      <c r="C89" s="147">
        <v>550000</v>
      </c>
      <c r="D89" s="147"/>
      <c r="E89" s="147"/>
      <c r="F89" s="147">
        <v>550000</v>
      </c>
      <c r="G89" s="147"/>
      <c r="H89" s="147"/>
      <c r="I89" s="147"/>
      <c r="J89" s="147"/>
      <c r="K89" s="147"/>
      <c r="L89" s="147"/>
      <c r="M89" s="147"/>
      <c r="N89" s="147"/>
      <c r="O89" s="147"/>
      <c r="P89" s="147"/>
      <c r="Q89" s="147"/>
      <c r="R89" s="512">
        <f t="shared" si="21"/>
        <v>550000</v>
      </c>
      <c r="S89" s="147">
        <v>550000</v>
      </c>
      <c r="T89" s="147"/>
      <c r="U89" s="143"/>
    </row>
    <row r="90" spans="1:21" s="144" customFormat="1">
      <c r="A90" s="145" t="s">
        <v>773</v>
      </c>
      <c r="B90" s="146">
        <f t="shared" si="20"/>
        <v>10000</v>
      </c>
      <c r="C90" s="147">
        <v>10000</v>
      </c>
      <c r="D90" s="147"/>
      <c r="E90" s="147"/>
      <c r="F90" s="147">
        <v>10000</v>
      </c>
      <c r="G90" s="147"/>
      <c r="H90" s="147"/>
      <c r="I90" s="147"/>
      <c r="J90" s="147"/>
      <c r="K90" s="147"/>
      <c r="L90" s="147"/>
      <c r="M90" s="147"/>
      <c r="N90" s="147"/>
      <c r="O90" s="147"/>
      <c r="P90" s="147"/>
      <c r="Q90" s="147"/>
      <c r="R90" s="512">
        <f t="shared" si="21"/>
        <v>10000</v>
      </c>
      <c r="S90" s="147">
        <v>10000</v>
      </c>
      <c r="T90" s="147"/>
      <c r="U90" s="143"/>
    </row>
    <row r="91" spans="1:21" s="144" customFormat="1">
      <c r="A91" s="145" t="s">
        <v>372</v>
      </c>
      <c r="B91" s="146">
        <f t="shared" si="20"/>
        <v>90000</v>
      </c>
      <c r="C91" s="147">
        <f>40000+50000</f>
        <v>90000</v>
      </c>
      <c r="D91" s="147"/>
      <c r="E91" s="147"/>
      <c r="F91" s="147">
        <v>90000</v>
      </c>
      <c r="G91" s="147"/>
      <c r="H91" s="147"/>
      <c r="I91" s="147"/>
      <c r="J91" s="147"/>
      <c r="K91" s="147"/>
      <c r="L91" s="147"/>
      <c r="M91" s="147"/>
      <c r="N91" s="147"/>
      <c r="O91" s="147"/>
      <c r="P91" s="147"/>
      <c r="Q91" s="147"/>
      <c r="R91" s="512">
        <f t="shared" si="21"/>
        <v>90000</v>
      </c>
      <c r="S91" s="147">
        <f>40000+50000</f>
        <v>90000</v>
      </c>
      <c r="T91" s="147"/>
      <c r="U91" s="143"/>
    </row>
    <row r="92" spans="1:21" s="144" customFormat="1">
      <c r="A92" s="283" t="s">
        <v>1210</v>
      </c>
      <c r="B92" s="146">
        <f t="shared" si="20"/>
        <v>10000</v>
      </c>
      <c r="C92" s="147">
        <v>10000</v>
      </c>
      <c r="D92" s="147"/>
      <c r="E92" s="147"/>
      <c r="F92" s="147">
        <v>10000</v>
      </c>
      <c r="G92" s="147"/>
      <c r="H92" s="147"/>
      <c r="I92" s="147"/>
      <c r="J92" s="147"/>
      <c r="K92" s="147"/>
      <c r="L92" s="147"/>
      <c r="M92" s="147"/>
      <c r="N92" s="147"/>
      <c r="O92" s="147"/>
      <c r="P92" s="147"/>
      <c r="Q92" s="147"/>
      <c r="R92" s="512">
        <f t="shared" si="21"/>
        <v>10000</v>
      </c>
      <c r="S92" s="147">
        <v>10000</v>
      </c>
      <c r="T92" s="147"/>
      <c r="U92" s="143"/>
    </row>
    <row r="93" spans="1:21" s="144" customFormat="1">
      <c r="A93" s="1138" t="s">
        <v>2719</v>
      </c>
      <c r="B93" s="146">
        <f t="shared" si="20"/>
        <v>20000</v>
      </c>
      <c r="C93" s="147">
        <v>20000</v>
      </c>
      <c r="D93" s="147"/>
      <c r="E93" s="147"/>
      <c r="F93" s="147">
        <v>20000</v>
      </c>
      <c r="G93" s="147"/>
      <c r="H93" s="147"/>
      <c r="I93" s="147"/>
      <c r="J93" s="147"/>
      <c r="K93" s="147"/>
      <c r="L93" s="147"/>
      <c r="M93" s="147"/>
      <c r="N93" s="147"/>
      <c r="O93" s="147"/>
      <c r="P93" s="147"/>
      <c r="Q93" s="147"/>
      <c r="R93" s="512">
        <f t="shared" si="21"/>
        <v>20000</v>
      </c>
      <c r="S93" s="147">
        <v>20000</v>
      </c>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ht="12">
      <c r="A96" s="149" t="s">
        <v>774</v>
      </c>
      <c r="B96" s="146">
        <f>SUM(C96:D96)</f>
        <v>3898475</v>
      </c>
      <c r="C96" s="146">
        <f t="shared" ref="C96:R96" si="22">SUM(C83:C95)</f>
        <v>3898475</v>
      </c>
      <c r="D96" s="146">
        <f t="shared" si="22"/>
        <v>0</v>
      </c>
      <c r="E96" s="146">
        <f t="shared" si="22"/>
        <v>3500</v>
      </c>
      <c r="F96" s="146">
        <f t="shared" si="22"/>
        <v>3894975</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3898475</v>
      </c>
      <c r="S96" s="150">
        <f>SUM(S84:S87,S89:S95)</f>
        <v>3683500</v>
      </c>
      <c r="T96" s="146">
        <f>SUM(T84:T87,T89:T95)</f>
        <v>0</v>
      </c>
      <c r="U96" s="143"/>
    </row>
    <row r="97" spans="1:21" s="144" customFormat="1" ht="12">
      <c r="A97" s="149" t="s">
        <v>775</v>
      </c>
      <c r="B97" s="146">
        <f>SUM(C97:D97)</f>
        <v>91708233</v>
      </c>
      <c r="C97" s="146">
        <f t="shared" ref="C97:R97" si="23">SUM(C63+C70+C77+C81+C96)</f>
        <v>91708233</v>
      </c>
      <c r="D97" s="146">
        <f t="shared" si="23"/>
        <v>0</v>
      </c>
      <c r="E97" s="146">
        <f t="shared" si="23"/>
        <v>36360115</v>
      </c>
      <c r="F97" s="146">
        <f t="shared" si="23"/>
        <v>51255000</v>
      </c>
      <c r="G97" s="146">
        <f t="shared" si="23"/>
        <v>4093118</v>
      </c>
      <c r="H97" s="146">
        <f t="shared" si="23"/>
        <v>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91708233</v>
      </c>
      <c r="S97" s="146">
        <f>SUM(S63+S70+S81+S96)</f>
        <v>59268665</v>
      </c>
      <c r="T97" s="146">
        <f>SUM(T63+T70+T81+T96)</f>
        <v>24000000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12490299</v>
      </c>
      <c r="C99" s="969">
        <v>12490299</v>
      </c>
      <c r="D99" s="969"/>
      <c r="E99" s="969">
        <v>826013</v>
      </c>
      <c r="F99" s="147"/>
      <c r="G99" s="147"/>
      <c r="H99" s="147">
        <v>11664286</v>
      </c>
      <c r="I99" s="147"/>
      <c r="J99" s="147"/>
      <c r="K99" s="147"/>
      <c r="L99" s="147"/>
      <c r="M99" s="147"/>
      <c r="N99" s="147"/>
      <c r="O99" s="147"/>
      <c r="P99" s="147"/>
      <c r="Q99" s="147"/>
      <c r="R99" s="512">
        <f>SUM(E99:Q99)</f>
        <v>12490299</v>
      </c>
      <c r="S99" s="147">
        <v>8890299</v>
      </c>
      <c r="T99" s="147">
        <v>3600000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779</v>
      </c>
      <c r="B104" s="146">
        <f>SUM(C104:D104)</f>
        <v>12490299</v>
      </c>
      <c r="C104" s="146">
        <f>SUM(C99:C103)</f>
        <v>12490299</v>
      </c>
      <c r="D104" s="146">
        <f t="shared" ref="D104:S104" si="24">SUM(D99:D103)</f>
        <v>0</v>
      </c>
      <c r="E104" s="146">
        <f t="shared" si="24"/>
        <v>826013</v>
      </c>
      <c r="F104" s="146">
        <f t="shared" si="24"/>
        <v>0</v>
      </c>
      <c r="G104" s="146">
        <f t="shared" si="24"/>
        <v>0</v>
      </c>
      <c r="H104" s="146">
        <f t="shared" si="24"/>
        <v>11664286</v>
      </c>
      <c r="I104" s="146">
        <f t="shared" si="24"/>
        <v>0</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12490299</v>
      </c>
      <c r="S104" s="150">
        <f t="shared" si="24"/>
        <v>8890299</v>
      </c>
      <c r="T104" s="150">
        <f>SUM(T99:T103)</f>
        <v>3600000</v>
      </c>
      <c r="U104" s="143"/>
    </row>
    <row r="105" spans="1:21" s="144" customFormat="1" ht="12">
      <c r="A105" s="149" t="s">
        <v>780</v>
      </c>
      <c r="B105" s="150">
        <f>SUM(C105:D105)</f>
        <v>104198532</v>
      </c>
      <c r="C105" s="150">
        <f t="shared" ref="C105:R105" si="25">SUM(C97+C104)</f>
        <v>104198532</v>
      </c>
      <c r="D105" s="150">
        <f t="shared" si="25"/>
        <v>0</v>
      </c>
      <c r="E105" s="150">
        <f t="shared" si="25"/>
        <v>37186128</v>
      </c>
      <c r="F105" s="150">
        <f t="shared" si="25"/>
        <v>51255000</v>
      </c>
      <c r="G105" s="150">
        <f t="shared" si="25"/>
        <v>4093118</v>
      </c>
      <c r="H105" s="150">
        <f t="shared" si="25"/>
        <v>11664286</v>
      </c>
      <c r="I105" s="150">
        <f t="shared" si="25"/>
        <v>0</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104198532</v>
      </c>
      <c r="S105" s="150">
        <f>S97+S104</f>
        <v>68158964</v>
      </c>
      <c r="T105" s="150">
        <f>T97+T104</f>
        <v>27600000</v>
      </c>
      <c r="U105" s="143"/>
    </row>
    <row r="106" spans="1:21" ht="12">
      <c r="A106" s="510" t="s">
        <v>1020</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68158964</v>
      </c>
      <c r="T107" s="150">
        <f>T105+T106</f>
        <v>27600000</v>
      </c>
    </row>
    <row r="108" spans="1:21" s="189" customFormat="1" ht="12">
      <c r="A108" s="162" t="s">
        <v>879</v>
      </c>
      <c r="B108" s="157"/>
      <c r="C108" s="157"/>
      <c r="D108" s="157"/>
      <c r="E108" s="301">
        <f>Application!AO648</f>
        <v>37186128</v>
      </c>
      <c r="F108" s="301">
        <f>Application!AO635</f>
        <v>51255000</v>
      </c>
      <c r="G108" s="301">
        <f>Application!AO636</f>
        <v>4093118</v>
      </c>
      <c r="H108" s="301">
        <f>Application!AO637</f>
        <v>11664286</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958</v>
      </c>
      <c r="B110" s="157"/>
      <c r="C110" s="157"/>
      <c r="D110" s="157"/>
    </row>
    <row r="111" spans="1:21" ht="12">
      <c r="A111" s="156" t="s">
        <v>959</v>
      </c>
      <c r="B111" s="157"/>
      <c r="C111" s="157"/>
      <c r="D111" s="157"/>
    </row>
    <row r="112" spans="1:21" ht="12" customHeight="1">
      <c r="A112" s="312"/>
      <c r="B112" s="157"/>
      <c r="C112" s="157"/>
      <c r="D112" s="157"/>
    </row>
    <row r="113" spans="1:21" ht="12">
      <c r="A113" s="156" t="s">
        <v>1019</v>
      </c>
      <c r="B113" s="157"/>
      <c r="C113" s="157"/>
      <c r="D113" s="157"/>
    </row>
    <row r="114" spans="1:21" ht="12">
      <c r="A114" s="156" t="s">
        <v>2045</v>
      </c>
      <c r="B114" s="157"/>
      <c r="C114" s="157"/>
      <c r="D114" s="157"/>
    </row>
    <row r="115" spans="1:21" ht="12" customHeight="1">
      <c r="A115" s="312"/>
      <c r="B115" s="157"/>
      <c r="C115" s="157"/>
      <c r="D115" s="157"/>
    </row>
    <row r="116" spans="1:21" ht="12">
      <c r="A116" s="342" t="s">
        <v>1022</v>
      </c>
      <c r="B116" s="157"/>
      <c r="C116" s="157"/>
      <c r="D116" s="157"/>
    </row>
    <row r="117" spans="1:21" ht="12">
      <c r="A117" s="342" t="s">
        <v>1222</v>
      </c>
      <c r="B117" s="157"/>
      <c r="C117" s="157"/>
      <c r="D117" s="157"/>
    </row>
    <row r="118" spans="1:21" ht="12">
      <c r="A118" s="342" t="s">
        <v>1021</v>
      </c>
      <c r="B118" s="157"/>
      <c r="C118" s="157"/>
      <c r="D118" s="157"/>
    </row>
    <row r="119" spans="1:21" ht="12">
      <c r="A119" s="342" t="s">
        <v>1023</v>
      </c>
      <c r="B119" s="157"/>
      <c r="C119" s="157"/>
      <c r="D119" s="157"/>
    </row>
    <row r="120" spans="1:21" ht="12" customHeight="1">
      <c r="A120" s="341"/>
      <c r="B120" s="157"/>
      <c r="C120" s="157"/>
      <c r="D120" s="157"/>
    </row>
    <row r="121" spans="1:21" ht="15.6">
      <c r="A121" s="335" t="s">
        <v>1005</v>
      </c>
      <c r="B121" s="157"/>
      <c r="C121" s="157"/>
      <c r="D121" s="157"/>
    </row>
    <row r="122" spans="1:21">
      <c r="A122" s="322" t="s">
        <v>989</v>
      </c>
      <c r="B122" s="321"/>
      <c r="C122" s="321"/>
      <c r="D122" s="1894" t="s">
        <v>990</v>
      </c>
      <c r="E122" s="1894"/>
      <c r="F122" s="1894"/>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6" t="s">
        <v>1223</v>
      </c>
      <c r="E123" s="1749"/>
      <c r="F123" s="1749"/>
      <c r="G123" s="1749"/>
      <c r="H123" s="1749"/>
      <c r="I123" s="1749"/>
      <c r="J123" s="1749"/>
      <c r="K123" s="1749"/>
      <c r="L123" s="1749"/>
      <c r="M123" s="1749"/>
      <c r="N123" s="1749"/>
      <c r="O123" s="1749"/>
      <c r="P123" s="1749"/>
      <c r="Q123" s="1749"/>
      <c r="R123" s="1749"/>
      <c r="S123" s="1749"/>
      <c r="T123" s="321"/>
      <c r="U123" s="323"/>
    </row>
    <row r="124" spans="1:21" ht="13.2">
      <c r="A124" s="117" t="s">
        <v>992</v>
      </c>
      <c r="B124" s="330"/>
      <c r="C124" s="117"/>
      <c r="D124" s="1749"/>
      <c r="E124" s="1749"/>
      <c r="F124" s="1749"/>
      <c r="G124" s="1749"/>
      <c r="H124" s="1749"/>
      <c r="I124" s="1749"/>
      <c r="J124" s="1749"/>
      <c r="K124" s="1749"/>
      <c r="L124" s="1749"/>
      <c r="M124" s="1749"/>
      <c r="N124" s="1749"/>
      <c r="O124" s="1749"/>
      <c r="P124" s="1749"/>
      <c r="Q124" s="1749"/>
      <c r="R124" s="1749"/>
      <c r="S124" s="1749"/>
      <c r="T124" s="321"/>
      <c r="U124" s="323"/>
    </row>
    <row r="125" spans="1:21" ht="13.2">
      <c r="A125" s="117" t="s">
        <v>993</v>
      </c>
      <c r="B125" s="330"/>
      <c r="C125" s="117"/>
      <c r="D125" s="1749"/>
      <c r="E125" s="1749"/>
      <c r="F125" s="1749"/>
      <c r="G125" s="1749"/>
      <c r="H125" s="1749"/>
      <c r="I125" s="1749"/>
      <c r="J125" s="1749"/>
      <c r="K125" s="1749"/>
      <c r="L125" s="1749"/>
      <c r="M125" s="1749"/>
      <c r="N125" s="1749"/>
      <c r="O125" s="1749"/>
      <c r="P125" s="1749"/>
      <c r="Q125" s="1749"/>
      <c r="R125" s="1749"/>
      <c r="S125" s="1749"/>
      <c r="T125" s="321"/>
      <c r="U125" s="323"/>
    </row>
    <row r="126" spans="1:21" ht="13.2">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996</v>
      </c>
      <c r="B128" s="330"/>
      <c r="C128" s="117"/>
      <c r="D128" s="1891"/>
      <c r="E128" s="1891"/>
      <c r="F128" s="1891"/>
      <c r="G128" s="1891"/>
      <c r="H128" s="1891"/>
      <c r="I128" s="117"/>
      <c r="J128" s="1892"/>
      <c r="K128" s="1892"/>
      <c r="L128" s="117"/>
      <c r="M128" s="117"/>
      <c r="N128" s="117"/>
      <c r="O128" s="117"/>
      <c r="P128" s="117"/>
      <c r="Q128" s="117"/>
      <c r="R128" s="117"/>
      <c r="S128" s="117"/>
      <c r="T128" s="321"/>
      <c r="U128" s="323"/>
    </row>
    <row r="129" spans="1:21" ht="13.2">
      <c r="A129" s="117" t="s">
        <v>300</v>
      </c>
      <c r="B129" s="330"/>
      <c r="C129" s="117"/>
      <c r="D129" s="1893" t="s">
        <v>997</v>
      </c>
      <c r="E129" s="1893"/>
      <c r="F129" s="1893"/>
      <c r="G129" s="1893"/>
      <c r="H129" s="1893"/>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999</v>
      </c>
      <c r="B131" s="331">
        <f>SUM(B123:B129)</f>
        <v>0</v>
      </c>
      <c r="C131" s="117"/>
      <c r="D131" s="1775"/>
      <c r="E131" s="1775"/>
      <c r="F131" s="1775"/>
      <c r="G131" s="1775"/>
      <c r="H131" s="1775"/>
      <c r="I131" s="117"/>
      <c r="J131" s="1775"/>
      <c r="K131" s="1775"/>
      <c r="L131" s="1775"/>
      <c r="M131" s="1775"/>
      <c r="N131" s="117"/>
      <c r="O131" s="117"/>
      <c r="P131" s="117"/>
      <c r="Q131" s="117"/>
      <c r="R131" s="117"/>
      <c r="S131" s="117"/>
      <c r="T131" s="321"/>
      <c r="U131" s="323"/>
    </row>
    <row r="132" spans="1:21" ht="12" customHeight="1">
      <c r="A132" s="333"/>
      <c r="B132" s="117"/>
      <c r="C132" s="117"/>
      <c r="D132" s="1897" t="s">
        <v>1000</v>
      </c>
      <c r="E132" s="1897"/>
      <c r="F132" s="1897"/>
      <c r="G132" s="1897"/>
      <c r="H132" s="1897"/>
      <c r="I132" s="117"/>
      <c r="J132" s="1897" t="s">
        <v>1001</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1"/>
      <c r="C138" s="1891"/>
      <c r="D138" s="325"/>
      <c r="E138" s="1892"/>
      <c r="F138" s="1892"/>
      <c r="G138" s="117"/>
      <c r="H138" s="117"/>
      <c r="I138" s="117"/>
      <c r="J138" s="117"/>
      <c r="K138" s="117"/>
      <c r="L138" s="117"/>
      <c r="M138" s="117"/>
      <c r="N138" s="117"/>
      <c r="O138" s="117"/>
      <c r="P138" s="117"/>
      <c r="Q138" s="117"/>
      <c r="R138" s="117"/>
      <c r="S138" s="117"/>
      <c r="T138" s="327"/>
      <c r="U138" s="328"/>
    </row>
    <row r="139" spans="1:21" ht="13.2">
      <c r="A139" s="1895" t="s">
        <v>1004</v>
      </c>
      <c r="B139" s="1895"/>
      <c r="C139" s="1895"/>
      <c r="D139" s="325"/>
      <c r="E139" s="117" t="s">
        <v>998</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13" workbookViewId="0">
      <selection activeCell="C4" sqref="C4"/>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ol min="257" max="257" width="32.6640625" style="389" hidden="1" customWidth="1"/>
    <col min="258" max="259" width="12.109375" style="389" hidden="1" customWidth="1"/>
    <col min="260" max="260" width="12.88671875" style="389" hidden="1" customWidth="1"/>
    <col min="261" max="266" width="12.109375" style="389" hidden="1" customWidth="1"/>
    <col min="267" max="277" width="8.88671875" style="389" hidden="1" customWidth="1"/>
    <col min="278" max="512" width="8.88671875" style="389" hidden="1"/>
    <col min="513" max="513" width="32.6640625" style="389" hidden="1" customWidth="1"/>
    <col min="514" max="515" width="12.109375" style="389" hidden="1" customWidth="1"/>
    <col min="516" max="516" width="12.88671875" style="389" hidden="1" customWidth="1"/>
    <col min="517" max="522" width="12.109375" style="389" hidden="1" customWidth="1"/>
    <col min="523" max="533" width="8.88671875" style="389" hidden="1" customWidth="1"/>
    <col min="534" max="768" width="8.88671875" style="389" hidden="1"/>
    <col min="769" max="769" width="32.6640625" style="389" hidden="1" customWidth="1"/>
    <col min="770" max="771" width="12.109375" style="389" hidden="1" customWidth="1"/>
    <col min="772" max="772" width="12.88671875" style="389" hidden="1" customWidth="1"/>
    <col min="773" max="778" width="12.109375" style="389" hidden="1" customWidth="1"/>
    <col min="779" max="789" width="8.88671875" style="389" hidden="1" customWidth="1"/>
    <col min="790" max="1024" width="8.88671875" style="389" hidden="1"/>
    <col min="1025" max="1025" width="32.6640625" style="389" hidden="1" customWidth="1"/>
    <col min="1026" max="1027" width="12.109375" style="389" hidden="1" customWidth="1"/>
    <col min="1028" max="1028" width="12.88671875" style="389" hidden="1" customWidth="1"/>
    <col min="1029" max="1034" width="12.109375" style="389" hidden="1" customWidth="1"/>
    <col min="1035" max="1045" width="8.88671875" style="389" hidden="1" customWidth="1"/>
    <col min="1046" max="1280" width="8.88671875" style="389" hidden="1"/>
    <col min="1281" max="1281" width="32.6640625" style="389" hidden="1" customWidth="1"/>
    <col min="1282" max="1283" width="12.109375" style="389" hidden="1" customWidth="1"/>
    <col min="1284" max="1284" width="12.88671875" style="389" hidden="1" customWidth="1"/>
    <col min="1285" max="1290" width="12.109375" style="389" hidden="1" customWidth="1"/>
    <col min="1291" max="1301" width="8.88671875" style="389" hidden="1" customWidth="1"/>
    <col min="1302" max="1536" width="8.88671875" style="389" hidden="1"/>
    <col min="1537" max="1537" width="32.6640625" style="389" hidden="1" customWidth="1"/>
    <col min="1538" max="1539" width="12.109375" style="389" hidden="1" customWidth="1"/>
    <col min="1540" max="1540" width="12.88671875" style="389" hidden="1" customWidth="1"/>
    <col min="1541" max="1546" width="12.109375" style="389" hidden="1" customWidth="1"/>
    <col min="1547" max="1557" width="8.88671875" style="389" hidden="1" customWidth="1"/>
    <col min="1558" max="1792" width="8.88671875" style="389" hidden="1"/>
    <col min="1793" max="1793" width="32.6640625" style="389" hidden="1" customWidth="1"/>
    <col min="1794" max="1795" width="12.109375" style="389" hidden="1" customWidth="1"/>
    <col min="1796" max="1796" width="12.88671875" style="389" hidden="1" customWidth="1"/>
    <col min="1797" max="1802" width="12.109375" style="389" hidden="1" customWidth="1"/>
    <col min="1803" max="1813" width="8.88671875" style="389" hidden="1" customWidth="1"/>
    <col min="1814" max="2048" width="8.88671875" style="389" hidden="1"/>
    <col min="2049" max="2049" width="32.6640625" style="389" hidden="1" customWidth="1"/>
    <col min="2050" max="2051" width="12.109375" style="389" hidden="1" customWidth="1"/>
    <col min="2052" max="2052" width="12.88671875" style="389" hidden="1" customWidth="1"/>
    <col min="2053" max="2058" width="12.109375" style="389" hidden="1" customWidth="1"/>
    <col min="2059" max="2069" width="8.88671875" style="389" hidden="1" customWidth="1"/>
    <col min="2070" max="2304" width="8.88671875" style="389" hidden="1"/>
    <col min="2305" max="2305" width="32.6640625" style="389" hidden="1" customWidth="1"/>
    <col min="2306" max="2307" width="12.109375" style="389" hidden="1" customWidth="1"/>
    <col min="2308" max="2308" width="12.88671875" style="389" hidden="1" customWidth="1"/>
    <col min="2309" max="2314" width="12.109375" style="389" hidden="1" customWidth="1"/>
    <col min="2315" max="2325" width="8.88671875" style="389" hidden="1" customWidth="1"/>
    <col min="2326" max="2560" width="8.88671875" style="389" hidden="1"/>
    <col min="2561" max="2561" width="32.6640625" style="389" hidden="1" customWidth="1"/>
    <col min="2562" max="2563" width="12.109375" style="389" hidden="1" customWidth="1"/>
    <col min="2564" max="2564" width="12.88671875" style="389" hidden="1" customWidth="1"/>
    <col min="2565" max="2570" width="12.109375" style="389" hidden="1" customWidth="1"/>
    <col min="2571" max="2581" width="8.88671875" style="389" hidden="1" customWidth="1"/>
    <col min="2582" max="2816" width="8.88671875" style="389" hidden="1"/>
    <col min="2817" max="2817" width="32.6640625" style="389" hidden="1" customWidth="1"/>
    <col min="2818" max="2819" width="12.109375" style="389" hidden="1" customWidth="1"/>
    <col min="2820" max="2820" width="12.88671875" style="389" hidden="1" customWidth="1"/>
    <col min="2821" max="2826" width="12.109375" style="389" hidden="1" customWidth="1"/>
    <col min="2827" max="2837" width="8.88671875" style="389" hidden="1" customWidth="1"/>
    <col min="2838" max="3072" width="8.88671875" style="389" hidden="1"/>
    <col min="3073" max="3073" width="32.6640625" style="389" hidden="1" customWidth="1"/>
    <col min="3074" max="3075" width="12.109375" style="389" hidden="1" customWidth="1"/>
    <col min="3076" max="3076" width="12.88671875" style="389" hidden="1" customWidth="1"/>
    <col min="3077" max="3082" width="12.109375" style="389" hidden="1" customWidth="1"/>
    <col min="3083" max="3093" width="8.88671875" style="389" hidden="1" customWidth="1"/>
    <col min="3094" max="3328" width="8.88671875" style="389" hidden="1"/>
    <col min="3329" max="3329" width="32.6640625" style="389" hidden="1" customWidth="1"/>
    <col min="3330" max="3331" width="12.109375" style="389" hidden="1" customWidth="1"/>
    <col min="3332" max="3332" width="12.88671875" style="389" hidden="1" customWidth="1"/>
    <col min="3333" max="3338" width="12.109375" style="389" hidden="1" customWidth="1"/>
    <col min="3339" max="3349" width="8.88671875" style="389" hidden="1" customWidth="1"/>
    <col min="3350" max="3584" width="8.88671875" style="389" hidden="1"/>
    <col min="3585" max="3585" width="32.6640625" style="389" hidden="1" customWidth="1"/>
    <col min="3586" max="3587" width="12.109375" style="389" hidden="1" customWidth="1"/>
    <col min="3588" max="3588" width="12.88671875" style="389" hidden="1" customWidth="1"/>
    <col min="3589" max="3594" width="12.109375" style="389" hidden="1" customWidth="1"/>
    <col min="3595" max="3605" width="8.88671875" style="389" hidden="1" customWidth="1"/>
    <col min="3606" max="3840" width="8.88671875" style="389" hidden="1"/>
    <col min="3841" max="3841" width="32.6640625" style="389" hidden="1" customWidth="1"/>
    <col min="3842" max="3843" width="12.109375" style="389" hidden="1" customWidth="1"/>
    <col min="3844" max="3844" width="12.88671875" style="389" hidden="1" customWidth="1"/>
    <col min="3845" max="3850" width="12.109375" style="389" hidden="1" customWidth="1"/>
    <col min="3851" max="3861" width="8.88671875" style="389" hidden="1" customWidth="1"/>
    <col min="3862" max="4096" width="8.88671875" style="389" hidden="1"/>
    <col min="4097" max="4097" width="32.6640625" style="389" hidden="1" customWidth="1"/>
    <col min="4098" max="4099" width="12.109375" style="389" hidden="1" customWidth="1"/>
    <col min="4100" max="4100" width="12.88671875" style="389" hidden="1" customWidth="1"/>
    <col min="4101" max="4106" width="12.109375" style="389" hidden="1" customWidth="1"/>
    <col min="4107" max="4117" width="8.88671875" style="389" hidden="1" customWidth="1"/>
    <col min="4118" max="4352" width="8.88671875" style="389" hidden="1"/>
    <col min="4353" max="4353" width="32.6640625" style="389" hidden="1" customWidth="1"/>
    <col min="4354" max="4355" width="12.109375" style="389" hidden="1" customWidth="1"/>
    <col min="4356" max="4356" width="12.88671875" style="389" hidden="1" customWidth="1"/>
    <col min="4357" max="4362" width="12.109375" style="389" hidden="1" customWidth="1"/>
    <col min="4363" max="4373" width="8.88671875" style="389" hidden="1" customWidth="1"/>
    <col min="4374" max="4608" width="8.88671875" style="389" hidden="1"/>
    <col min="4609" max="4609" width="32.6640625" style="389" hidden="1" customWidth="1"/>
    <col min="4610" max="4611" width="12.109375" style="389" hidden="1" customWidth="1"/>
    <col min="4612" max="4612" width="12.88671875" style="389" hidden="1" customWidth="1"/>
    <col min="4613" max="4618" width="12.109375" style="389" hidden="1" customWidth="1"/>
    <col min="4619" max="4629" width="8.88671875" style="389" hidden="1" customWidth="1"/>
    <col min="4630" max="4864" width="8.88671875" style="389" hidden="1"/>
    <col min="4865" max="4865" width="32.6640625" style="389" hidden="1" customWidth="1"/>
    <col min="4866" max="4867" width="12.109375" style="389" hidden="1" customWidth="1"/>
    <col min="4868" max="4868" width="12.88671875" style="389" hidden="1" customWidth="1"/>
    <col min="4869" max="4874" width="12.109375" style="389" hidden="1" customWidth="1"/>
    <col min="4875" max="4885" width="8.88671875" style="389" hidden="1" customWidth="1"/>
    <col min="4886" max="5120" width="8.88671875" style="389" hidden="1"/>
    <col min="5121" max="5121" width="32.6640625" style="389" hidden="1" customWidth="1"/>
    <col min="5122" max="5123" width="12.109375" style="389" hidden="1" customWidth="1"/>
    <col min="5124" max="5124" width="12.88671875" style="389" hidden="1" customWidth="1"/>
    <col min="5125" max="5130" width="12.109375" style="389" hidden="1" customWidth="1"/>
    <col min="5131" max="5141" width="8.88671875" style="389" hidden="1" customWidth="1"/>
    <col min="5142" max="5376" width="8.88671875" style="389" hidden="1"/>
    <col min="5377" max="5377" width="32.6640625" style="389" hidden="1" customWidth="1"/>
    <col min="5378" max="5379" width="12.109375" style="389" hidden="1" customWidth="1"/>
    <col min="5380" max="5380" width="12.88671875" style="389" hidden="1" customWidth="1"/>
    <col min="5381" max="5386" width="12.109375" style="389" hidden="1" customWidth="1"/>
    <col min="5387" max="5397" width="8.88671875" style="389" hidden="1" customWidth="1"/>
    <col min="5398" max="5632" width="8.88671875" style="389" hidden="1"/>
    <col min="5633" max="5633" width="32.6640625" style="389" hidden="1" customWidth="1"/>
    <col min="5634" max="5635" width="12.109375" style="389" hidden="1" customWidth="1"/>
    <col min="5636" max="5636" width="12.88671875" style="389" hidden="1" customWidth="1"/>
    <col min="5637" max="5642" width="12.109375" style="389" hidden="1" customWidth="1"/>
    <col min="5643" max="5653" width="8.88671875" style="389" hidden="1" customWidth="1"/>
    <col min="5654" max="5888" width="8.88671875" style="389" hidden="1"/>
    <col min="5889" max="5889" width="32.6640625" style="389" hidden="1" customWidth="1"/>
    <col min="5890" max="5891" width="12.109375" style="389" hidden="1" customWidth="1"/>
    <col min="5892" max="5892" width="12.88671875" style="389" hidden="1" customWidth="1"/>
    <col min="5893" max="5898" width="12.109375" style="389" hidden="1" customWidth="1"/>
    <col min="5899" max="5909" width="8.88671875" style="389" hidden="1" customWidth="1"/>
    <col min="5910" max="6144" width="8.88671875" style="389" hidden="1"/>
    <col min="6145" max="6145" width="32.6640625" style="389" hidden="1" customWidth="1"/>
    <col min="6146" max="6147" width="12.109375" style="389" hidden="1" customWidth="1"/>
    <col min="6148" max="6148" width="12.88671875" style="389" hidden="1" customWidth="1"/>
    <col min="6149" max="6154" width="12.109375" style="389" hidden="1" customWidth="1"/>
    <col min="6155" max="6165" width="8.88671875" style="389" hidden="1" customWidth="1"/>
    <col min="6166" max="6400" width="8.88671875" style="389" hidden="1"/>
    <col min="6401" max="6401" width="32.6640625" style="389" hidden="1" customWidth="1"/>
    <col min="6402" max="6403" width="12.109375" style="389" hidden="1" customWidth="1"/>
    <col min="6404" max="6404" width="12.88671875" style="389" hidden="1" customWidth="1"/>
    <col min="6405" max="6410" width="12.109375" style="389" hidden="1" customWidth="1"/>
    <col min="6411" max="6421" width="8.88671875" style="389" hidden="1" customWidth="1"/>
    <col min="6422" max="6656" width="8.88671875" style="389" hidden="1"/>
    <col min="6657" max="6657" width="32.6640625" style="389" hidden="1" customWidth="1"/>
    <col min="6658" max="6659" width="12.109375" style="389" hidden="1" customWidth="1"/>
    <col min="6660" max="6660" width="12.88671875" style="389" hidden="1" customWidth="1"/>
    <col min="6661" max="6666" width="12.109375" style="389" hidden="1" customWidth="1"/>
    <col min="6667" max="6677" width="8.88671875" style="389" hidden="1" customWidth="1"/>
    <col min="6678" max="6912" width="8.88671875" style="389" hidden="1"/>
    <col min="6913" max="6913" width="32.6640625" style="389" hidden="1" customWidth="1"/>
    <col min="6914" max="6915" width="12.109375" style="389" hidden="1" customWidth="1"/>
    <col min="6916" max="6916" width="12.88671875" style="389" hidden="1" customWidth="1"/>
    <col min="6917" max="6922" width="12.109375" style="389" hidden="1" customWidth="1"/>
    <col min="6923" max="6933" width="8.88671875" style="389" hidden="1" customWidth="1"/>
    <col min="6934" max="7168" width="8.88671875" style="389" hidden="1"/>
    <col min="7169" max="7169" width="32.6640625" style="389" hidden="1" customWidth="1"/>
    <col min="7170" max="7171" width="12.109375" style="389" hidden="1" customWidth="1"/>
    <col min="7172" max="7172" width="12.88671875" style="389" hidden="1" customWidth="1"/>
    <col min="7173" max="7178" width="12.109375" style="389" hidden="1" customWidth="1"/>
    <col min="7179" max="7189" width="8.88671875" style="389" hidden="1" customWidth="1"/>
    <col min="7190" max="7424" width="8.88671875" style="389" hidden="1"/>
    <col min="7425" max="7425" width="32.6640625" style="389" hidden="1" customWidth="1"/>
    <col min="7426" max="7427" width="12.109375" style="389" hidden="1" customWidth="1"/>
    <col min="7428" max="7428" width="12.88671875" style="389" hidden="1" customWidth="1"/>
    <col min="7429" max="7434" width="12.109375" style="389" hidden="1" customWidth="1"/>
    <col min="7435" max="7445" width="8.88671875" style="389" hidden="1" customWidth="1"/>
    <col min="7446" max="7680" width="8.88671875" style="389" hidden="1"/>
    <col min="7681" max="7681" width="32.6640625" style="389" hidden="1" customWidth="1"/>
    <col min="7682" max="7683" width="12.109375" style="389" hidden="1" customWidth="1"/>
    <col min="7684" max="7684" width="12.88671875" style="389" hidden="1" customWidth="1"/>
    <col min="7685" max="7690" width="12.109375" style="389" hidden="1" customWidth="1"/>
    <col min="7691" max="7701" width="8.88671875" style="389" hidden="1" customWidth="1"/>
    <col min="7702" max="7936" width="8.88671875" style="389" hidden="1"/>
    <col min="7937" max="7937" width="32.6640625" style="389" hidden="1" customWidth="1"/>
    <col min="7938" max="7939" width="12.109375" style="389" hidden="1" customWidth="1"/>
    <col min="7940" max="7940" width="12.88671875" style="389" hidden="1" customWidth="1"/>
    <col min="7941" max="7946" width="12.109375" style="389" hidden="1" customWidth="1"/>
    <col min="7947" max="7957" width="8.88671875" style="389" hidden="1" customWidth="1"/>
    <col min="7958" max="8192" width="8.88671875" style="389" hidden="1"/>
    <col min="8193" max="8193" width="32.6640625" style="389" hidden="1" customWidth="1"/>
    <col min="8194" max="8195" width="12.109375" style="389" hidden="1" customWidth="1"/>
    <col min="8196" max="8196" width="12.88671875" style="389" hidden="1" customWidth="1"/>
    <col min="8197" max="8202" width="12.109375" style="389" hidden="1" customWidth="1"/>
    <col min="8203" max="8213" width="8.88671875" style="389" hidden="1" customWidth="1"/>
    <col min="8214" max="8448" width="8.88671875" style="389" hidden="1"/>
    <col min="8449" max="8449" width="32.6640625" style="389" hidden="1" customWidth="1"/>
    <col min="8450" max="8451" width="12.109375" style="389" hidden="1" customWidth="1"/>
    <col min="8452" max="8452" width="12.88671875" style="389" hidden="1" customWidth="1"/>
    <col min="8453" max="8458" width="12.109375" style="389" hidden="1" customWidth="1"/>
    <col min="8459" max="8469" width="8.88671875" style="389" hidden="1" customWidth="1"/>
    <col min="8470" max="8704" width="8.88671875" style="389" hidden="1"/>
    <col min="8705" max="8705" width="32.6640625" style="389" hidden="1" customWidth="1"/>
    <col min="8706" max="8707" width="12.109375" style="389" hidden="1" customWidth="1"/>
    <col min="8708" max="8708" width="12.88671875" style="389" hidden="1" customWidth="1"/>
    <col min="8709" max="8714" width="12.109375" style="389" hidden="1" customWidth="1"/>
    <col min="8715" max="8725" width="8.88671875" style="389" hidden="1" customWidth="1"/>
    <col min="8726" max="8960" width="8.88671875" style="389" hidden="1"/>
    <col min="8961" max="8961" width="32.6640625" style="389" hidden="1" customWidth="1"/>
    <col min="8962" max="8963" width="12.109375" style="389" hidden="1" customWidth="1"/>
    <col min="8964" max="8964" width="12.88671875" style="389" hidden="1" customWidth="1"/>
    <col min="8965" max="8970" width="12.109375" style="389" hidden="1" customWidth="1"/>
    <col min="8971" max="8981" width="8.88671875" style="389" hidden="1" customWidth="1"/>
    <col min="8982" max="9216" width="8.88671875" style="389" hidden="1"/>
    <col min="9217" max="9217" width="32.6640625" style="389" hidden="1" customWidth="1"/>
    <col min="9218" max="9219" width="12.109375" style="389" hidden="1" customWidth="1"/>
    <col min="9220" max="9220" width="12.88671875" style="389" hidden="1" customWidth="1"/>
    <col min="9221" max="9226" width="12.109375" style="389" hidden="1" customWidth="1"/>
    <col min="9227" max="9237" width="8.88671875" style="389" hidden="1" customWidth="1"/>
    <col min="9238" max="9472" width="8.88671875" style="389" hidden="1"/>
    <col min="9473" max="9473" width="32.6640625" style="389" hidden="1" customWidth="1"/>
    <col min="9474" max="9475" width="12.109375" style="389" hidden="1" customWidth="1"/>
    <col min="9476" max="9476" width="12.88671875" style="389" hidden="1" customWidth="1"/>
    <col min="9477" max="9482" width="12.109375" style="389" hidden="1" customWidth="1"/>
    <col min="9483" max="9493" width="8.88671875" style="389" hidden="1" customWidth="1"/>
    <col min="9494" max="9728" width="8.88671875" style="389" hidden="1"/>
    <col min="9729" max="9729" width="32.6640625" style="389" hidden="1" customWidth="1"/>
    <col min="9730" max="9731" width="12.109375" style="389" hidden="1" customWidth="1"/>
    <col min="9732" max="9732" width="12.88671875" style="389" hidden="1" customWidth="1"/>
    <col min="9733" max="9738" width="12.109375" style="389" hidden="1" customWidth="1"/>
    <col min="9739" max="9749" width="8.88671875" style="389" hidden="1" customWidth="1"/>
    <col min="9750" max="9984" width="8.88671875" style="389" hidden="1"/>
    <col min="9985" max="9985" width="32.6640625" style="389" hidden="1" customWidth="1"/>
    <col min="9986" max="9987" width="12.109375" style="389" hidden="1" customWidth="1"/>
    <col min="9988" max="9988" width="12.88671875" style="389" hidden="1" customWidth="1"/>
    <col min="9989" max="9994" width="12.109375" style="389" hidden="1" customWidth="1"/>
    <col min="9995" max="10005" width="8.88671875" style="389" hidden="1" customWidth="1"/>
    <col min="10006" max="10240" width="8.88671875" style="389" hidden="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261" width="8.88671875" style="389" hidden="1" customWidth="1"/>
    <col min="10262" max="10496" width="8.88671875" style="389" hidden="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517" width="8.88671875" style="389" hidden="1" customWidth="1"/>
    <col min="10518" max="10752" width="8.88671875" style="389" hidden="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0773" width="8.88671875" style="389" hidden="1" customWidth="1"/>
    <col min="10774" max="11008" width="8.88671875" style="389" hidden="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029" width="8.88671875" style="389" hidden="1" customWidth="1"/>
    <col min="11030" max="11264" width="8.88671875" style="389" hidden="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285" width="8.88671875" style="389" hidden="1" customWidth="1"/>
    <col min="11286" max="11520" width="8.88671875" style="389" hidden="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541" width="8.88671875" style="389" hidden="1" customWidth="1"/>
    <col min="11542" max="11776" width="8.88671875" style="389" hidden="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1797" width="8.88671875" style="389" hidden="1" customWidth="1"/>
    <col min="11798" max="12032" width="8.88671875" style="389" hidden="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053" width="8.88671875" style="389" hidden="1" customWidth="1"/>
    <col min="12054" max="12288" width="8.88671875" style="389" hidden="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309" width="8.88671875" style="389" hidden="1" customWidth="1"/>
    <col min="12310" max="12544" width="8.88671875" style="389" hidden="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565" width="8.88671875" style="389" hidden="1" customWidth="1"/>
    <col min="12566" max="12800" width="8.88671875" style="389" hidden="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2821" width="8.88671875" style="389" hidden="1" customWidth="1"/>
    <col min="12822" max="13056" width="8.88671875" style="389" hidden="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077" width="8.88671875" style="389" hidden="1" customWidth="1"/>
    <col min="13078" max="13312" width="8.88671875" style="389" hidden="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333" width="8.88671875" style="389" hidden="1" customWidth="1"/>
    <col min="13334" max="13568" width="8.88671875" style="389" hidden="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589" width="8.88671875" style="389" hidden="1" customWidth="1"/>
    <col min="13590" max="13824" width="8.88671875" style="389" hidden="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3845" width="8.88671875" style="389" hidden="1" customWidth="1"/>
    <col min="13846" max="14080" width="8.88671875" style="389" hidden="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101" width="8.88671875" style="389" hidden="1" customWidth="1"/>
    <col min="14102" max="14336" width="8.88671875" style="389" hidden="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357" width="8.88671875" style="389" hidden="1" customWidth="1"/>
    <col min="14358" max="14592" width="8.88671875" style="389" hidden="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613" width="8.88671875" style="389" hidden="1" customWidth="1"/>
    <col min="14614" max="14848" width="8.88671875" style="389" hidden="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4869" width="8.88671875" style="389" hidden="1" customWidth="1"/>
    <col min="14870" max="15104" width="8.88671875" style="389" hidden="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125" width="8.88671875" style="389" hidden="1" customWidth="1"/>
    <col min="15126" max="15360" width="8.88671875" style="389" hidden="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381" width="8.88671875" style="389" hidden="1" customWidth="1"/>
    <col min="15382" max="15616" width="8.88671875" style="389" hidden="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637" width="8.88671875" style="389" hidden="1" customWidth="1"/>
    <col min="15638" max="15872" width="8.88671875" style="389" hidden="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5893" width="8.88671875" style="389" hidden="1" customWidth="1"/>
    <col min="15894" max="16128" width="8.88671875" style="389" hidden="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149" width="8.88671875" style="389" hidden="1" customWidth="1"/>
    <col min="16150" max="16384" width="8.88671875" style="389" hidden="1"/>
  </cols>
  <sheetData>
    <row r="1" spans="1:11" s="352" customFormat="1" ht="13.2">
      <c r="A1" s="1901" t="s">
        <v>1226</v>
      </c>
      <c r="B1" s="1902"/>
      <c r="C1" s="1902"/>
      <c r="D1" s="1902"/>
      <c r="E1" s="1902"/>
      <c r="F1" s="1902"/>
      <c r="G1" s="1902"/>
      <c r="H1" s="1902"/>
      <c r="I1" s="1902"/>
      <c r="J1" s="1903"/>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2000000</v>
      </c>
      <c r="C4" s="358"/>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593</v>
      </c>
      <c r="B8" s="357">
        <f>'Sources and Uses Budget'!C8</f>
        <v>2000000</v>
      </c>
      <c r="C8" s="357">
        <f>SUM(C4:C7)</f>
        <v>0</v>
      </c>
      <c r="D8" s="357">
        <f>SUM(D4:D7)</f>
        <v>0</v>
      </c>
      <c r="E8" s="359"/>
      <c r="F8" s="359"/>
      <c r="G8" s="359"/>
      <c r="H8" s="359"/>
      <c r="I8" s="359"/>
      <c r="J8" s="359"/>
      <c r="K8" s="355"/>
    </row>
    <row r="9" spans="1:11" s="356" customFormat="1" ht="11.4">
      <c r="A9" s="360" t="s">
        <v>594</v>
      </c>
      <c r="B9" s="357">
        <f>'Sources and Uses Budget'!C9</f>
        <v>24000000</v>
      </c>
      <c r="C9" s="358"/>
      <c r="D9" s="358"/>
      <c r="E9" s="359"/>
      <c r="F9" s="359"/>
      <c r="G9" s="359"/>
      <c r="H9" s="357">
        <f>'Sources and Uses Budget'!T9</f>
        <v>24000000</v>
      </c>
      <c r="I9" s="358"/>
      <c r="J9" s="358"/>
      <c r="K9" s="355"/>
    </row>
    <row r="10" spans="1:11" s="356" customFormat="1" ht="11.4">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24000000</v>
      </c>
      <c r="C11" s="357">
        <f>SUM(C9:C10)</f>
        <v>0</v>
      </c>
      <c r="D11" s="357">
        <f>SUM(D9:D10)</f>
        <v>0</v>
      </c>
      <c r="E11" s="359"/>
      <c r="F11" s="359"/>
      <c r="G11" s="359"/>
      <c r="H11" s="357">
        <f>'Sources and Uses Budget'!T11</f>
        <v>24000000</v>
      </c>
      <c r="I11" s="357">
        <f>SUM(I9:I10)</f>
        <v>0</v>
      </c>
      <c r="J11" s="357">
        <f>SUM(J9:J10)</f>
        <v>0</v>
      </c>
      <c r="K11" s="355"/>
    </row>
    <row r="12" spans="1:11" s="356" customFormat="1">
      <c r="A12" s="361" t="s">
        <v>84</v>
      </c>
      <c r="B12" s="357">
        <f>'Sources and Uses Budget'!C12</f>
        <v>26000000</v>
      </c>
      <c r="C12" s="357">
        <f>SUM(C8+C11)</f>
        <v>0</v>
      </c>
      <c r="D12" s="357">
        <f>SUM(D8+D11)</f>
        <v>0</v>
      </c>
      <c r="E12" s="359"/>
      <c r="F12" s="359"/>
      <c r="G12" s="359"/>
      <c r="H12" s="359"/>
      <c r="I12" s="359"/>
      <c r="J12" s="359"/>
      <c r="K12" s="355"/>
    </row>
    <row r="13" spans="1:11" s="356" customFormat="1" ht="11.4">
      <c r="A13" s="362" t="s">
        <v>902</v>
      </c>
      <c r="B13" s="357">
        <f>'Sources and Uses Budget'!C13</f>
        <v>2000000</v>
      </c>
      <c r="C13" s="358"/>
      <c r="D13" s="358"/>
      <c r="E13" s="357">
        <f>'Sources and Uses Budget'!S13</f>
        <v>2000000</v>
      </c>
      <c r="F13" s="358"/>
      <c r="G13" s="358"/>
      <c r="H13" s="357">
        <f>'Sources and Uses Budget'!T13</f>
        <v>0</v>
      </c>
      <c r="I13" s="358"/>
      <c r="J13" s="358"/>
      <c r="K13" s="355"/>
    </row>
    <row r="14" spans="1:11" s="356" customFormat="1" ht="22.8">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ht="11.4">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597</v>
      </c>
      <c r="B16" s="354"/>
      <c r="C16" s="354"/>
      <c r="D16" s="354"/>
      <c r="E16" s="354"/>
      <c r="F16" s="354"/>
      <c r="G16" s="354"/>
      <c r="H16" s="354"/>
      <c r="I16" s="354"/>
      <c r="J16" s="354"/>
      <c r="K16" s="355"/>
    </row>
    <row r="17" spans="1:11" s="356" customFormat="1" ht="11.4">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ht="11.4">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ht="11.4">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1.4">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1.4">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ht="11.4">
      <c r="A30" s="145" t="s">
        <v>599</v>
      </c>
      <c r="B30" s="357">
        <f>'Sources and Uses Budget'!C30</f>
        <v>32894738</v>
      </c>
      <c r="C30" s="358"/>
      <c r="D30" s="358"/>
      <c r="E30" s="357">
        <f>'Sources and Uses Budget'!S30</f>
        <v>32894738</v>
      </c>
      <c r="F30" s="358"/>
      <c r="G30" s="358"/>
      <c r="H30" s="357">
        <f>'Sources and Uses Budget'!T30</f>
        <v>0</v>
      </c>
      <c r="I30" s="358"/>
      <c r="J30" s="358"/>
      <c r="K30" s="355"/>
    </row>
    <row r="31" spans="1:11" s="356" customFormat="1" ht="11.4">
      <c r="A31" s="145" t="s">
        <v>600</v>
      </c>
      <c r="B31" s="357">
        <f>'Sources and Uses Budget'!C31</f>
        <v>1973684</v>
      </c>
      <c r="C31" s="358"/>
      <c r="D31" s="358"/>
      <c r="E31" s="357">
        <f>'Sources and Uses Budget'!S31</f>
        <v>1973684</v>
      </c>
      <c r="F31" s="358"/>
      <c r="G31" s="358"/>
      <c r="H31" s="357">
        <f>'Sources and Uses Budget'!T31</f>
        <v>0</v>
      </c>
      <c r="I31" s="358"/>
      <c r="J31" s="358"/>
      <c r="K31" s="355"/>
    </row>
    <row r="32" spans="1:11" s="356" customFormat="1" ht="11.4">
      <c r="A32" s="145" t="s">
        <v>137</v>
      </c>
      <c r="B32" s="357">
        <f>'Sources and Uses Budget'!C32</f>
        <v>657894</v>
      </c>
      <c r="C32" s="358"/>
      <c r="D32" s="358"/>
      <c r="E32" s="357">
        <f>'Sources and Uses Budget'!S32</f>
        <v>657894</v>
      </c>
      <c r="F32" s="358"/>
      <c r="G32" s="358"/>
      <c r="H32" s="357">
        <f>'Sources and Uses Budget'!T32</f>
        <v>0</v>
      </c>
      <c r="I32" s="358"/>
      <c r="J32" s="358"/>
      <c r="K32" s="355"/>
    </row>
    <row r="33" spans="1:11" s="356" customFormat="1" ht="11.4">
      <c r="A33" s="145" t="s">
        <v>138</v>
      </c>
      <c r="B33" s="357">
        <f>'Sources and Uses Budget'!C33</f>
        <v>1973684</v>
      </c>
      <c r="C33" s="358"/>
      <c r="D33" s="358"/>
      <c r="E33" s="357">
        <f>'Sources and Uses Budget'!S33</f>
        <v>1973684</v>
      </c>
      <c r="F33" s="358"/>
      <c r="G33" s="358"/>
      <c r="H33" s="357">
        <f>'Sources and Uses Budget'!T33</f>
        <v>0</v>
      </c>
      <c r="I33" s="358"/>
      <c r="J33" s="358"/>
      <c r="K33" s="355"/>
    </row>
    <row r="34" spans="1:11" s="356" customFormat="1" ht="11.4">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1.4">
      <c r="A35" s="145" t="s">
        <v>140</v>
      </c>
      <c r="B35" s="357">
        <f>'Sources and Uses Budget'!C35</f>
        <v>1000000</v>
      </c>
      <c r="C35" s="358"/>
      <c r="D35" s="358"/>
      <c r="E35" s="357">
        <f>'Sources and Uses Budget'!S35</f>
        <v>1000000</v>
      </c>
      <c r="F35" s="358"/>
      <c r="G35" s="358"/>
      <c r="H35" s="357">
        <f>'Sources and Uses Budget'!T35</f>
        <v>0</v>
      </c>
      <c r="I35" s="358"/>
      <c r="J35" s="358"/>
      <c r="K35" s="355"/>
    </row>
    <row r="36" spans="1:11" s="356" customFormat="1" ht="11.4">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38500000</v>
      </c>
      <c r="C38" s="357">
        <f>SUM(C29:C37)</f>
        <v>0</v>
      </c>
      <c r="D38" s="357">
        <f>SUM(D29:D37)</f>
        <v>0</v>
      </c>
      <c r="E38" s="357">
        <f>'Sources and Uses Budget'!S38</f>
        <v>38500000</v>
      </c>
      <c r="F38" s="363">
        <f>SUM(F29:F37)</f>
        <v>0</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1100000</v>
      </c>
      <c r="C40" s="358"/>
      <c r="D40" s="358"/>
      <c r="E40" s="357">
        <f>'Sources and Uses Budget'!S40</f>
        <v>1100000</v>
      </c>
      <c r="F40" s="358"/>
      <c r="G40" s="358"/>
      <c r="H40" s="357">
        <f>'Sources and Uses Budget'!T40</f>
        <v>0</v>
      </c>
      <c r="I40" s="358"/>
      <c r="J40" s="358"/>
      <c r="K40" s="355"/>
    </row>
    <row r="41" spans="1:11" s="356" customFormat="1" ht="11.4">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1100000</v>
      </c>
      <c r="C42" s="357">
        <f>SUM(C39:C41)</f>
        <v>0</v>
      </c>
      <c r="D42" s="357">
        <f>SUM(D39:D41)</f>
        <v>0</v>
      </c>
      <c r="E42" s="357">
        <f>'Sources and Uses Budget'!S42</f>
        <v>1100000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1100000</v>
      </c>
      <c r="C43" s="358"/>
      <c r="D43" s="358"/>
      <c r="E43" s="357">
        <f>'Sources and Uses Budget'!S43</f>
        <v>1100000</v>
      </c>
      <c r="F43" s="358"/>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11762469</v>
      </c>
      <c r="C45" s="358"/>
      <c r="D45" s="358"/>
      <c r="E45" s="357">
        <f>'Sources and Uses Budget'!S45</f>
        <v>7750000</v>
      </c>
      <c r="F45" s="358"/>
      <c r="G45" s="358"/>
      <c r="H45" s="357">
        <f>'Sources and Uses Budget'!T45</f>
        <v>0</v>
      </c>
      <c r="I45" s="358"/>
      <c r="J45" s="358"/>
      <c r="K45" s="355"/>
    </row>
    <row r="46" spans="1:11" s="356" customFormat="1" ht="11.4">
      <c r="A46" s="360" t="s">
        <v>151</v>
      </c>
      <c r="B46" s="357">
        <f>'Sources and Uses Budget'!C46</f>
        <v>935500</v>
      </c>
      <c r="C46" s="358"/>
      <c r="D46" s="358"/>
      <c r="E46" s="357">
        <f>'Sources and Uses Budget'!S46</f>
        <v>411738</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1.4">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1.4">
      <c r="A49" s="283" t="s">
        <v>57</v>
      </c>
      <c r="B49" s="357">
        <f>'Sources and Uses Budget'!C49</f>
        <v>461825</v>
      </c>
      <c r="C49" s="358"/>
      <c r="D49" s="358"/>
      <c r="E49" s="357">
        <f>'Sources and Uses Budget'!S49</f>
        <v>7222</v>
      </c>
      <c r="F49" s="358"/>
      <c r="G49" s="358"/>
      <c r="H49" s="357">
        <f>'Sources and Uses Budget'!T49</f>
        <v>0</v>
      </c>
      <c r="I49" s="358"/>
      <c r="J49" s="358"/>
      <c r="K49" s="355"/>
    </row>
    <row r="50" spans="1:11" s="356" customFormat="1" ht="11.4">
      <c r="A50" s="360" t="s">
        <v>156</v>
      </c>
      <c r="B50" s="357">
        <f>'Sources and Uses Budget'!C50</f>
        <v>200000</v>
      </c>
      <c r="C50" s="358"/>
      <c r="D50" s="358"/>
      <c r="E50" s="357">
        <f>'Sources and Uses Budget'!S50</f>
        <v>200000</v>
      </c>
      <c r="F50" s="358"/>
      <c r="G50" s="358"/>
      <c r="H50" s="357">
        <f>'Sources and Uses Budget'!T50</f>
        <v>0</v>
      </c>
      <c r="I50" s="358"/>
      <c r="J50" s="358"/>
      <c r="K50" s="355"/>
    </row>
    <row r="51" spans="1:11" s="356" customFormat="1" ht="11.4">
      <c r="A51" s="360" t="s">
        <v>154</v>
      </c>
      <c r="B51" s="357">
        <f>'Sources and Uses Budget'!C51</f>
        <v>75000</v>
      </c>
      <c r="C51" s="358"/>
      <c r="D51" s="358"/>
      <c r="E51" s="357">
        <f>'Sources and Uses Budget'!S51</f>
        <v>75000</v>
      </c>
      <c r="F51" s="358"/>
      <c r="G51" s="358"/>
      <c r="H51" s="357">
        <f>'Sources and Uses Budget'!T51</f>
        <v>0</v>
      </c>
      <c r="I51" s="358"/>
      <c r="J51" s="358"/>
      <c r="K51" s="355"/>
    </row>
    <row r="52" spans="1:11" s="356" customFormat="1" ht="11.4">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ht="11.4">
      <c r="A53" s="360" t="str">
        <f>'Sources and Uses Budget'!$A53</f>
        <v>Inspections</v>
      </c>
      <c r="B53" s="357">
        <f>'Sources and Uses Budget'!C53</f>
        <v>24000</v>
      </c>
      <c r="C53" s="358"/>
      <c r="D53" s="358"/>
      <c r="E53" s="357">
        <f>'Sources and Uses Budget'!S53</f>
        <v>24000</v>
      </c>
      <c r="F53" s="358"/>
      <c r="G53" s="358"/>
      <c r="H53" s="357">
        <f>'Sources and Uses Budget'!T53</f>
        <v>0</v>
      </c>
      <c r="I53" s="358"/>
      <c r="J53" s="358"/>
      <c r="K53" s="355"/>
    </row>
    <row r="54" spans="1:11" s="365" customFormat="1">
      <c r="A54" s="361" t="s">
        <v>157</v>
      </c>
      <c r="B54" s="357">
        <f>'Sources and Uses Budget'!C54</f>
        <v>13458794</v>
      </c>
      <c r="C54" s="363">
        <f>SUM(C45:C53)</f>
        <v>0</v>
      </c>
      <c r="D54" s="363">
        <f>SUM(D45:D53)</f>
        <v>0</v>
      </c>
      <c r="E54" s="357">
        <f>'Sources and Uses Budget'!S54</f>
        <v>8467960</v>
      </c>
      <c r="F54" s="363">
        <f>SUM(F45:F53)</f>
        <v>0</v>
      </c>
      <c r="G54" s="363">
        <f>SUM(G45:G53)</f>
        <v>0</v>
      </c>
      <c r="H54" s="357">
        <f>'Sources and Uses Budget'!T54</f>
        <v>0</v>
      </c>
      <c r="I54" s="363">
        <f>SUM(I45:I53)</f>
        <v>0</v>
      </c>
      <c r="J54" s="363">
        <f>SUM(J45:J53)</f>
        <v>0</v>
      </c>
      <c r="K54" s="364"/>
    </row>
    <row r="55" spans="1:11" s="356" customFormat="1" ht="11.4">
      <c r="A55" s="353" t="s">
        <v>418</v>
      </c>
      <c r="B55" s="354"/>
      <c r="C55" s="354"/>
      <c r="D55" s="354"/>
      <c r="E55" s="354"/>
      <c r="F55" s="354"/>
      <c r="G55" s="354"/>
      <c r="H55" s="354"/>
      <c r="I55" s="354"/>
      <c r="J55" s="354"/>
      <c r="K55" s="355"/>
    </row>
    <row r="56" spans="1:11" s="356" customFormat="1" ht="11.4">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1.4">
      <c r="A58" s="360" t="s">
        <v>156</v>
      </c>
      <c r="B58" s="357">
        <f>'Sources and Uses Budget'!C58</f>
        <v>0</v>
      </c>
      <c r="C58" s="358"/>
      <c r="D58" s="358"/>
      <c r="E58" s="359"/>
      <c r="F58" s="359"/>
      <c r="G58" s="359"/>
      <c r="H58" s="359"/>
      <c r="I58" s="359"/>
      <c r="J58" s="359"/>
      <c r="K58" s="355"/>
    </row>
    <row r="59" spans="1:11" s="356" customFormat="1" ht="11.4">
      <c r="A59" s="360" t="s">
        <v>154</v>
      </c>
      <c r="B59" s="357">
        <f>'Sources and Uses Budget'!C59</f>
        <v>0</v>
      </c>
      <c r="C59" s="358"/>
      <c r="D59" s="358"/>
      <c r="E59" s="359"/>
      <c r="F59" s="359"/>
      <c r="G59" s="359"/>
      <c r="H59" s="359"/>
      <c r="I59" s="359"/>
      <c r="J59" s="359"/>
      <c r="K59" s="355"/>
    </row>
    <row r="60" spans="1:11" s="356" customFormat="1" ht="11.4">
      <c r="A60" s="360" t="s">
        <v>155</v>
      </c>
      <c r="B60" s="357">
        <f>'Sources and Uses Budget'!C60</f>
        <v>0</v>
      </c>
      <c r="C60" s="358"/>
      <c r="D60" s="358"/>
      <c r="E60" s="359"/>
      <c r="F60" s="359"/>
      <c r="G60" s="359"/>
      <c r="H60" s="359"/>
      <c r="I60" s="359"/>
      <c r="J60" s="359"/>
      <c r="K60" s="355"/>
    </row>
    <row r="61" spans="1:11" s="356" customFormat="1" ht="11.4">
      <c r="A61" s="360" t="str">
        <f>'Sources and Uses Budget'!$A61</f>
        <v>Other: (Specify)</v>
      </c>
      <c r="B61" s="357">
        <f>'Sources and Uses Budget'!C61</f>
        <v>0</v>
      </c>
      <c r="C61" s="358"/>
      <c r="D61" s="358"/>
      <c r="E61" s="359"/>
      <c r="F61" s="359"/>
      <c r="G61" s="359"/>
      <c r="H61" s="359"/>
      <c r="I61" s="359"/>
      <c r="J61" s="359"/>
      <c r="K61" s="355"/>
    </row>
    <row r="62" spans="1:11" s="356" customFormat="1" ht="13.65" customHeight="1">
      <c r="A62" s="361" t="s">
        <v>301</v>
      </c>
      <c r="B62" s="357">
        <f>'Sources and Uses Budget'!C62</f>
        <v>0</v>
      </c>
      <c r="C62" s="357">
        <f>SUM(C56:C61)</f>
        <v>0</v>
      </c>
      <c r="D62" s="357">
        <f>SUM(D56:D61)</f>
        <v>0</v>
      </c>
      <c r="E62" s="359"/>
      <c r="F62" s="359"/>
      <c r="G62" s="359"/>
      <c r="H62" s="359"/>
      <c r="I62" s="359"/>
      <c r="J62" s="359"/>
      <c r="K62" s="355"/>
    </row>
    <row r="63" spans="1:11" s="356" customFormat="1" ht="11.4">
      <c r="A63" s="366" t="s">
        <v>302</v>
      </c>
      <c r="B63" s="357">
        <f>'Sources and Uses Budget'!C63</f>
        <v>82158794</v>
      </c>
      <c r="C63" s="357">
        <f>SUM(C8+C11+C13+C14+C15+C26+C27+C38+C42+C43+C54+C62)</f>
        <v>0</v>
      </c>
      <c r="D63" s="357">
        <f>SUM(D8+D11+D13+D14+D15+D26+D27+D38+D42+D43+D54+D62)</f>
        <v>0</v>
      </c>
      <c r="E63" s="357">
        <f>'Sources and Uses Budget'!S63</f>
        <v>51167960</v>
      </c>
      <c r="F63" s="357">
        <f>SUM(F10+F13+F14+F15+F26+F27+F38+F42+F43+F54)</f>
        <v>0</v>
      </c>
      <c r="G63" s="357">
        <f>SUM(G10+G13+G14+G15+G26+G27+G38+G42+G43+G54)</f>
        <v>0</v>
      </c>
      <c r="H63" s="357">
        <f>'Sources and Uses Budget'!T63</f>
        <v>24000000</v>
      </c>
      <c r="I63" s="357">
        <f>SUM(I11+I13+I14+I15+I26+I27+I38+I42+I43+I54)</f>
        <v>0</v>
      </c>
      <c r="J63" s="357">
        <f>SUM(J11+J13+J14+J15+J26+J27+J38+J42+J43+J54)</f>
        <v>0</v>
      </c>
      <c r="K63" s="355"/>
    </row>
    <row r="64" spans="1:11" s="356" customFormat="1" ht="22.8">
      <c r="A64" s="141" t="s">
        <v>1632</v>
      </c>
      <c r="B64" s="354"/>
      <c r="C64" s="354"/>
      <c r="D64" s="354"/>
      <c r="E64" s="354"/>
      <c r="F64" s="354"/>
      <c r="G64" s="354"/>
      <c r="H64" s="354"/>
      <c r="I64" s="354"/>
      <c r="J64" s="354"/>
      <c r="K64" s="355"/>
    </row>
    <row r="65" spans="1:11" s="356" customFormat="1" ht="11.4">
      <c r="A65" s="145" t="s">
        <v>171</v>
      </c>
      <c r="B65" s="357">
        <f>'Sources and Uses Budget'!C65</f>
        <v>167205</v>
      </c>
      <c r="C65" s="358"/>
      <c r="D65" s="358"/>
      <c r="E65" s="357">
        <f>'Sources and Uses Budget'!S65</f>
        <v>167205</v>
      </c>
      <c r="F65" s="358"/>
      <c r="G65" s="358"/>
      <c r="H65" s="357">
        <f>'Sources and Uses Budget'!T65</f>
        <v>0</v>
      </c>
      <c r="I65" s="358"/>
      <c r="J65" s="358"/>
      <c r="K65" s="355"/>
    </row>
    <row r="66" spans="1:11" s="356" customFormat="1" ht="22.8">
      <c r="A66" s="283" t="s">
        <v>1629</v>
      </c>
      <c r="B66" s="357">
        <f>'Sources and Uses Budget'!C66</f>
        <v>45000</v>
      </c>
      <c r="C66" s="358"/>
      <c r="D66" s="358"/>
      <c r="E66" s="357">
        <f>'Sources and Uses Budget'!S66</f>
        <v>45000</v>
      </c>
      <c r="F66" s="358"/>
      <c r="G66" s="358"/>
      <c r="H66" s="357">
        <f>'Sources and Uses Budget'!T66</f>
        <v>0</v>
      </c>
      <c r="I66" s="358"/>
      <c r="J66" s="358"/>
      <c r="K66" s="355"/>
    </row>
    <row r="67" spans="1:11" s="356" customFormat="1" ht="22.8">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ht="11.4">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ht="34.200000000000003">
      <c r="A69" s="360" t="str">
        <f>'Sources and Uses Budget'!$A69</f>
        <v>Other: Borrower Counsel &amp; Contingency, Hearthstone fees and attorney, Recycled bonds reservation costs</v>
      </c>
      <c r="B69" s="357">
        <f>'Sources and Uses Budget'!C69</f>
        <v>379500</v>
      </c>
      <c r="C69" s="358"/>
      <c r="D69" s="358"/>
      <c r="E69" s="357">
        <f>'Sources and Uses Budget'!S69</f>
        <v>330000</v>
      </c>
      <c r="F69" s="358"/>
      <c r="G69" s="358"/>
      <c r="H69" s="357">
        <f>'Sources and Uses Budget'!T69</f>
        <v>0</v>
      </c>
      <c r="I69" s="358"/>
      <c r="J69" s="358"/>
      <c r="K69" s="355"/>
    </row>
    <row r="70" spans="1:11" s="356" customFormat="1">
      <c r="A70" s="361" t="s">
        <v>601</v>
      </c>
      <c r="B70" s="357">
        <f>'Sources and Uses Budget'!C70</f>
        <v>591705</v>
      </c>
      <c r="C70" s="357">
        <f>SUM(C64:C69)</f>
        <v>0</v>
      </c>
      <c r="D70" s="357">
        <f>SUM(D64:D69)</f>
        <v>0</v>
      </c>
      <c r="E70" s="357">
        <f>'Sources and Uses Budget'!S70</f>
        <v>542205</v>
      </c>
      <c r="F70" s="363">
        <f>SUM(F65:F69)</f>
        <v>0</v>
      </c>
      <c r="G70" s="363">
        <f>SUM(G65:G69)</f>
        <v>0</v>
      </c>
      <c r="H70" s="357">
        <f>'Sources and Uses Budget'!T70</f>
        <v>0</v>
      </c>
      <c r="I70" s="363">
        <f>SUM(I65:I69)</f>
        <v>0</v>
      </c>
      <c r="J70" s="363">
        <f>SUM(J65:J69)</f>
        <v>0</v>
      </c>
      <c r="K70" s="355"/>
    </row>
    <row r="71" spans="1:11" s="356" customFormat="1" ht="11.4">
      <c r="A71" s="353" t="s">
        <v>602</v>
      </c>
      <c r="B71" s="354"/>
      <c r="C71" s="354"/>
      <c r="D71" s="354"/>
      <c r="E71" s="354"/>
      <c r="F71" s="354"/>
      <c r="G71" s="354"/>
      <c r="H71" s="354"/>
      <c r="I71" s="354"/>
      <c r="J71" s="354"/>
      <c r="K71" s="355"/>
    </row>
    <row r="72" spans="1:11" s="356" customFormat="1" ht="11.4">
      <c r="A72" s="360" t="s">
        <v>603</v>
      </c>
      <c r="B72" s="357">
        <f>'Sources and Uses Budget'!C72</f>
        <v>0</v>
      </c>
      <c r="C72" s="358"/>
      <c r="D72" s="358"/>
      <c r="E72" s="359"/>
      <c r="F72" s="359"/>
      <c r="G72" s="359"/>
      <c r="H72" s="359"/>
      <c r="I72" s="359"/>
      <c r="J72" s="359"/>
      <c r="K72" s="355"/>
    </row>
    <row r="73" spans="1:11" s="356" customFormat="1" ht="11.4">
      <c r="A73" s="360" t="s">
        <v>604</v>
      </c>
      <c r="B73" s="357">
        <f>'Sources and Uses Budget'!C73</f>
        <v>0</v>
      </c>
      <c r="C73" s="358"/>
      <c r="D73" s="358"/>
      <c r="E73" s="359"/>
      <c r="F73" s="359"/>
      <c r="G73" s="359"/>
      <c r="H73" s="359"/>
      <c r="I73" s="359"/>
      <c r="J73" s="359"/>
      <c r="K73" s="355"/>
    </row>
    <row r="74" spans="1:11" s="356" customFormat="1" ht="11.4">
      <c r="A74" s="362" t="s">
        <v>986</v>
      </c>
      <c r="B74" s="357">
        <f>'Sources and Uses Budget'!C74</f>
        <v>0</v>
      </c>
      <c r="C74" s="358"/>
      <c r="D74" s="358"/>
      <c r="E74" s="359"/>
      <c r="F74" s="359"/>
      <c r="G74" s="359"/>
      <c r="H74" s="359"/>
      <c r="I74" s="359"/>
      <c r="J74" s="359"/>
      <c r="K74" s="355"/>
    </row>
    <row r="75" spans="1:11" s="356" customFormat="1" ht="11.4">
      <c r="A75" s="360" t="s">
        <v>605</v>
      </c>
      <c r="B75" s="357">
        <f>'Sources and Uses Budget'!C75</f>
        <v>1184259</v>
      </c>
      <c r="C75" s="358"/>
      <c r="D75" s="358"/>
      <c r="E75" s="359"/>
      <c r="F75" s="359"/>
      <c r="G75" s="359"/>
      <c r="H75" s="359"/>
      <c r="I75" s="359"/>
      <c r="J75" s="359"/>
      <c r="K75" s="355"/>
    </row>
    <row r="76" spans="1:11" s="356" customFormat="1" ht="11.4">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1184259</v>
      </c>
      <c r="C77" s="357">
        <f>SUM(C72:C76)</f>
        <v>0</v>
      </c>
      <c r="D77" s="357">
        <f>SUM(D72:D76)</f>
        <v>0</v>
      </c>
      <c r="E77" s="359"/>
      <c r="F77" s="359"/>
      <c r="G77" s="359"/>
      <c r="H77" s="359"/>
      <c r="I77" s="359"/>
      <c r="J77" s="359"/>
      <c r="K77" s="355"/>
    </row>
    <row r="78" spans="1:11" s="356" customFormat="1" ht="11.4">
      <c r="A78" s="353" t="s">
        <v>1209</v>
      </c>
      <c r="B78" s="354"/>
      <c r="C78" s="354"/>
      <c r="D78" s="354"/>
      <c r="E78" s="354"/>
      <c r="F78" s="354"/>
      <c r="G78" s="354"/>
      <c r="H78" s="354"/>
      <c r="I78" s="354"/>
      <c r="J78" s="354"/>
      <c r="K78" s="355"/>
    </row>
    <row r="79" spans="1:11" s="356" customFormat="1" ht="11.4">
      <c r="A79" s="360" t="s">
        <v>1211</v>
      </c>
      <c r="B79" s="357">
        <f>'Sources and Uses Budget'!C79</f>
        <v>3750000</v>
      </c>
      <c r="C79" s="358"/>
      <c r="D79" s="358"/>
      <c r="E79" s="357">
        <f>'Sources and Uses Budget'!S79</f>
        <v>3750000</v>
      </c>
      <c r="F79" s="358"/>
      <c r="G79" s="358"/>
      <c r="H79" s="357">
        <f>'Sources and Uses Budget'!T79</f>
        <v>0</v>
      </c>
      <c r="I79" s="358"/>
      <c r="J79" s="358"/>
      <c r="K79" s="355"/>
    </row>
    <row r="80" spans="1:11" s="356" customFormat="1" ht="11.4">
      <c r="A80" s="360" t="s">
        <v>58</v>
      </c>
      <c r="B80" s="357">
        <f>'Sources and Uses Budget'!C80</f>
        <v>125000</v>
      </c>
      <c r="C80" s="358"/>
      <c r="D80" s="358"/>
      <c r="E80" s="357">
        <f>'Sources and Uses Budget'!S80</f>
        <v>125000</v>
      </c>
      <c r="F80" s="358"/>
      <c r="G80" s="358"/>
      <c r="H80" s="357">
        <f>'Sources and Uses Budget'!T80</f>
        <v>0</v>
      </c>
      <c r="I80" s="358"/>
      <c r="J80" s="358"/>
      <c r="K80" s="355"/>
    </row>
    <row r="81" spans="1:11" s="356" customFormat="1">
      <c r="A81" s="361" t="s">
        <v>1208</v>
      </c>
      <c r="B81" s="357">
        <f>'Sources and Uses Budget'!C81</f>
        <v>3875000</v>
      </c>
      <c r="C81" s="357">
        <f>SUM(C79:C80)</f>
        <v>0</v>
      </c>
      <c r="D81" s="357">
        <f>SUM(D79:D80)</f>
        <v>0</v>
      </c>
      <c r="E81" s="357">
        <f>'Sources and Uses Budget'!S81</f>
        <v>3875000</v>
      </c>
      <c r="F81" s="357">
        <f>SUM(F79:F80)</f>
        <v>0</v>
      </c>
      <c r="G81" s="357">
        <f>SUM(G79:G80)</f>
        <v>0</v>
      </c>
      <c r="H81" s="357">
        <f>'Sources and Uses Budget'!T81</f>
        <v>0</v>
      </c>
      <c r="I81" s="357">
        <f>SUM(I79:I80)</f>
        <v>0</v>
      </c>
      <c r="J81" s="357">
        <f>SUM(J79:J80)</f>
        <v>0</v>
      </c>
      <c r="K81" s="355"/>
    </row>
    <row r="82" spans="1:11" s="356" customFormat="1" ht="11.4">
      <c r="A82" s="353" t="s">
        <v>765</v>
      </c>
      <c r="B82" s="354"/>
      <c r="C82" s="354"/>
      <c r="D82" s="354"/>
      <c r="E82" s="354"/>
      <c r="F82" s="354"/>
      <c r="G82" s="354"/>
      <c r="H82" s="354"/>
      <c r="I82" s="354"/>
      <c r="J82" s="354"/>
      <c r="K82" s="355"/>
    </row>
    <row r="83" spans="1:11" s="356" customFormat="1" ht="13.65" customHeight="1">
      <c r="A83" s="145" t="s">
        <v>2044</v>
      </c>
      <c r="B83" s="357">
        <f>'Sources and Uses Budget'!C83</f>
        <v>127235</v>
      </c>
      <c r="C83" s="358"/>
      <c r="D83" s="358"/>
      <c r="E83" s="359"/>
      <c r="F83" s="359"/>
      <c r="G83" s="359"/>
      <c r="H83" s="359"/>
      <c r="I83" s="359"/>
      <c r="J83" s="359"/>
      <c r="K83" s="355"/>
    </row>
    <row r="84" spans="1:11" s="356" customFormat="1" ht="11.4">
      <c r="A84" s="145" t="s">
        <v>767</v>
      </c>
      <c r="B84" s="357">
        <f>'Sources and Uses Budget'!C84</f>
        <v>3500</v>
      </c>
      <c r="C84" s="358"/>
      <c r="D84" s="358"/>
      <c r="E84" s="357">
        <f>'Sources and Uses Budget'!S84</f>
        <v>3500</v>
      </c>
      <c r="F84" s="358"/>
      <c r="G84" s="358"/>
      <c r="H84" s="357">
        <f>'Sources and Uses Budget'!T84</f>
        <v>0</v>
      </c>
      <c r="I84" s="358"/>
      <c r="J84" s="358"/>
      <c r="K84" s="355"/>
    </row>
    <row r="85" spans="1:11" s="356" customFormat="1" ht="11.4">
      <c r="A85" s="145" t="s">
        <v>768</v>
      </c>
      <c r="B85" s="357">
        <f>'Sources and Uses Budget'!C85</f>
        <v>1176016</v>
      </c>
      <c r="C85" s="358"/>
      <c r="D85" s="358"/>
      <c r="E85" s="357">
        <f>'Sources and Uses Budget'!S85</f>
        <v>1176016</v>
      </c>
      <c r="F85" s="358"/>
      <c r="G85" s="358"/>
      <c r="H85" s="357">
        <f>'Sources and Uses Budget'!T85</f>
        <v>0</v>
      </c>
      <c r="I85" s="358"/>
      <c r="J85" s="358"/>
      <c r="K85" s="355"/>
    </row>
    <row r="86" spans="1:11" s="356" customFormat="1" ht="11.4">
      <c r="A86" s="145" t="s">
        <v>769</v>
      </c>
      <c r="B86" s="357">
        <f>'Sources and Uses Budget'!C86</f>
        <v>1823984</v>
      </c>
      <c r="C86" s="358"/>
      <c r="D86" s="358"/>
      <c r="E86" s="357">
        <f>'Sources and Uses Budget'!S86</f>
        <v>1823984</v>
      </c>
      <c r="F86" s="358"/>
      <c r="G86" s="358"/>
      <c r="H86" s="357">
        <f>'Sources and Uses Budget'!T86</f>
        <v>0</v>
      </c>
      <c r="I86" s="358"/>
      <c r="J86" s="358"/>
      <c r="K86" s="355"/>
    </row>
    <row r="87" spans="1:11" s="356" customFormat="1" ht="11.4">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ht="11.4">
      <c r="A88" s="145" t="s">
        <v>771</v>
      </c>
      <c r="B88" s="357">
        <f>'Sources and Uses Budget'!C88</f>
        <v>87740</v>
      </c>
      <c r="C88" s="358"/>
      <c r="D88" s="358"/>
      <c r="E88" s="359"/>
      <c r="F88" s="359"/>
      <c r="G88" s="359"/>
      <c r="H88" s="359"/>
      <c r="I88" s="359"/>
      <c r="J88" s="359"/>
      <c r="K88" s="355"/>
    </row>
    <row r="89" spans="1:11" s="356" customFormat="1" ht="11.4">
      <c r="A89" s="145" t="s">
        <v>772</v>
      </c>
      <c r="B89" s="357">
        <f>'Sources and Uses Budget'!C89</f>
        <v>550000</v>
      </c>
      <c r="C89" s="358"/>
      <c r="D89" s="358"/>
      <c r="E89" s="357">
        <f>'Sources and Uses Budget'!S89</f>
        <v>550000</v>
      </c>
      <c r="F89" s="358"/>
      <c r="G89" s="358"/>
      <c r="H89" s="357">
        <f>'Sources and Uses Budget'!T89</f>
        <v>0</v>
      </c>
      <c r="I89" s="358"/>
      <c r="J89" s="358"/>
      <c r="K89" s="355"/>
    </row>
    <row r="90" spans="1:11" s="356" customFormat="1" ht="11.4">
      <c r="A90" s="145" t="s">
        <v>773</v>
      </c>
      <c r="B90" s="357">
        <f>'Sources and Uses Budget'!C90</f>
        <v>10000</v>
      </c>
      <c r="C90" s="358"/>
      <c r="D90" s="358"/>
      <c r="E90" s="357">
        <f>'Sources and Uses Budget'!S90</f>
        <v>10000</v>
      </c>
      <c r="F90" s="358"/>
      <c r="G90" s="358"/>
      <c r="H90" s="357">
        <f>'Sources and Uses Budget'!T90</f>
        <v>0</v>
      </c>
      <c r="I90" s="358"/>
      <c r="J90" s="358"/>
      <c r="K90" s="355"/>
    </row>
    <row r="91" spans="1:11" s="356" customFormat="1" ht="11.4">
      <c r="A91" s="155" t="s">
        <v>372</v>
      </c>
      <c r="B91" s="357">
        <f>'Sources and Uses Budget'!C91</f>
        <v>90000</v>
      </c>
      <c r="C91" s="358"/>
      <c r="D91" s="358"/>
      <c r="E91" s="357">
        <f>'Sources and Uses Budget'!S91</f>
        <v>90000</v>
      </c>
      <c r="F91" s="358"/>
      <c r="G91" s="358"/>
      <c r="H91" s="357">
        <f>'Sources and Uses Budget'!T91</f>
        <v>0</v>
      </c>
      <c r="I91" s="358"/>
      <c r="J91" s="358"/>
      <c r="K91" s="355"/>
    </row>
    <row r="92" spans="1:11" s="356" customFormat="1" ht="11.4">
      <c r="A92" s="504" t="s">
        <v>1210</v>
      </c>
      <c r="B92" s="357">
        <f>'Sources and Uses Budget'!C92</f>
        <v>10000</v>
      </c>
      <c r="C92" s="358"/>
      <c r="D92" s="358"/>
      <c r="E92" s="357">
        <f>'Sources and Uses Budget'!S92</f>
        <v>10000</v>
      </c>
      <c r="F92" s="358"/>
      <c r="G92" s="358"/>
      <c r="H92" s="357">
        <f>'Sources and Uses Budget'!T92</f>
        <v>0</v>
      </c>
      <c r="I92" s="358"/>
      <c r="J92" s="358"/>
      <c r="K92" s="355"/>
    </row>
    <row r="93" spans="1:11" s="356" customFormat="1" ht="11.4">
      <c r="A93" s="360" t="str">
        <f>'Sources and Uses Budget'!$A93</f>
        <v>Other: Cost Certification</v>
      </c>
      <c r="B93" s="357">
        <f>'Sources and Uses Budget'!C93</f>
        <v>20000</v>
      </c>
      <c r="C93" s="358"/>
      <c r="D93" s="358"/>
      <c r="E93" s="357">
        <f>'Sources and Uses Budget'!S93</f>
        <v>20000</v>
      </c>
      <c r="F93" s="358"/>
      <c r="G93" s="358"/>
      <c r="H93" s="357">
        <f>'Sources and Uses Budget'!T93</f>
        <v>0</v>
      </c>
      <c r="I93" s="358"/>
      <c r="J93" s="358"/>
      <c r="K93" s="355"/>
    </row>
    <row r="94" spans="1:11" s="356" customFormat="1" ht="11.4">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1.4">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3898475</v>
      </c>
      <c r="C96" s="357">
        <f>SUM(C83:C95)</f>
        <v>0</v>
      </c>
      <c r="D96" s="357">
        <f>SUM(D83:D95)</f>
        <v>0</v>
      </c>
      <c r="E96" s="357">
        <f>'Sources and Uses Budget'!S96</f>
        <v>3683500</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91708233</v>
      </c>
      <c r="C97" s="357">
        <f>SUM(C63+C70+C77+C81+C96)</f>
        <v>0</v>
      </c>
      <c r="D97" s="357">
        <f>SUM(D63+D70+D77+D81+D96)</f>
        <v>0</v>
      </c>
      <c r="E97" s="357">
        <f>'Sources and Uses Budget'!S97</f>
        <v>59268665</v>
      </c>
      <c r="F97" s="363">
        <f>SUM(+F63+F70+F81+F96)</f>
        <v>0</v>
      </c>
      <c r="G97" s="363">
        <f>SUM(+G63+G70+G81+G96)</f>
        <v>0</v>
      </c>
      <c r="H97" s="357">
        <f>'Sources and Uses Budget'!T97</f>
        <v>24000000</v>
      </c>
      <c r="I97" s="363">
        <f>SUM(I63+I70+I81+I96)</f>
        <v>0</v>
      </c>
      <c r="J97" s="363">
        <f>SUM(J63+J70+J81+J96)</f>
        <v>0</v>
      </c>
      <c r="K97" s="355"/>
    </row>
    <row r="98" spans="1:11" s="356" customFormat="1" ht="11.4">
      <c r="A98" s="353" t="s">
        <v>776</v>
      </c>
      <c r="B98" s="354"/>
      <c r="C98" s="354"/>
      <c r="D98" s="354"/>
      <c r="E98" s="354"/>
      <c r="F98" s="354"/>
      <c r="G98" s="354"/>
      <c r="H98" s="354"/>
      <c r="I98" s="354"/>
      <c r="J98" s="354"/>
      <c r="K98" s="355"/>
    </row>
    <row r="99" spans="1:11" s="356" customFormat="1" ht="11.4">
      <c r="A99" s="145" t="s">
        <v>777</v>
      </c>
      <c r="B99" s="357">
        <f>'Sources and Uses Budget'!C99</f>
        <v>12490299</v>
      </c>
      <c r="C99" s="358"/>
      <c r="D99" s="358"/>
      <c r="E99" s="357">
        <f>'Sources and Uses Budget'!S99</f>
        <v>8890299</v>
      </c>
      <c r="F99" s="358"/>
      <c r="G99" s="358"/>
      <c r="H99" s="357">
        <f>'Sources and Uses Budget'!T99</f>
        <v>3600000</v>
      </c>
      <c r="I99" s="358"/>
      <c r="J99" s="358"/>
      <c r="K99" s="355"/>
    </row>
    <row r="100" spans="1:11" s="356" customFormat="1" ht="11.4">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12490299</v>
      </c>
      <c r="C104" s="357">
        <f>SUM(C99:C103)</f>
        <v>0</v>
      </c>
      <c r="D104" s="357">
        <f>SUM(D99:D103)</f>
        <v>0</v>
      </c>
      <c r="E104" s="357">
        <f>'Sources and Uses Budget'!S104</f>
        <v>8890299</v>
      </c>
      <c r="F104" s="363">
        <f>SUM(F99:F103)</f>
        <v>0</v>
      </c>
      <c r="G104" s="363">
        <f>SUM(G99:G103)</f>
        <v>0</v>
      </c>
      <c r="H104" s="357">
        <f>'Sources and Uses Budget'!T104</f>
        <v>3600000</v>
      </c>
      <c r="I104" s="363">
        <f>SUM(I99:I103)</f>
        <v>0</v>
      </c>
      <c r="J104" s="363">
        <f>SUM(J99:J103)</f>
        <v>0</v>
      </c>
      <c r="K104" s="355"/>
    </row>
    <row r="105" spans="1:11" s="356" customFormat="1">
      <c r="A105" s="361" t="s">
        <v>1030</v>
      </c>
      <c r="B105" s="357">
        <f>'Sources and Uses Budget'!C105</f>
        <v>104198532</v>
      </c>
      <c r="C105" s="363">
        <f>SUM(C97+C104)</f>
        <v>0</v>
      </c>
      <c r="D105" s="363">
        <f>SUM(D97+D104)</f>
        <v>0</v>
      </c>
      <c r="E105" s="357">
        <f>'Sources and Uses Budget'!S105</f>
        <v>68158964</v>
      </c>
      <c r="F105" s="363">
        <f>F97+F104</f>
        <v>0</v>
      </c>
      <c r="G105" s="363">
        <f>G97+G104</f>
        <v>0</v>
      </c>
      <c r="H105" s="357">
        <f>'Sources and Uses Budget'!T105</f>
        <v>27600000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68158964</v>
      </c>
      <c r="F107" s="363">
        <f>F105+F106</f>
        <v>0</v>
      </c>
      <c r="G107" s="363">
        <f>G105+G106</f>
        <v>0</v>
      </c>
      <c r="H107" s="357">
        <f>'Sources and Uses Budget'!T107</f>
        <v>27600000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899"/>
      <c r="E124" s="1839"/>
      <c r="F124" s="1839"/>
      <c r="G124" s="1839"/>
      <c r="H124" s="1839"/>
      <c r="I124" s="1839"/>
      <c r="J124" s="372"/>
      <c r="K124" s="355"/>
    </row>
    <row r="125" spans="1:11" s="356" customFormat="1" ht="13.2">
      <c r="A125" s="381"/>
      <c r="B125" s="380"/>
      <c r="C125" s="381"/>
      <c r="D125" s="1839"/>
      <c r="E125" s="1839"/>
      <c r="F125" s="1839"/>
      <c r="G125" s="1839"/>
      <c r="H125" s="1839"/>
      <c r="I125" s="1839"/>
      <c r="J125" s="372"/>
      <c r="K125" s="355"/>
    </row>
    <row r="126" spans="1:11" s="356" customFormat="1" ht="13.2">
      <c r="A126" s="381"/>
      <c r="B126" s="380"/>
      <c r="C126" s="381"/>
      <c r="D126" s="1839"/>
      <c r="E126" s="1839"/>
      <c r="F126" s="1839"/>
      <c r="G126" s="1839"/>
      <c r="H126" s="1839"/>
      <c r="I126" s="1839"/>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39"/>
      <c r="C139" s="1839"/>
      <c r="D139" s="352"/>
      <c r="E139" s="381"/>
      <c r="F139" s="381"/>
      <c r="G139" s="381"/>
    </row>
    <row r="140" spans="1:11" ht="12" customHeight="1">
      <c r="A140" s="1857"/>
      <c r="B140" s="1857"/>
      <c r="C140" s="185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1912" t="s">
        <v>2383</v>
      </c>
      <c r="B1" s="1913"/>
      <c r="C1" s="1913"/>
      <c r="D1" s="1913"/>
      <c r="E1" s="1913"/>
      <c r="F1" s="1913"/>
      <c r="G1" s="1913"/>
      <c r="H1" s="1913"/>
      <c r="I1" s="1913"/>
      <c r="J1" s="1913"/>
      <c r="K1" s="1913"/>
      <c r="L1" s="1913"/>
      <c r="M1" s="1913"/>
      <c r="N1" s="1913"/>
      <c r="O1" s="1913"/>
      <c r="P1" s="1913"/>
      <c r="Q1" s="1913"/>
      <c r="R1" s="1913"/>
      <c r="S1" s="1913"/>
      <c r="T1" s="1913"/>
      <c r="U1" s="1913"/>
      <c r="V1" s="1913"/>
      <c r="W1" s="1913"/>
      <c r="X1" s="1913"/>
      <c r="Y1" s="1913"/>
      <c r="Z1" s="1913"/>
      <c r="AA1" s="1913"/>
      <c r="AB1" s="1913"/>
      <c r="AC1" s="1913"/>
      <c r="AD1" s="1913"/>
      <c r="AE1" s="1913"/>
      <c r="AF1" s="1913"/>
      <c r="AG1" s="1913"/>
      <c r="AH1" s="1913"/>
      <c r="AI1" s="1913"/>
      <c r="AJ1" s="1913"/>
      <c r="AK1" s="1913"/>
      <c r="AL1" s="1913"/>
      <c r="AM1" s="1913"/>
      <c r="AN1" s="1913"/>
      <c r="AO1" s="1913"/>
      <c r="AP1" s="1913"/>
      <c r="AQ1" s="1913"/>
      <c r="AR1" s="1913"/>
      <c r="AS1" s="1913"/>
      <c r="AT1" s="1913"/>
      <c r="AU1" s="1913"/>
      <c r="AV1" s="1913"/>
      <c r="AW1" s="1913"/>
      <c r="AX1" s="1913"/>
      <c r="AY1" s="1913"/>
      <c r="AZ1" s="1913"/>
      <c r="BA1" s="1913"/>
      <c r="BB1" s="1913"/>
      <c r="BC1" s="1913"/>
      <c r="BD1" s="1913"/>
      <c r="BE1" s="1914"/>
    </row>
    <row r="2" spans="1:65" ht="15.75" customHeight="1">
      <c r="A2" s="1915" t="s">
        <v>2382</v>
      </c>
      <c r="B2" s="1916"/>
      <c r="C2" s="1916"/>
      <c r="D2" s="1916"/>
      <c r="E2" s="1916"/>
      <c r="F2" s="1916"/>
      <c r="G2" s="1916"/>
      <c r="H2" s="1916"/>
      <c r="I2" s="1916"/>
      <c r="J2" s="1916"/>
      <c r="K2" s="1916"/>
      <c r="L2" s="1916"/>
      <c r="M2" s="1916"/>
      <c r="N2" s="1916"/>
      <c r="O2" s="1916"/>
      <c r="P2" s="1916"/>
      <c r="Q2" s="1916"/>
      <c r="R2" s="1916"/>
      <c r="S2" s="1916"/>
      <c r="T2" s="1916"/>
      <c r="U2" s="1916"/>
      <c r="V2" s="1916"/>
      <c r="W2" s="1916"/>
      <c r="X2" s="1916"/>
      <c r="Y2" s="1916"/>
      <c r="Z2" s="1916"/>
      <c r="AA2" s="1916"/>
      <c r="AB2" s="1916"/>
      <c r="AC2" s="1916"/>
      <c r="AD2" s="1916"/>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6"/>
      <c r="BC2" s="1916"/>
      <c r="BD2" s="1916"/>
      <c r="BE2" s="191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8" t="s">
        <v>2583</v>
      </c>
      <c r="AY3" s="1919"/>
      <c r="AZ3" s="1919"/>
      <c r="BA3" s="1920"/>
      <c r="BB3" s="1918" t="s">
        <v>2584</v>
      </c>
      <c r="BC3" s="1919"/>
      <c r="BD3" s="1919"/>
      <c r="BE3" s="1920"/>
    </row>
    <row r="4" spans="1:65" ht="15.75" customHeight="1" thickBot="1">
      <c r="A4" s="1201"/>
      <c r="B4" s="1203" t="s">
        <v>656</v>
      </c>
      <c r="C4" s="1203"/>
      <c r="D4" s="1203"/>
      <c r="E4" s="1203"/>
      <c r="F4" s="1203"/>
      <c r="G4" s="1202"/>
      <c r="H4" s="1202"/>
      <c r="I4" s="1202"/>
      <c r="J4" s="1202"/>
      <c r="K4" s="1202"/>
      <c r="L4" s="1907" t="str">
        <f>IF(Application!H18="","",Application!H18)</f>
        <v xml:space="preserve">610 W Ash </v>
      </c>
      <c r="M4" s="1908"/>
      <c r="N4" s="1908"/>
      <c r="O4" s="1908"/>
      <c r="P4" s="1908"/>
      <c r="Q4" s="1908"/>
      <c r="R4" s="1908"/>
      <c r="S4" s="1908"/>
      <c r="T4" s="1908"/>
      <c r="U4" s="1908"/>
      <c r="V4" s="1908"/>
      <c r="W4" s="1908"/>
      <c r="X4" s="1908"/>
      <c r="Y4" s="1908"/>
      <c r="Z4" s="1908"/>
      <c r="AA4" s="1908"/>
      <c r="AB4" s="1908"/>
      <c r="AC4" s="1909"/>
      <c r="AD4" s="1202"/>
      <c r="AE4" s="1202"/>
      <c r="AF4" s="1921" t="s">
        <v>2381</v>
      </c>
      <c r="AG4" s="1921"/>
      <c r="AH4" s="1921"/>
      <c r="AI4" s="1921"/>
      <c r="AJ4" s="1921"/>
      <c r="AK4" s="1921"/>
      <c r="AL4" s="1921"/>
      <c r="AM4" s="1921"/>
      <c r="AN4" s="1921"/>
      <c r="AO4" s="1921"/>
      <c r="AP4" s="1922"/>
      <c r="AQ4" s="1923"/>
      <c r="AR4" s="1923"/>
      <c r="AS4" s="1923"/>
      <c r="AT4" s="1923"/>
      <c r="AU4" s="1923"/>
      <c r="AV4" s="1202"/>
      <c r="AW4" s="1202"/>
      <c r="AX4" s="1904" t="s">
        <v>2585</v>
      </c>
      <c r="AY4" s="1905"/>
      <c r="AZ4" s="1905"/>
      <c r="BA4" s="1906"/>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1" t="s">
        <v>2380</v>
      </c>
      <c r="AG5" s="1921"/>
      <c r="AH5" s="1921"/>
      <c r="AI5" s="1921"/>
      <c r="AJ5" s="1921"/>
      <c r="AK5" s="1921"/>
      <c r="AL5" s="1921"/>
      <c r="AM5" s="1921"/>
      <c r="AN5" s="1921"/>
      <c r="AO5" s="1921"/>
      <c r="AP5" s="1922"/>
      <c r="AQ5" s="1923"/>
      <c r="AR5" s="1923"/>
      <c r="AS5" s="1923"/>
      <c r="AT5" s="1923"/>
      <c r="AU5" s="1923"/>
      <c r="AV5" s="1202"/>
      <c r="AW5" s="1202"/>
      <c r="AX5" s="1904" t="s">
        <v>2586</v>
      </c>
      <c r="AY5" s="1905"/>
      <c r="AZ5" s="1905"/>
      <c r="BA5" s="1906"/>
      <c r="BB5" s="1204">
        <f t="array" ref="BB5">ROUNDDOWN(SUM(IF((B19:I27&gt;0%)*(B19:I27&lt;=50%),J19:O27,0))/J29,2)</f>
        <v>0.22</v>
      </c>
      <c r="BC5" s="1205"/>
      <c r="BD5" s="1205"/>
      <c r="BE5" s="1206"/>
    </row>
    <row r="6" spans="1:65" ht="15.75" customHeight="1" thickBot="1">
      <c r="A6" s="1201"/>
      <c r="B6" s="1203" t="s">
        <v>2379</v>
      </c>
      <c r="C6" s="1202"/>
      <c r="D6" s="1202"/>
      <c r="E6" s="1202"/>
      <c r="F6" s="1202"/>
      <c r="G6" s="1202"/>
      <c r="H6" s="1202"/>
      <c r="I6" s="1202"/>
      <c r="J6" s="1202"/>
      <c r="K6" s="1202"/>
      <c r="L6" s="1907" t="str">
        <f>IF(Application!H16="","",Application!H16)</f>
        <v>610 West by Vintage Partners, LLC</v>
      </c>
      <c r="M6" s="1908"/>
      <c r="N6" s="1908"/>
      <c r="O6" s="1908"/>
      <c r="P6" s="1908"/>
      <c r="Q6" s="1908"/>
      <c r="R6" s="1908"/>
      <c r="S6" s="1908"/>
      <c r="T6" s="1908"/>
      <c r="U6" s="1908"/>
      <c r="V6" s="1908"/>
      <c r="W6" s="1908"/>
      <c r="X6" s="1908"/>
      <c r="Y6" s="1908"/>
      <c r="Z6" s="1908"/>
      <c r="AA6" s="1908"/>
      <c r="AB6" s="1908"/>
      <c r="AC6" s="1909"/>
      <c r="AD6" s="1202"/>
      <c r="AE6" s="1202"/>
      <c r="AF6" s="1910" t="s">
        <v>2378</v>
      </c>
      <c r="AG6" s="1910"/>
      <c r="AH6" s="1910"/>
      <c r="AI6" s="1910"/>
      <c r="AJ6" s="1910"/>
      <c r="AK6" s="1910"/>
      <c r="AL6" s="1910"/>
      <c r="AM6" s="1910"/>
      <c r="AN6" s="1910"/>
      <c r="AO6" s="1910"/>
      <c r="AP6" s="1911"/>
      <c r="AQ6" s="1911"/>
      <c r="AR6" s="1911"/>
      <c r="AS6" s="1911"/>
      <c r="AT6" s="1911"/>
      <c r="AU6" s="1911"/>
      <c r="AV6" s="1202"/>
      <c r="AW6" s="1202"/>
      <c r="AX6" s="1904" t="s">
        <v>2587</v>
      </c>
      <c r="AY6" s="1905"/>
      <c r="AZ6" s="1905"/>
      <c r="BA6" s="1906"/>
      <c r="BB6" s="1204">
        <f t="array" ref="BB6">ROUNDDOWN(SUM(IF((B19:I27&gt;60%)*(B19:I27&lt;=80%),J19:O27,0))/J29,2)</f>
        <v>0.21</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0" t="s">
        <v>2377</v>
      </c>
      <c r="AG7" s="1910"/>
      <c r="AH7" s="1910"/>
      <c r="AI7" s="1910"/>
      <c r="AJ7" s="1910"/>
      <c r="AK7" s="1910"/>
      <c r="AL7" s="1910"/>
      <c r="AM7" s="1910"/>
      <c r="AN7" s="1910"/>
      <c r="AO7" s="1910"/>
      <c r="AP7" s="1911"/>
      <c r="AQ7" s="1911"/>
      <c r="AR7" s="1911"/>
      <c r="AS7" s="1911"/>
      <c r="AT7" s="1911"/>
      <c r="AU7" s="1911"/>
      <c r="AV7" s="1202"/>
      <c r="AW7" s="1202"/>
      <c r="AX7" s="1202"/>
      <c r="AY7" s="1202"/>
      <c r="AZ7" s="1202"/>
      <c r="BA7" s="1202"/>
      <c r="BB7" s="1202"/>
      <c r="BC7" s="1202"/>
      <c r="BD7" s="1202"/>
      <c r="BE7" s="1207"/>
    </row>
    <row r="8" spans="1:65" ht="1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4" t="str">
        <f>Application!T197</f>
        <v>No</v>
      </c>
      <c r="AC8" s="1925"/>
      <c r="AD8" s="1926"/>
      <c r="AE8" s="1202"/>
      <c r="AF8" s="1910" t="s">
        <v>2376</v>
      </c>
      <c r="AG8" s="1910"/>
      <c r="AH8" s="1910"/>
      <c r="AI8" s="1910"/>
      <c r="AJ8" s="1910"/>
      <c r="AK8" s="1910"/>
      <c r="AL8" s="1910"/>
      <c r="AM8" s="1910"/>
      <c r="AN8" s="1910"/>
      <c r="AO8" s="1910"/>
      <c r="AP8" s="1911" t="s">
        <v>2048</v>
      </c>
      <c r="AQ8" s="1911"/>
      <c r="AR8" s="1911"/>
      <c r="AS8" s="1911"/>
      <c r="AT8" s="1911"/>
      <c r="AU8" s="1911"/>
      <c r="AV8" s="1202"/>
      <c r="AW8" s="1202"/>
      <c r="AX8" s="1202"/>
      <c r="AY8" s="1202"/>
      <c r="AZ8" s="1202"/>
      <c r="BA8" s="1202"/>
      <c r="BB8" s="1202"/>
      <c r="BC8" s="1202"/>
      <c r="BD8" s="1202"/>
      <c r="BE8" s="1207"/>
      <c r="BM8" s="1198" t="s">
        <v>1951</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1" t="s">
        <v>2375</v>
      </c>
      <c r="AG9" s="1921"/>
      <c r="AH9" s="1921"/>
      <c r="AI9" s="1921"/>
      <c r="AJ9" s="1921"/>
      <c r="AK9" s="1921"/>
      <c r="AL9" s="1921"/>
      <c r="AM9" s="1921"/>
      <c r="AN9" s="1921"/>
      <c r="AO9" s="1921"/>
      <c r="AP9" s="1922"/>
      <c r="AQ9" s="1923"/>
      <c r="AR9" s="1923"/>
      <c r="AS9" s="1923"/>
      <c r="AT9" s="1923"/>
      <c r="AU9" s="1923"/>
      <c r="AV9" s="1202"/>
      <c r="AW9" s="1202"/>
      <c r="AX9" s="1202"/>
      <c r="AY9" s="1202"/>
      <c r="AZ9" s="1202"/>
      <c r="BA9" s="1202"/>
      <c r="BB9" s="1202"/>
      <c r="BC9" s="1202"/>
      <c r="BD9" s="1202"/>
      <c r="BE9" s="1207"/>
      <c r="BM9" s="1198" t="s">
        <v>2374</v>
      </c>
    </row>
    <row r="10" spans="1:65" ht="14.4">
      <c r="A10" s="1201"/>
      <c r="B10" s="1203" t="s">
        <v>2373</v>
      </c>
      <c r="C10" s="1203"/>
      <c r="D10" s="1203"/>
      <c r="E10" s="1203"/>
      <c r="F10" s="1203"/>
      <c r="G10" s="1203"/>
      <c r="H10" s="1203"/>
      <c r="I10" s="1203"/>
      <c r="J10" s="1203"/>
      <c r="K10" s="1203"/>
      <c r="L10" s="1203"/>
      <c r="M10" s="1202"/>
      <c r="N10" s="1939">
        <f>Application!AO635</f>
        <v>51255000</v>
      </c>
      <c r="O10" s="1939"/>
      <c r="P10" s="1939"/>
      <c r="Q10" s="1939"/>
      <c r="R10" s="1939"/>
      <c r="S10" s="1939"/>
      <c r="T10" s="1939"/>
      <c r="U10" s="1202"/>
      <c r="V10" s="1202"/>
      <c r="W10" s="1202"/>
      <c r="X10" s="1208"/>
      <c r="Y10" s="1208"/>
      <c r="Z10" s="1208"/>
      <c r="AA10" s="1208"/>
      <c r="AB10" s="1208"/>
      <c r="AC10" s="1208"/>
      <c r="AD10" s="1208"/>
      <c r="AE10" s="1208"/>
      <c r="AF10" s="1921" t="s">
        <v>2372</v>
      </c>
      <c r="AG10" s="1921"/>
      <c r="AH10" s="1921"/>
      <c r="AI10" s="1921"/>
      <c r="AJ10" s="1921"/>
      <c r="AK10" s="1921"/>
      <c r="AL10" s="1921"/>
      <c r="AM10" s="1921"/>
      <c r="AN10" s="1921"/>
      <c r="AO10" s="1921"/>
      <c r="AP10" s="1922"/>
      <c r="AQ10" s="1923"/>
      <c r="AR10" s="1923"/>
      <c r="AS10" s="1923"/>
      <c r="AT10" s="1923"/>
      <c r="AU10" s="1923"/>
      <c r="AV10" s="1208"/>
      <c r="AW10" s="1208"/>
      <c r="AX10" s="1202"/>
      <c r="AY10" s="1202"/>
      <c r="AZ10" s="1202"/>
      <c r="BA10" s="1202"/>
      <c r="BB10" s="1202"/>
      <c r="BC10" s="1202"/>
      <c r="BD10" s="1202"/>
      <c r="BE10" s="1207"/>
      <c r="BM10" s="1198" t="s">
        <v>2371</v>
      </c>
    </row>
    <row r="11" spans="1:65" ht="14.4">
      <c r="A11" s="1201"/>
      <c r="B11" s="1203" t="s">
        <v>2370</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21" t="s">
        <v>2369</v>
      </c>
      <c r="AG11" s="1921"/>
      <c r="AH11" s="1921"/>
      <c r="AI11" s="1921"/>
      <c r="AJ11" s="1921"/>
      <c r="AK11" s="1921"/>
      <c r="AL11" s="1921"/>
      <c r="AM11" s="1921"/>
      <c r="AN11" s="1921"/>
      <c r="AO11" s="1921"/>
      <c r="AP11" s="1922"/>
      <c r="AQ11" s="1923"/>
      <c r="AR11" s="1923"/>
      <c r="AS11" s="1923"/>
      <c r="AT11" s="1923"/>
      <c r="AU11" s="1923"/>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1927" t="s">
        <v>2367</v>
      </c>
      <c r="C13" s="1928"/>
      <c r="D13" s="1928"/>
      <c r="E13" s="1928"/>
      <c r="F13" s="1928"/>
      <c r="G13" s="1928"/>
      <c r="H13" s="1928"/>
      <c r="I13" s="1928"/>
      <c r="J13" s="1928"/>
      <c r="K13" s="1928"/>
      <c r="L13" s="1928"/>
      <c r="M13" s="1928"/>
      <c r="N13" s="1928"/>
      <c r="O13" s="1928"/>
      <c r="P13" s="1929"/>
      <c r="Q13" s="1930" t="s">
        <v>669</v>
      </c>
      <c r="R13" s="1931"/>
      <c r="S13" s="1931"/>
      <c r="T13" s="1932"/>
      <c r="U13" s="1208"/>
      <c r="V13" s="1202"/>
      <c r="W13" s="1202"/>
      <c r="X13" s="1202"/>
      <c r="Y13" s="1202"/>
      <c r="Z13" s="1202"/>
      <c r="AA13" s="1933" t="s">
        <v>2366</v>
      </c>
      <c r="AB13" s="1933"/>
      <c r="AC13" s="1933"/>
      <c r="AD13" s="1933"/>
      <c r="AE13" s="1933"/>
      <c r="AF13" s="1933"/>
      <c r="AG13" s="1933"/>
      <c r="AH13" s="1933"/>
      <c r="AI13" s="1933"/>
      <c r="AJ13" s="1933"/>
      <c r="AK13" s="1933"/>
      <c r="AL13" s="1933"/>
      <c r="AM13" s="1933"/>
      <c r="AN13" s="1933"/>
      <c r="AO13" s="1934">
        <f>Application!W481</f>
        <v>47</v>
      </c>
      <c r="AP13" s="1935"/>
      <c r="AQ13" s="1935"/>
      <c r="AR13" s="1935"/>
      <c r="AS13" s="1935"/>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6" t="s">
        <v>2364</v>
      </c>
      <c r="AB14" s="1936"/>
      <c r="AC14" s="1936"/>
      <c r="AD14" s="1936"/>
      <c r="AE14" s="1936"/>
      <c r="AF14" s="1936"/>
      <c r="AG14" s="1936"/>
      <c r="AH14" s="1936"/>
      <c r="AI14" s="1936"/>
      <c r="AJ14" s="1936"/>
      <c r="AK14" s="1936"/>
      <c r="AL14" s="1936"/>
      <c r="AM14" s="1936"/>
      <c r="AN14" s="1936"/>
      <c r="AO14" s="1937"/>
      <c r="AP14" s="1938"/>
      <c r="AQ14" s="1938"/>
      <c r="AR14" s="1938"/>
      <c r="AS14" s="1938"/>
      <c r="AT14" s="1208"/>
      <c r="AU14" s="1208"/>
      <c r="AV14" s="1208"/>
      <c r="AW14" s="1208"/>
      <c r="AX14" s="1208"/>
      <c r="AY14" s="1208"/>
      <c r="AZ14" s="1208"/>
      <c r="BA14" s="1208"/>
      <c r="BB14" s="1208"/>
      <c r="BC14" s="1208"/>
      <c r="BD14" s="1208"/>
      <c r="BE14" s="1209"/>
    </row>
    <row r="15" spans="1:65" ht="15" thickBot="1">
      <c r="A15" s="1202"/>
      <c r="B15" s="1940" t="s">
        <v>2363</v>
      </c>
      <c r="C15" s="1941"/>
      <c r="D15" s="1941"/>
      <c r="E15" s="1941"/>
      <c r="F15" s="1941"/>
      <c r="G15" s="1941"/>
      <c r="H15" s="1941"/>
      <c r="I15" s="1941"/>
      <c r="J15" s="1941"/>
      <c r="K15" s="1941"/>
      <c r="L15" s="1941"/>
      <c r="M15" s="1941"/>
      <c r="N15" s="1941"/>
      <c r="O15" s="1941"/>
      <c r="P15" s="1941"/>
      <c r="Q15" s="1941"/>
      <c r="R15" s="1942"/>
      <c r="S15" s="1943" t="str">
        <f>IF(Application!AB215="","",Application!AB215)</f>
        <v/>
      </c>
      <c r="T15" s="1943"/>
      <c r="U15" s="1943"/>
      <c r="V15" s="1943"/>
      <c r="W15" s="1944"/>
      <c r="X15" s="1208"/>
      <c r="Y15" s="1202"/>
      <c r="Z15" s="1202"/>
      <c r="AA15" s="1933" t="s">
        <v>2362</v>
      </c>
      <c r="AB15" s="1933"/>
      <c r="AC15" s="1933"/>
      <c r="AD15" s="1933"/>
      <c r="AE15" s="1933"/>
      <c r="AF15" s="1933"/>
      <c r="AG15" s="1933"/>
      <c r="AH15" s="1933"/>
      <c r="AI15" s="1933"/>
      <c r="AJ15" s="1933"/>
      <c r="AK15" s="1933"/>
      <c r="AL15" s="1933"/>
      <c r="AM15" s="1933"/>
      <c r="AN15" s="1933"/>
      <c r="AO15" s="1937"/>
      <c r="AP15" s="1938"/>
      <c r="AQ15" s="1938"/>
      <c r="AR15" s="1938"/>
      <c r="AS15" s="1938"/>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5" t="s">
        <v>2361</v>
      </c>
      <c r="C17" s="1946"/>
      <c r="D17" s="1946"/>
      <c r="E17" s="1946"/>
      <c r="F17" s="1946"/>
      <c r="G17" s="1946"/>
      <c r="H17" s="1946"/>
      <c r="I17" s="1946"/>
      <c r="J17" s="1946"/>
      <c r="K17" s="1946"/>
      <c r="L17" s="1946"/>
      <c r="M17" s="1946"/>
      <c r="N17" s="1946"/>
      <c r="O17" s="1946"/>
      <c r="P17" s="1946"/>
      <c r="Q17" s="1946"/>
      <c r="R17" s="1946"/>
      <c r="S17" s="1946"/>
      <c r="T17" s="1946"/>
      <c r="U17" s="1946"/>
      <c r="V17" s="1946"/>
      <c r="W17" s="1946"/>
      <c r="X17" s="1946"/>
      <c r="Y17" s="1946"/>
      <c r="Z17" s="1946"/>
      <c r="AA17" s="1946"/>
      <c r="AB17" s="1946"/>
      <c r="AC17" s="1946"/>
      <c r="AD17" s="1946"/>
      <c r="AE17" s="1946"/>
      <c r="AF17" s="1946"/>
      <c r="AG17" s="1946"/>
      <c r="AH17" s="1946"/>
      <c r="AI17" s="1946"/>
      <c r="AJ17" s="1946"/>
      <c r="AK17" s="1946"/>
      <c r="AL17" s="1946"/>
      <c r="AM17" s="1946"/>
      <c r="AN17" s="1946"/>
      <c r="AO17" s="1946"/>
      <c r="AP17" s="1946"/>
      <c r="AQ17" s="1946"/>
      <c r="AR17" s="1946"/>
      <c r="AS17" s="1946"/>
      <c r="AT17" s="1946"/>
      <c r="AU17" s="1946"/>
      <c r="AV17" s="1946"/>
      <c r="AW17" s="1946"/>
      <c r="AX17" s="1946"/>
      <c r="AY17" s="1947"/>
      <c r="AZ17" s="1202"/>
      <c r="BA17" s="1202"/>
      <c r="BB17" s="1202"/>
      <c r="BC17" s="1202"/>
      <c r="BD17" s="1202"/>
      <c r="BE17" s="1209"/>
      <c r="BF17" s="1200"/>
    </row>
    <row r="18" spans="1:58" ht="15.75" customHeight="1">
      <c r="A18" s="1202"/>
      <c r="B18" s="1948" t="s">
        <v>2360</v>
      </c>
      <c r="C18" s="1949"/>
      <c r="D18" s="1949"/>
      <c r="E18" s="1949"/>
      <c r="F18" s="1949"/>
      <c r="G18" s="1949"/>
      <c r="H18" s="1949"/>
      <c r="I18" s="1950"/>
      <c r="J18" s="1951" t="s">
        <v>1574</v>
      </c>
      <c r="K18" s="1952"/>
      <c r="L18" s="1952"/>
      <c r="M18" s="1952"/>
      <c r="N18" s="1952"/>
      <c r="O18" s="1953"/>
      <c r="P18" s="1951" t="s">
        <v>324</v>
      </c>
      <c r="Q18" s="1952"/>
      <c r="R18" s="1952"/>
      <c r="S18" s="1952"/>
      <c r="T18" s="1952"/>
      <c r="U18" s="1953"/>
      <c r="V18" s="1951" t="s">
        <v>325</v>
      </c>
      <c r="W18" s="1952"/>
      <c r="X18" s="1952"/>
      <c r="Y18" s="1952"/>
      <c r="Z18" s="1952"/>
      <c r="AA18" s="1953"/>
      <c r="AB18" s="1951" t="s">
        <v>163</v>
      </c>
      <c r="AC18" s="1952"/>
      <c r="AD18" s="1952"/>
      <c r="AE18" s="1952"/>
      <c r="AF18" s="1952"/>
      <c r="AG18" s="1953"/>
      <c r="AH18" s="1951" t="s">
        <v>164</v>
      </c>
      <c r="AI18" s="1952"/>
      <c r="AJ18" s="1952"/>
      <c r="AK18" s="1952"/>
      <c r="AL18" s="1952"/>
      <c r="AM18" s="1953"/>
      <c r="AN18" s="1951" t="s">
        <v>165</v>
      </c>
      <c r="AO18" s="1952"/>
      <c r="AP18" s="1952"/>
      <c r="AQ18" s="1952"/>
      <c r="AR18" s="1952"/>
      <c r="AS18" s="1953"/>
      <c r="AT18" s="1951" t="s">
        <v>2359</v>
      </c>
      <c r="AU18" s="1952"/>
      <c r="AV18" s="1952"/>
      <c r="AW18" s="1952"/>
      <c r="AX18" s="1952"/>
      <c r="AY18" s="1954"/>
      <c r="AZ18" s="1202"/>
      <c r="BA18" s="1202"/>
      <c r="BB18" s="1202"/>
      <c r="BC18" s="1202"/>
      <c r="BD18" s="1202"/>
      <c r="BE18" s="1209"/>
    </row>
    <row r="19" spans="1:58" ht="14.4">
      <c r="A19" s="1202"/>
      <c r="B19" s="1955">
        <v>0.3</v>
      </c>
      <c r="C19" s="1956"/>
      <c r="D19" s="1956"/>
      <c r="E19" s="1956"/>
      <c r="F19" s="1956"/>
      <c r="G19" s="1956"/>
      <c r="H19" s="1956"/>
      <c r="I19" s="1957"/>
      <c r="J19" s="1958">
        <f t="shared" ref="J19:J24" si="0">SUM(P19:AS19)</f>
        <v>19</v>
      </c>
      <c r="K19" s="1959"/>
      <c r="L19" s="1959"/>
      <c r="M19" s="1959"/>
      <c r="N19" s="1959"/>
      <c r="O19" s="1960"/>
      <c r="P19" s="1958" cm="1">
        <f t="array" ref="P19">SUMPRODUCT((Application!$B$726:$B$760 = 'CalHFA Addendum'!P$18)*(Application!$AC$726:$AC$760 = 'CalHFA Addendum'!$B19),Application!$G$726:$G$760)</f>
        <v>4</v>
      </c>
      <c r="Q19" s="1959"/>
      <c r="R19" s="1959"/>
      <c r="S19" s="1959"/>
      <c r="T19" s="1959"/>
      <c r="U19" s="1960"/>
      <c r="V19" s="1958" cm="1">
        <f t="array" ref="V19">SUMPRODUCT((Application!$B$726:$B$760 = 'CalHFA Addendum'!V$18)*(Application!$AC$726:$AC$760 = 'CalHFA Addendum'!$B19),Application!$G$726:$G$760)</f>
        <v>9</v>
      </c>
      <c r="W19" s="1959"/>
      <c r="X19" s="1959"/>
      <c r="Y19" s="1959"/>
      <c r="Z19" s="1959"/>
      <c r="AA19" s="1960"/>
      <c r="AB19" s="1958" cm="1">
        <f t="array" ref="AB19">SUMPRODUCT((Application!$B$726:$B$760 = 'CalHFA Addendum'!AB$18)*(Application!$AC$726:$AC$760 = 'CalHFA Addendum'!$B19),Application!$G$726:$G$760)</f>
        <v>6</v>
      </c>
      <c r="AC19" s="1959"/>
      <c r="AD19" s="1959"/>
      <c r="AE19" s="1959"/>
      <c r="AF19" s="1959"/>
      <c r="AG19" s="1960"/>
      <c r="AH19" s="1958" cm="1">
        <f t="array" ref="AH19">SUMPRODUCT((Application!$B$726:$B$760 = 'CalHFA Addendum'!AH$18)*(Application!$AC$726:$AC$760 = 'CalHFA Addendum'!$B19),Application!$G$726:$G$760)</f>
        <v>0</v>
      </c>
      <c r="AI19" s="1959"/>
      <c r="AJ19" s="1959"/>
      <c r="AK19" s="1959"/>
      <c r="AL19" s="1959"/>
      <c r="AM19" s="1960"/>
      <c r="AN19" s="1958" cm="1">
        <f t="array" ref="AN19">SUMPRODUCT((Application!$B$726:$B$760 = 'CalHFA Addendum'!AN$18)*(Application!$AC$726:$AC$760 = 'CalHFA Addendum'!$B19),Application!$G$726:$G$760)</f>
        <v>0</v>
      </c>
      <c r="AO19" s="1959"/>
      <c r="AP19" s="1959"/>
      <c r="AQ19" s="1959"/>
      <c r="AR19" s="1959"/>
      <c r="AS19" s="1960"/>
      <c r="AT19" s="1961">
        <f>J19/$J$29</f>
        <v>0.10326086956521739</v>
      </c>
      <c r="AU19" s="1962"/>
      <c r="AV19" s="1962"/>
      <c r="AW19" s="1962"/>
      <c r="AX19" s="1962"/>
      <c r="AY19" s="1963"/>
      <c r="AZ19" s="1210"/>
      <c r="BA19" s="1202"/>
      <c r="BB19" s="1202"/>
      <c r="BC19" s="1202"/>
      <c r="BD19" s="1202"/>
      <c r="BE19" s="1209"/>
    </row>
    <row r="20" spans="1:58" ht="15" customHeight="1">
      <c r="A20" s="1202"/>
      <c r="B20" s="1955">
        <v>0.4</v>
      </c>
      <c r="C20" s="1956"/>
      <c r="D20" s="1956"/>
      <c r="E20" s="1956"/>
      <c r="F20" s="1956"/>
      <c r="G20" s="1956"/>
      <c r="H20" s="1956"/>
      <c r="I20" s="1957"/>
      <c r="J20" s="1958">
        <f t="shared" si="0"/>
        <v>0</v>
      </c>
      <c r="K20" s="1959"/>
      <c r="L20" s="1959"/>
      <c r="M20" s="1959"/>
      <c r="N20" s="1959"/>
      <c r="O20" s="1960"/>
      <c r="P20" s="1958" cm="1">
        <f t="array" ref="P20">SUMPRODUCT((Application!$B$726:$B$760 = 'CalHFA Addendum'!P$18)*(Application!$AC$726:$AC$760 = 'CalHFA Addendum'!$B20),Application!$G$726:$G$760)</f>
        <v>0</v>
      </c>
      <c r="Q20" s="1959"/>
      <c r="R20" s="1959"/>
      <c r="S20" s="1959"/>
      <c r="T20" s="1959"/>
      <c r="U20" s="1960"/>
      <c r="V20" s="1958" cm="1">
        <f t="array" ref="V20">SUMPRODUCT((Application!$B$726:$B$760 = 'CalHFA Addendum'!V$18)*(Application!$AC$726:$AC$760 = 'CalHFA Addendum'!$B20),Application!$G$726:$G$760)</f>
        <v>0</v>
      </c>
      <c r="W20" s="1959"/>
      <c r="X20" s="1959"/>
      <c r="Y20" s="1959"/>
      <c r="Z20" s="1959"/>
      <c r="AA20" s="1960"/>
      <c r="AB20" s="1958" cm="1">
        <f t="array" ref="AB20">SUMPRODUCT((Application!$B$726:$B$760 = 'CalHFA Addendum'!AB$18)*(Application!$AC$726:$AC$760 = 'CalHFA Addendum'!$B20),Application!$G$726:$G$760)</f>
        <v>0</v>
      </c>
      <c r="AC20" s="1959"/>
      <c r="AD20" s="1959"/>
      <c r="AE20" s="1959"/>
      <c r="AF20" s="1959"/>
      <c r="AG20" s="1960"/>
      <c r="AH20" s="1958" cm="1">
        <f t="array" ref="AH20">SUMPRODUCT((Application!$B$726:$B$760 = 'CalHFA Addendum'!AH$18)*(Application!$AC$726:$AC$760 = 'CalHFA Addendum'!$B20),Application!$G$726:$G$760)</f>
        <v>0</v>
      </c>
      <c r="AI20" s="1959"/>
      <c r="AJ20" s="1959"/>
      <c r="AK20" s="1959"/>
      <c r="AL20" s="1959"/>
      <c r="AM20" s="1960"/>
      <c r="AN20" s="1958" cm="1">
        <f t="array" ref="AN20">SUMPRODUCT((Application!$B$726:$B$760 = 'CalHFA Addendum'!AN$18)*(Application!$AC$726:$AC$760 = 'CalHFA Addendum'!$B20),Application!$G$726:$G$760)</f>
        <v>0</v>
      </c>
      <c r="AO20" s="1959"/>
      <c r="AP20" s="1959"/>
      <c r="AQ20" s="1959"/>
      <c r="AR20" s="1959"/>
      <c r="AS20" s="1960"/>
      <c r="AT20" s="1961">
        <f t="shared" ref="AT20:AT29" si="1">J20/$J$29</f>
        <v>0</v>
      </c>
      <c r="AU20" s="1962"/>
      <c r="AV20" s="1962"/>
      <c r="AW20" s="1962"/>
      <c r="AX20" s="1962"/>
      <c r="AY20" s="1963"/>
      <c r="AZ20" s="1202"/>
      <c r="BA20" s="1202"/>
      <c r="BB20" s="1202"/>
      <c r="BC20" s="1202"/>
      <c r="BD20" s="1202"/>
      <c r="BE20" s="1209"/>
    </row>
    <row r="21" spans="1:58" ht="14.4">
      <c r="A21" s="1202"/>
      <c r="B21" s="1955">
        <v>0.5</v>
      </c>
      <c r="C21" s="1956"/>
      <c r="D21" s="1956"/>
      <c r="E21" s="1956"/>
      <c r="F21" s="1956"/>
      <c r="G21" s="1956"/>
      <c r="H21" s="1956"/>
      <c r="I21" s="1957"/>
      <c r="J21" s="1958">
        <f t="shared" si="0"/>
        <v>23</v>
      </c>
      <c r="K21" s="1959"/>
      <c r="L21" s="1959"/>
      <c r="M21" s="1959"/>
      <c r="N21" s="1959"/>
      <c r="O21" s="1960"/>
      <c r="P21" s="1958" cm="1">
        <f t="array" ref="P21">SUMPRODUCT((Application!$B$726:$B$760 = 'CalHFA Addendum'!P$18)*(Application!$AC$726:$AC$760 = 'CalHFA Addendum'!$B21),Application!$G$726:$G$760)</f>
        <v>4</v>
      </c>
      <c r="Q21" s="1959"/>
      <c r="R21" s="1959"/>
      <c r="S21" s="1959"/>
      <c r="T21" s="1959"/>
      <c r="U21" s="1960"/>
      <c r="V21" s="1958" cm="1">
        <f t="array" ref="V21">SUMPRODUCT((Application!$B$726:$B$760 = 'CalHFA Addendum'!V$18)*(Application!$AC$726:$AC$760 = 'CalHFA Addendum'!$B21),Application!$G$726:$G$760)</f>
        <v>11</v>
      </c>
      <c r="W21" s="1959"/>
      <c r="X21" s="1959"/>
      <c r="Y21" s="1959"/>
      <c r="Z21" s="1959"/>
      <c r="AA21" s="1960"/>
      <c r="AB21" s="1958" cm="1">
        <f t="array" ref="AB21">SUMPRODUCT((Application!$B$726:$B$760 = 'CalHFA Addendum'!AB$18)*(Application!$AC$726:$AC$760 = 'CalHFA Addendum'!$B21),Application!$G$726:$G$760)</f>
        <v>8</v>
      </c>
      <c r="AC21" s="1959"/>
      <c r="AD21" s="1959"/>
      <c r="AE21" s="1959"/>
      <c r="AF21" s="1959"/>
      <c r="AG21" s="1960"/>
      <c r="AH21" s="1958" cm="1">
        <f t="array" ref="AH21">SUMPRODUCT((Application!$B$726:$B$760 = 'CalHFA Addendum'!AH$18)*(Application!$AC$726:$AC$760 = 'CalHFA Addendum'!$B21),Application!$G$726:$G$760)</f>
        <v>0</v>
      </c>
      <c r="AI21" s="1959"/>
      <c r="AJ21" s="1959"/>
      <c r="AK21" s="1959"/>
      <c r="AL21" s="1959"/>
      <c r="AM21" s="1960"/>
      <c r="AN21" s="1958" cm="1">
        <f t="array" ref="AN21">SUMPRODUCT((Application!$B$726:$B$760 = 'CalHFA Addendum'!AN$18)*(Application!$AC$726:$AC$760 = 'CalHFA Addendum'!$B21),Application!$G$726:$G$760)</f>
        <v>0</v>
      </c>
      <c r="AO21" s="1959"/>
      <c r="AP21" s="1959"/>
      <c r="AQ21" s="1959"/>
      <c r="AR21" s="1959"/>
      <c r="AS21" s="1960"/>
      <c r="AT21" s="1961">
        <f t="shared" si="1"/>
        <v>0.125</v>
      </c>
      <c r="AU21" s="1962"/>
      <c r="AV21" s="1962"/>
      <c r="AW21" s="1962"/>
      <c r="AX21" s="1962"/>
      <c r="AY21" s="1963"/>
      <c r="AZ21" s="1202"/>
      <c r="BA21" s="1202"/>
      <c r="BB21" s="1202"/>
      <c r="BC21" s="1202"/>
      <c r="BD21" s="1202"/>
      <c r="BE21" s="1209"/>
    </row>
    <row r="22" spans="1:58" ht="14.4">
      <c r="A22" s="1202"/>
      <c r="B22" s="1955">
        <v>0.6</v>
      </c>
      <c r="C22" s="1956"/>
      <c r="D22" s="1956"/>
      <c r="E22" s="1956"/>
      <c r="F22" s="1956"/>
      <c r="G22" s="1956"/>
      <c r="H22" s="1956"/>
      <c r="I22" s="1957"/>
      <c r="J22" s="1958">
        <f t="shared" si="0"/>
        <v>100</v>
      </c>
      <c r="K22" s="1959"/>
      <c r="L22" s="1959"/>
      <c r="M22" s="1959"/>
      <c r="N22" s="1959"/>
      <c r="O22" s="1960"/>
      <c r="P22" s="1958" cm="1">
        <f t="array" ref="P22">SUMPRODUCT((Application!$B$726:$B$760 = 'CalHFA Addendum'!P$18)*(Application!$AC$726:$AC$760 = 'CalHFA Addendum'!$B22),Application!$G$726:$G$760)</f>
        <v>4</v>
      </c>
      <c r="Q22" s="1959"/>
      <c r="R22" s="1959"/>
      <c r="S22" s="1959"/>
      <c r="T22" s="1959"/>
      <c r="U22" s="1960"/>
      <c r="V22" s="1958" cm="1">
        <f t="array" ref="V22">SUMPRODUCT((Application!$B$726:$B$760 = 'CalHFA Addendum'!V$18)*(Application!$AC$726:$AC$760 = 'CalHFA Addendum'!$B22),Application!$G$726:$G$760)</f>
        <v>70</v>
      </c>
      <c r="W22" s="1959"/>
      <c r="X22" s="1959"/>
      <c r="Y22" s="1959"/>
      <c r="Z22" s="1959"/>
      <c r="AA22" s="1960"/>
      <c r="AB22" s="1958" cm="1">
        <f t="array" ref="AB22">SUMPRODUCT((Application!$B$726:$B$760 = 'CalHFA Addendum'!AB$18)*(Application!$AC$726:$AC$760 = 'CalHFA Addendum'!$B22),Application!$G$726:$G$760)</f>
        <v>26</v>
      </c>
      <c r="AC22" s="1959"/>
      <c r="AD22" s="1959"/>
      <c r="AE22" s="1959"/>
      <c r="AF22" s="1959"/>
      <c r="AG22" s="1960"/>
      <c r="AH22" s="1958" cm="1">
        <f t="array" ref="AH22">SUMPRODUCT((Application!$B$726:$B$760 = 'CalHFA Addendum'!AH$18)*(Application!$AC$726:$AC$760 = 'CalHFA Addendum'!$B22),Application!$G$726:$G$760)</f>
        <v>0</v>
      </c>
      <c r="AI22" s="1959"/>
      <c r="AJ22" s="1959"/>
      <c r="AK22" s="1959"/>
      <c r="AL22" s="1959"/>
      <c r="AM22" s="1960"/>
      <c r="AN22" s="1958" cm="1">
        <f t="array" ref="AN22">SUMPRODUCT((Application!$B$726:$B$760 = 'CalHFA Addendum'!AN$18)*(Application!$AC$726:$AC$760 = 'CalHFA Addendum'!$B22),Application!$G$726:$G$760)</f>
        <v>0</v>
      </c>
      <c r="AO22" s="1959"/>
      <c r="AP22" s="1959"/>
      <c r="AQ22" s="1959"/>
      <c r="AR22" s="1959"/>
      <c r="AS22" s="1960"/>
      <c r="AT22" s="1961">
        <f t="shared" si="1"/>
        <v>0.54347826086956519</v>
      </c>
      <c r="AU22" s="1962"/>
      <c r="AV22" s="1962"/>
      <c r="AW22" s="1962"/>
      <c r="AX22" s="1962"/>
      <c r="AY22" s="1963"/>
      <c r="AZ22" s="1202"/>
      <c r="BA22" s="1202"/>
      <c r="BB22" s="1202"/>
      <c r="BC22" s="1202"/>
      <c r="BD22" s="1202"/>
      <c r="BE22" s="1209"/>
    </row>
    <row r="23" spans="1:58" ht="14.4">
      <c r="A23" s="1202"/>
      <c r="B23" s="1955">
        <v>0.7</v>
      </c>
      <c r="C23" s="1956"/>
      <c r="D23" s="1956"/>
      <c r="E23" s="1956"/>
      <c r="F23" s="1956"/>
      <c r="G23" s="1956"/>
      <c r="H23" s="1956"/>
      <c r="I23" s="1957"/>
      <c r="J23" s="1958">
        <f t="shared" si="0"/>
        <v>0</v>
      </c>
      <c r="K23" s="1959"/>
      <c r="L23" s="1959"/>
      <c r="M23" s="1959"/>
      <c r="N23" s="1959"/>
      <c r="O23" s="1960"/>
      <c r="P23" s="1958" cm="1">
        <f t="array" ref="P23">SUMPRODUCT((Application!$B$726:$B$760 = 'CalHFA Addendum'!P$18)*(Application!$AC$726:$AC$760 = 'CalHFA Addendum'!$B23),Application!$G$726:$G$760)</f>
        <v>0</v>
      </c>
      <c r="Q23" s="1959"/>
      <c r="R23" s="1959"/>
      <c r="S23" s="1959"/>
      <c r="T23" s="1959"/>
      <c r="U23" s="1960"/>
      <c r="V23" s="1958" cm="1">
        <f t="array" ref="V23">SUMPRODUCT((Application!$B$726:$B$760 = 'CalHFA Addendum'!V$18)*(Application!$AC$726:$AC$760 = 'CalHFA Addendum'!$B23),Application!$G$726:$G$760)</f>
        <v>0</v>
      </c>
      <c r="W23" s="1959"/>
      <c r="X23" s="1959"/>
      <c r="Y23" s="1959"/>
      <c r="Z23" s="1959"/>
      <c r="AA23" s="1960"/>
      <c r="AB23" s="1958" cm="1">
        <f t="array" ref="AB23">SUMPRODUCT((Application!$B$726:$B$760 = 'CalHFA Addendum'!AB$18)*(Application!$AC$726:$AC$760 = 'CalHFA Addendum'!$B23),Application!$G$726:$G$760)</f>
        <v>0</v>
      </c>
      <c r="AC23" s="1959"/>
      <c r="AD23" s="1959"/>
      <c r="AE23" s="1959"/>
      <c r="AF23" s="1959"/>
      <c r="AG23" s="1960"/>
      <c r="AH23" s="1958" cm="1">
        <f t="array" ref="AH23">SUMPRODUCT((Application!$B$726:$B$760 = 'CalHFA Addendum'!AH$18)*(Application!$AC$726:$AC$760 = 'CalHFA Addendum'!$B23),Application!$G$726:$G$760)</f>
        <v>0</v>
      </c>
      <c r="AI23" s="1959"/>
      <c r="AJ23" s="1959"/>
      <c r="AK23" s="1959"/>
      <c r="AL23" s="1959"/>
      <c r="AM23" s="1960"/>
      <c r="AN23" s="1958" cm="1">
        <f t="array" ref="AN23">SUMPRODUCT((Application!$B$726:$B$760 = 'CalHFA Addendum'!AN$18)*(Application!$AC$726:$AC$760 = 'CalHFA Addendum'!$B23),Application!$G$726:$G$760)</f>
        <v>0</v>
      </c>
      <c r="AO23" s="1959"/>
      <c r="AP23" s="1959"/>
      <c r="AQ23" s="1959"/>
      <c r="AR23" s="1959"/>
      <c r="AS23" s="1960"/>
      <c r="AT23" s="1961">
        <f t="shared" si="1"/>
        <v>0</v>
      </c>
      <c r="AU23" s="1962"/>
      <c r="AV23" s="1962"/>
      <c r="AW23" s="1962"/>
      <c r="AX23" s="1962"/>
      <c r="AY23" s="1963"/>
      <c r="AZ23" s="1202"/>
      <c r="BA23" s="1202"/>
      <c r="BB23" s="1202"/>
      <c r="BC23" s="1202"/>
      <c r="BD23" s="1202"/>
      <c r="BE23" s="1209"/>
    </row>
    <row r="24" spans="1:58" ht="14.4">
      <c r="A24" s="1202"/>
      <c r="B24" s="1955">
        <v>0.8</v>
      </c>
      <c r="C24" s="1956"/>
      <c r="D24" s="1956"/>
      <c r="E24" s="1956"/>
      <c r="F24" s="1956"/>
      <c r="G24" s="1956"/>
      <c r="H24" s="1956"/>
      <c r="I24" s="1957"/>
      <c r="J24" s="1958">
        <f t="shared" si="0"/>
        <v>40</v>
      </c>
      <c r="K24" s="1959"/>
      <c r="L24" s="1959"/>
      <c r="M24" s="1959"/>
      <c r="N24" s="1959"/>
      <c r="O24" s="1960"/>
      <c r="P24" s="1958" cm="1">
        <f t="array" ref="P24">SUMPRODUCT((Application!$B$726:$B$760 = 'CalHFA Addendum'!P$18)*(Application!$AC$726:$AC$760 = 'CalHFA Addendum'!$B24),Application!$G$726:$G$760)</f>
        <v>22</v>
      </c>
      <c r="Q24" s="1959"/>
      <c r="R24" s="1959"/>
      <c r="S24" s="1959"/>
      <c r="T24" s="1959"/>
      <c r="U24" s="1960"/>
      <c r="V24" s="1958" cm="1">
        <f t="array" ref="V24">SUMPRODUCT((Application!$B$726:$B$760 = 'CalHFA Addendum'!V$18)*(Application!$AC$726:$AC$760 = 'CalHFA Addendum'!$B24),Application!$G$726:$G$760)</f>
        <v>14</v>
      </c>
      <c r="W24" s="1959"/>
      <c r="X24" s="1959"/>
      <c r="Y24" s="1959"/>
      <c r="Z24" s="1959"/>
      <c r="AA24" s="1960"/>
      <c r="AB24" s="1958" cm="1">
        <f t="array" ref="AB24">SUMPRODUCT((Application!$B$726:$B$760 = 'CalHFA Addendum'!AB$18)*(Application!$AC$726:$AC$760 = 'CalHFA Addendum'!$B24),Application!$G$726:$G$760)</f>
        <v>4</v>
      </c>
      <c r="AC24" s="1959"/>
      <c r="AD24" s="1959"/>
      <c r="AE24" s="1959"/>
      <c r="AF24" s="1959"/>
      <c r="AG24" s="1960"/>
      <c r="AH24" s="1958" cm="1">
        <f t="array" ref="AH24">SUMPRODUCT((Application!$B$726:$B$760 = 'CalHFA Addendum'!AH$18)*(Application!$AC$726:$AC$760 = 'CalHFA Addendum'!$B24),Application!$G$726:$G$760)</f>
        <v>0</v>
      </c>
      <c r="AI24" s="1959"/>
      <c r="AJ24" s="1959"/>
      <c r="AK24" s="1959"/>
      <c r="AL24" s="1959"/>
      <c r="AM24" s="1960"/>
      <c r="AN24" s="1958" cm="1">
        <f t="array" ref="AN24">SUMPRODUCT((Application!$B$726:$B$760 = 'CalHFA Addendum'!AN$18)*(Application!$AC$726:$AC$760 = 'CalHFA Addendum'!$B24),Application!$G$726:$G$760)</f>
        <v>0</v>
      </c>
      <c r="AO24" s="1959"/>
      <c r="AP24" s="1959"/>
      <c r="AQ24" s="1959"/>
      <c r="AR24" s="1959"/>
      <c r="AS24" s="1960"/>
      <c r="AT24" s="1961">
        <f t="shared" si="1"/>
        <v>0.21739130434782608</v>
      </c>
      <c r="AU24" s="1962"/>
      <c r="AV24" s="1962"/>
      <c r="AW24" s="1962"/>
      <c r="AX24" s="1962"/>
      <c r="AY24" s="1963"/>
      <c r="AZ24" s="1202"/>
      <c r="BA24" s="1202"/>
      <c r="BB24" s="1202"/>
      <c r="BC24" s="1202"/>
      <c r="BD24" s="1202"/>
      <c r="BE24" s="1209"/>
    </row>
    <row r="25" spans="1:58" ht="14.4">
      <c r="A25" s="1202"/>
      <c r="B25" s="1955">
        <v>0.9</v>
      </c>
      <c r="C25" s="1956"/>
      <c r="D25" s="1956"/>
      <c r="E25" s="1956"/>
      <c r="F25" s="1956"/>
      <c r="G25" s="1956"/>
      <c r="H25" s="1956"/>
      <c r="I25" s="1957"/>
      <c r="J25" s="1964"/>
      <c r="K25" s="1965"/>
      <c r="L25" s="1965"/>
      <c r="M25" s="1965"/>
      <c r="N25" s="1965"/>
      <c r="O25" s="1966"/>
      <c r="P25" s="1964"/>
      <c r="Q25" s="1965"/>
      <c r="R25" s="1965"/>
      <c r="S25" s="1965"/>
      <c r="T25" s="1965"/>
      <c r="U25" s="1966"/>
      <c r="V25" s="1964"/>
      <c r="W25" s="1965"/>
      <c r="X25" s="1965"/>
      <c r="Y25" s="1965"/>
      <c r="Z25" s="1965"/>
      <c r="AA25" s="1966"/>
      <c r="AB25" s="1964"/>
      <c r="AC25" s="1965"/>
      <c r="AD25" s="1965"/>
      <c r="AE25" s="1965"/>
      <c r="AF25" s="1965"/>
      <c r="AG25" s="1966"/>
      <c r="AH25" s="1964"/>
      <c r="AI25" s="1965"/>
      <c r="AJ25" s="1965"/>
      <c r="AK25" s="1965"/>
      <c r="AL25" s="1965"/>
      <c r="AM25" s="1966"/>
      <c r="AN25" s="1964"/>
      <c r="AO25" s="1965"/>
      <c r="AP25" s="1965"/>
      <c r="AQ25" s="1965"/>
      <c r="AR25" s="1965"/>
      <c r="AS25" s="1966"/>
      <c r="AT25" s="1961">
        <f t="shared" si="1"/>
        <v>0</v>
      </c>
      <c r="AU25" s="1962"/>
      <c r="AV25" s="1962"/>
      <c r="AW25" s="1962"/>
      <c r="AX25" s="1962"/>
      <c r="AY25" s="1963"/>
      <c r="AZ25" s="1202"/>
      <c r="BA25" s="1202"/>
      <c r="BB25" s="1202"/>
      <c r="BC25" s="1202"/>
      <c r="BD25" s="1202"/>
      <c r="BE25" s="1209"/>
    </row>
    <row r="26" spans="1:58" ht="14.4">
      <c r="A26" s="1202"/>
      <c r="B26" s="1955">
        <v>1</v>
      </c>
      <c r="C26" s="1956"/>
      <c r="D26" s="1956"/>
      <c r="E26" s="1956"/>
      <c r="F26" s="1956"/>
      <c r="G26" s="1956"/>
      <c r="H26" s="1956"/>
      <c r="I26" s="1957"/>
      <c r="J26" s="1964"/>
      <c r="K26" s="1965"/>
      <c r="L26" s="1965"/>
      <c r="M26" s="1965"/>
      <c r="N26" s="1965"/>
      <c r="O26" s="1966"/>
      <c r="P26" s="1964"/>
      <c r="Q26" s="1965"/>
      <c r="R26" s="1965"/>
      <c r="S26" s="1965"/>
      <c r="T26" s="1965"/>
      <c r="U26" s="1966"/>
      <c r="V26" s="1964"/>
      <c r="W26" s="1965"/>
      <c r="X26" s="1965"/>
      <c r="Y26" s="1965"/>
      <c r="Z26" s="1965"/>
      <c r="AA26" s="1966"/>
      <c r="AB26" s="1964"/>
      <c r="AC26" s="1965"/>
      <c r="AD26" s="1965"/>
      <c r="AE26" s="1965"/>
      <c r="AF26" s="1965"/>
      <c r="AG26" s="1966"/>
      <c r="AH26" s="1964"/>
      <c r="AI26" s="1965"/>
      <c r="AJ26" s="1965"/>
      <c r="AK26" s="1965"/>
      <c r="AL26" s="1965"/>
      <c r="AM26" s="1966"/>
      <c r="AN26" s="1964"/>
      <c r="AO26" s="1965"/>
      <c r="AP26" s="1965"/>
      <c r="AQ26" s="1965"/>
      <c r="AR26" s="1965"/>
      <c r="AS26" s="1966"/>
      <c r="AT26" s="1961">
        <f t="shared" si="1"/>
        <v>0</v>
      </c>
      <c r="AU26" s="1962"/>
      <c r="AV26" s="1962"/>
      <c r="AW26" s="1962"/>
      <c r="AX26" s="1962"/>
      <c r="AY26" s="1963"/>
      <c r="AZ26" s="1202"/>
      <c r="BA26" s="1202"/>
      <c r="BB26" s="1202"/>
      <c r="BC26" s="1202"/>
      <c r="BD26" s="1202"/>
      <c r="BE26" s="1209"/>
    </row>
    <row r="27" spans="1:58" ht="14.4">
      <c r="A27" s="1202"/>
      <c r="B27" s="1955">
        <v>1.2</v>
      </c>
      <c r="C27" s="1956"/>
      <c r="D27" s="1956"/>
      <c r="E27" s="1956"/>
      <c r="F27" s="1956"/>
      <c r="G27" s="1956"/>
      <c r="H27" s="1956"/>
      <c r="I27" s="1957"/>
      <c r="J27" s="1964"/>
      <c r="K27" s="1965"/>
      <c r="L27" s="1965"/>
      <c r="M27" s="1965"/>
      <c r="N27" s="1965"/>
      <c r="O27" s="1966"/>
      <c r="P27" s="1964"/>
      <c r="Q27" s="1965"/>
      <c r="R27" s="1965"/>
      <c r="S27" s="1965"/>
      <c r="T27" s="1965"/>
      <c r="U27" s="1966"/>
      <c r="V27" s="1964"/>
      <c r="W27" s="1965"/>
      <c r="X27" s="1965"/>
      <c r="Y27" s="1965"/>
      <c r="Z27" s="1965"/>
      <c r="AA27" s="1966"/>
      <c r="AB27" s="1964"/>
      <c r="AC27" s="1965"/>
      <c r="AD27" s="1965"/>
      <c r="AE27" s="1965"/>
      <c r="AF27" s="1965"/>
      <c r="AG27" s="1966"/>
      <c r="AH27" s="1964"/>
      <c r="AI27" s="1965"/>
      <c r="AJ27" s="1965"/>
      <c r="AK27" s="1965"/>
      <c r="AL27" s="1965"/>
      <c r="AM27" s="1966"/>
      <c r="AN27" s="1964"/>
      <c r="AO27" s="1965"/>
      <c r="AP27" s="1965"/>
      <c r="AQ27" s="1965"/>
      <c r="AR27" s="1965"/>
      <c r="AS27" s="1966"/>
      <c r="AT27" s="1961">
        <f t="shared" si="1"/>
        <v>0</v>
      </c>
      <c r="AU27" s="1962"/>
      <c r="AV27" s="1962"/>
      <c r="AW27" s="1962"/>
      <c r="AX27" s="1962"/>
      <c r="AY27" s="1963"/>
      <c r="AZ27" s="1202"/>
      <c r="BA27" s="1202"/>
      <c r="BB27" s="1202"/>
      <c r="BC27" s="1202"/>
      <c r="BD27" s="1202"/>
      <c r="BE27" s="1209"/>
    </row>
    <row r="28" spans="1:58" ht="15" thickBot="1">
      <c r="A28" s="1202"/>
      <c r="B28" s="1967" t="s">
        <v>2358</v>
      </c>
      <c r="C28" s="1968"/>
      <c r="D28" s="1968"/>
      <c r="E28" s="1968"/>
      <c r="F28" s="1968"/>
      <c r="G28" s="1968"/>
      <c r="H28" s="1968"/>
      <c r="I28" s="1969"/>
      <c r="J28" s="1970">
        <f>SUM(P28:AS28)</f>
        <v>2</v>
      </c>
      <c r="K28" s="1971"/>
      <c r="L28" s="1971"/>
      <c r="M28" s="1971"/>
      <c r="N28" s="1971"/>
      <c r="O28" s="1972"/>
      <c r="P28" s="1970">
        <f>_xlfn.IFNA(VLOOKUP(P$18,Application!$J$781:$S$784,6,FALSE), 0)</f>
        <v>0</v>
      </c>
      <c r="Q28" s="1971"/>
      <c r="R28" s="1971"/>
      <c r="S28" s="1971"/>
      <c r="T28" s="1971"/>
      <c r="U28" s="1972"/>
      <c r="V28" s="1970">
        <f>_xlfn.IFNA(VLOOKUP(V$18,Application!$J$781:$S$784,6,FALSE), 0)</f>
        <v>0</v>
      </c>
      <c r="W28" s="1971"/>
      <c r="X28" s="1971"/>
      <c r="Y28" s="1971"/>
      <c r="Z28" s="1971"/>
      <c r="AA28" s="1972"/>
      <c r="AB28" s="1970">
        <f>_xlfn.IFNA(VLOOKUP(AB$18,Application!$J$781:$S$784,6,FALSE), 0)</f>
        <v>2</v>
      </c>
      <c r="AC28" s="1971"/>
      <c r="AD28" s="1971"/>
      <c r="AE28" s="1971"/>
      <c r="AF28" s="1971"/>
      <c r="AG28" s="1972"/>
      <c r="AH28" s="1970">
        <f>_xlfn.IFNA(VLOOKUP(AH$18,Application!$J$781:$S$784,6,FALSE), 0)</f>
        <v>0</v>
      </c>
      <c r="AI28" s="1971"/>
      <c r="AJ28" s="1971"/>
      <c r="AK28" s="1971"/>
      <c r="AL28" s="1971"/>
      <c r="AM28" s="1972"/>
      <c r="AN28" s="1970">
        <f>_xlfn.IFNA(VLOOKUP(AN$18,Application!$J$781:$S$784,6,FALSE), 0)</f>
        <v>0</v>
      </c>
      <c r="AO28" s="1971"/>
      <c r="AP28" s="1971"/>
      <c r="AQ28" s="1971"/>
      <c r="AR28" s="1971"/>
      <c r="AS28" s="1972"/>
      <c r="AT28" s="1973">
        <f t="shared" si="1"/>
        <v>1.0869565217391304E-2</v>
      </c>
      <c r="AU28" s="1974"/>
      <c r="AV28" s="1974"/>
      <c r="AW28" s="1974"/>
      <c r="AX28" s="1974"/>
      <c r="AY28" s="1975"/>
      <c r="AZ28" s="1202"/>
      <c r="BA28" s="1202"/>
      <c r="BB28" s="1202"/>
      <c r="BC28" s="1202"/>
      <c r="BD28" s="1202"/>
      <c r="BE28" s="1209"/>
    </row>
    <row r="29" spans="1:58" ht="15" thickBot="1">
      <c r="A29" s="1202"/>
      <c r="B29" s="2004" t="s">
        <v>1574</v>
      </c>
      <c r="C29" s="1977"/>
      <c r="D29" s="1977"/>
      <c r="E29" s="1977"/>
      <c r="F29" s="1977"/>
      <c r="G29" s="1977"/>
      <c r="H29" s="1977"/>
      <c r="I29" s="1978"/>
      <c r="J29" s="1976">
        <f>SUM(J19:O28)</f>
        <v>184</v>
      </c>
      <c r="K29" s="1977"/>
      <c r="L29" s="1977"/>
      <c r="M29" s="1977"/>
      <c r="N29" s="1977"/>
      <c r="O29" s="1978"/>
      <c r="P29" s="1976">
        <f>SUM(P19:U28)</f>
        <v>34</v>
      </c>
      <c r="Q29" s="1977"/>
      <c r="R29" s="1977"/>
      <c r="S29" s="1977"/>
      <c r="T29" s="1977"/>
      <c r="U29" s="1978"/>
      <c r="V29" s="1976">
        <f>SUM(V19:AA28)</f>
        <v>104</v>
      </c>
      <c r="W29" s="1977"/>
      <c r="X29" s="1977"/>
      <c r="Y29" s="1977"/>
      <c r="Z29" s="1977"/>
      <c r="AA29" s="1978"/>
      <c r="AB29" s="1976">
        <f>SUM(AB19:AG28)</f>
        <v>46</v>
      </c>
      <c r="AC29" s="1977"/>
      <c r="AD29" s="1977"/>
      <c r="AE29" s="1977"/>
      <c r="AF29" s="1977"/>
      <c r="AG29" s="1978"/>
      <c r="AH29" s="1976">
        <f>SUM(AH19:AM28)</f>
        <v>0</v>
      </c>
      <c r="AI29" s="1977"/>
      <c r="AJ29" s="1977"/>
      <c r="AK29" s="1977"/>
      <c r="AL29" s="1977"/>
      <c r="AM29" s="1978"/>
      <c r="AN29" s="1976">
        <f>SUM(AN19:AS28)</f>
        <v>0</v>
      </c>
      <c r="AO29" s="1977"/>
      <c r="AP29" s="1977"/>
      <c r="AQ29" s="1977"/>
      <c r="AR29" s="1977"/>
      <c r="AS29" s="1978"/>
      <c r="AT29" s="1979">
        <f t="shared" si="1"/>
        <v>1</v>
      </c>
      <c r="AU29" s="1980"/>
      <c r="AV29" s="1980"/>
      <c r="AW29" s="1980"/>
      <c r="AX29" s="1980"/>
      <c r="AY29" s="1981"/>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82" t="s">
        <v>2357</v>
      </c>
      <c r="C31" s="1983"/>
      <c r="D31" s="1983"/>
      <c r="E31" s="1983"/>
      <c r="F31" s="1983"/>
      <c r="G31" s="1983"/>
      <c r="H31" s="1983"/>
      <c r="I31" s="1983"/>
      <c r="J31" s="1983"/>
      <c r="K31" s="1983"/>
      <c r="L31" s="1983"/>
      <c r="M31" s="1983"/>
      <c r="N31" s="1983"/>
      <c r="O31" s="1983"/>
      <c r="P31" s="1983"/>
      <c r="Q31" s="1983"/>
      <c r="R31" s="1983"/>
      <c r="S31" s="1983"/>
      <c r="T31" s="1983"/>
      <c r="U31" s="1983"/>
      <c r="V31" s="1983"/>
      <c r="W31" s="1983"/>
      <c r="X31" s="1983"/>
      <c r="Y31" s="1983"/>
      <c r="Z31" s="1983"/>
      <c r="AA31" s="1983"/>
      <c r="AB31" s="1983"/>
      <c r="AC31" s="1983"/>
      <c r="AD31" s="1983"/>
      <c r="AE31" s="1983"/>
      <c r="AF31" s="1983"/>
      <c r="AG31" s="1983"/>
      <c r="AH31" s="1983"/>
      <c r="AI31" s="1983"/>
      <c r="AJ31" s="1983"/>
      <c r="AK31" s="1983"/>
      <c r="AL31" s="1983"/>
      <c r="AM31" s="1983"/>
      <c r="AN31" s="1983"/>
      <c r="AO31" s="1983"/>
      <c r="AP31" s="1983"/>
      <c r="AQ31" s="1983"/>
      <c r="AR31" s="1983"/>
      <c r="AS31" s="1983"/>
      <c r="AT31" s="1983"/>
      <c r="AU31" s="1983"/>
      <c r="AV31" s="1983"/>
      <c r="AW31" s="1983"/>
      <c r="AX31" s="1983"/>
      <c r="AY31" s="1983"/>
      <c r="AZ31" s="1983"/>
      <c r="BA31" s="1983"/>
      <c r="BB31" s="1983"/>
      <c r="BC31" s="1983"/>
      <c r="BD31" s="1984"/>
      <c r="BE31" s="1209"/>
    </row>
    <row r="32" spans="1:58" ht="15" thickBot="1">
      <c r="A32" s="1202"/>
      <c r="B32" s="1985" t="s">
        <v>2356</v>
      </c>
      <c r="C32" s="1986"/>
      <c r="D32" s="1986"/>
      <c r="E32" s="1986"/>
      <c r="F32" s="1986"/>
      <c r="G32" s="1986"/>
      <c r="H32" s="1986"/>
      <c r="I32" s="1986"/>
      <c r="J32" s="1989" t="s">
        <v>2355</v>
      </c>
      <c r="K32" s="1990"/>
      <c r="L32" s="1990"/>
      <c r="M32" s="1990"/>
      <c r="N32" s="1989" t="s">
        <v>2354</v>
      </c>
      <c r="O32" s="1990"/>
      <c r="P32" s="1990"/>
      <c r="Q32" s="1992"/>
      <c r="R32" s="1994" t="s">
        <v>2353</v>
      </c>
      <c r="S32" s="1995"/>
      <c r="T32" s="1995"/>
      <c r="U32" s="1995"/>
      <c r="V32" s="1995"/>
      <c r="W32" s="1995"/>
      <c r="X32" s="1995"/>
      <c r="Y32" s="1995"/>
      <c r="Z32" s="1995"/>
      <c r="AA32" s="1995"/>
      <c r="AB32" s="1995"/>
      <c r="AC32" s="1995"/>
      <c r="AD32" s="1995"/>
      <c r="AE32" s="1995"/>
      <c r="AF32" s="1995"/>
      <c r="AG32" s="1995"/>
      <c r="AH32" s="1995"/>
      <c r="AI32" s="1995"/>
      <c r="AJ32" s="1995"/>
      <c r="AK32" s="1995"/>
      <c r="AL32" s="1995"/>
      <c r="AM32" s="1995"/>
      <c r="AN32" s="1995"/>
      <c r="AO32" s="1995"/>
      <c r="AP32" s="1995"/>
      <c r="AQ32" s="1995"/>
      <c r="AR32" s="1995"/>
      <c r="AS32" s="1995"/>
      <c r="AT32" s="1995"/>
      <c r="AU32" s="1995"/>
      <c r="AV32" s="1995"/>
      <c r="AW32" s="1995"/>
      <c r="AX32" s="1995"/>
      <c r="AY32" s="1995"/>
      <c r="AZ32" s="1995"/>
      <c r="BA32" s="1995"/>
      <c r="BB32" s="1995"/>
      <c r="BC32" s="1995"/>
      <c r="BD32" s="1996"/>
      <c r="BE32" s="1209"/>
    </row>
    <row r="33" spans="1:58" ht="15" customHeight="1">
      <c r="A33" s="1202"/>
      <c r="B33" s="1987"/>
      <c r="C33" s="1988"/>
      <c r="D33" s="1988"/>
      <c r="E33" s="1988"/>
      <c r="F33" s="1988"/>
      <c r="G33" s="1988"/>
      <c r="H33" s="1988"/>
      <c r="I33" s="1988"/>
      <c r="J33" s="1991"/>
      <c r="K33" s="1991"/>
      <c r="L33" s="1991"/>
      <c r="M33" s="1991"/>
      <c r="N33" s="1991"/>
      <c r="O33" s="1991"/>
      <c r="P33" s="1991"/>
      <c r="Q33" s="1993"/>
      <c r="R33" s="1997" t="s">
        <v>2352</v>
      </c>
      <c r="S33" s="1998"/>
      <c r="T33" s="1998"/>
      <c r="U33" s="1998"/>
      <c r="V33" s="1998"/>
      <c r="W33" s="1998"/>
      <c r="X33" s="1998"/>
      <c r="Y33" s="1998"/>
      <c r="Z33" s="1998"/>
      <c r="AA33" s="1998"/>
      <c r="AB33" s="1998"/>
      <c r="AC33" s="1998"/>
      <c r="AD33" s="1998"/>
      <c r="AE33" s="1998"/>
      <c r="AF33" s="1998"/>
      <c r="AG33" s="1998"/>
      <c r="AH33" s="1998"/>
      <c r="AI33" s="1998"/>
      <c r="AJ33" s="1998"/>
      <c r="AK33" s="1998"/>
      <c r="AL33" s="1998"/>
      <c r="AM33" s="1998"/>
      <c r="AN33" s="1998"/>
      <c r="AO33" s="1998"/>
      <c r="AP33" s="1998"/>
      <c r="AQ33" s="1998"/>
      <c r="AR33" s="1998"/>
      <c r="AS33" s="1998"/>
      <c r="AT33" s="1998"/>
      <c r="AU33" s="1998"/>
      <c r="AV33" s="1998"/>
      <c r="AW33" s="1998"/>
      <c r="AX33" s="1998"/>
      <c r="AY33" s="1998"/>
      <c r="AZ33" s="1998"/>
      <c r="BA33" s="1998"/>
      <c r="BB33" s="1998"/>
      <c r="BC33" s="1998"/>
      <c r="BD33" s="1999"/>
      <c r="BE33" s="1209"/>
    </row>
    <row r="34" spans="1:58" ht="15.75" customHeight="1" thickBot="1">
      <c r="A34" s="1202"/>
      <c r="B34" s="1987"/>
      <c r="C34" s="1988"/>
      <c r="D34" s="1988"/>
      <c r="E34" s="1988"/>
      <c r="F34" s="1988"/>
      <c r="G34" s="1988"/>
      <c r="H34" s="1988"/>
      <c r="I34" s="1988"/>
      <c r="J34" s="1991"/>
      <c r="K34" s="1991"/>
      <c r="L34" s="1991"/>
      <c r="M34" s="1991"/>
      <c r="N34" s="1991"/>
      <c r="O34" s="1991"/>
      <c r="P34" s="1991"/>
      <c r="Q34" s="1993"/>
      <c r="R34" s="2000"/>
      <c r="S34" s="2001"/>
      <c r="T34" s="2001"/>
      <c r="U34" s="2001"/>
      <c r="V34" s="2001"/>
      <c r="W34" s="2001"/>
      <c r="X34" s="2001"/>
      <c r="Y34" s="2001"/>
      <c r="Z34" s="2001"/>
      <c r="AA34" s="2001"/>
      <c r="AB34" s="2001"/>
      <c r="AC34" s="2001"/>
      <c r="AD34" s="2001"/>
      <c r="AE34" s="2001"/>
      <c r="AF34" s="2001"/>
      <c r="AG34" s="2001"/>
      <c r="AH34" s="2001"/>
      <c r="AI34" s="2001"/>
      <c r="AJ34" s="2001"/>
      <c r="AK34" s="2001"/>
      <c r="AL34" s="2001"/>
      <c r="AM34" s="2001"/>
      <c r="AN34" s="2001"/>
      <c r="AO34" s="2001"/>
      <c r="AP34" s="2001"/>
      <c r="AQ34" s="2001"/>
      <c r="AR34" s="2001"/>
      <c r="AS34" s="2001"/>
      <c r="AT34" s="2001"/>
      <c r="AU34" s="2001"/>
      <c r="AV34" s="2001"/>
      <c r="AW34" s="2001"/>
      <c r="AX34" s="2001"/>
      <c r="AY34" s="2001"/>
      <c r="AZ34" s="2001"/>
      <c r="BA34" s="2001"/>
      <c r="BB34" s="2001"/>
      <c r="BC34" s="2001"/>
      <c r="BD34" s="2002"/>
      <c r="BE34" s="1209"/>
    </row>
    <row r="35" spans="1:58" ht="15.75" customHeight="1">
      <c r="A35" s="1202"/>
      <c r="B35" s="1987"/>
      <c r="C35" s="1988"/>
      <c r="D35" s="1988"/>
      <c r="E35" s="1988"/>
      <c r="F35" s="1988"/>
      <c r="G35" s="1988"/>
      <c r="H35" s="1988"/>
      <c r="I35" s="1988"/>
      <c r="J35" s="1991"/>
      <c r="K35" s="1991"/>
      <c r="L35" s="1991"/>
      <c r="M35" s="1991"/>
      <c r="N35" s="1991"/>
      <c r="O35" s="1991"/>
      <c r="P35" s="1991"/>
      <c r="Q35" s="1991"/>
      <c r="R35" s="2003">
        <v>0.3</v>
      </c>
      <c r="S35" s="2003"/>
      <c r="T35" s="2003"/>
      <c r="U35" s="2003"/>
      <c r="V35" s="2003">
        <v>0.4</v>
      </c>
      <c r="W35" s="2003"/>
      <c r="X35" s="2003"/>
      <c r="Y35" s="2003"/>
      <c r="Z35" s="2003">
        <v>0.5</v>
      </c>
      <c r="AA35" s="2003"/>
      <c r="AB35" s="2003"/>
      <c r="AC35" s="2003"/>
      <c r="AD35" s="2003">
        <v>0.6</v>
      </c>
      <c r="AE35" s="2003"/>
      <c r="AF35" s="2003"/>
      <c r="AG35" s="2003"/>
      <c r="AH35" s="2003">
        <v>0.7</v>
      </c>
      <c r="AI35" s="2003"/>
      <c r="AJ35" s="2003"/>
      <c r="AK35" s="2003"/>
      <c r="AL35" s="2008">
        <v>0.8</v>
      </c>
      <c r="AM35" s="2009"/>
      <c r="AN35" s="2009"/>
      <c r="AO35" s="2010"/>
      <c r="AP35" s="2011">
        <v>1.2</v>
      </c>
      <c r="AQ35" s="2012"/>
      <c r="AR35" s="2013"/>
      <c r="AS35" s="2005" t="s">
        <v>2351</v>
      </c>
      <c r="AT35" s="2006"/>
      <c r="AU35" s="2006"/>
      <c r="AV35" s="2006"/>
      <c r="AW35" s="2006"/>
      <c r="AX35" s="2014"/>
      <c r="AY35" s="2005" t="s">
        <v>2350</v>
      </c>
      <c r="AZ35" s="2006"/>
      <c r="BA35" s="2006"/>
      <c r="BB35" s="2006"/>
      <c r="BC35" s="2006"/>
      <c r="BD35" s="2007"/>
      <c r="BE35" s="1209"/>
    </row>
    <row r="36" spans="1:58" ht="15.75" customHeight="1">
      <c r="A36" s="1202"/>
      <c r="B36" s="2024" t="s">
        <v>2349</v>
      </c>
      <c r="C36" s="2025"/>
      <c r="D36" s="2025"/>
      <c r="E36" s="2025"/>
      <c r="F36" s="2025"/>
      <c r="G36" s="2025"/>
      <c r="H36" s="2025"/>
      <c r="I36" s="2025"/>
      <c r="J36" s="2026" t="s">
        <v>2348</v>
      </c>
      <c r="K36" s="2026"/>
      <c r="L36" s="2026"/>
      <c r="M36" s="2026"/>
      <c r="N36" s="2026">
        <v>55</v>
      </c>
      <c r="O36" s="2026"/>
      <c r="P36" s="2026"/>
      <c r="Q36" s="2026"/>
      <c r="R36" s="2027"/>
      <c r="S36" s="2027"/>
      <c r="T36" s="2027"/>
      <c r="U36" s="2027"/>
      <c r="V36" s="2027"/>
      <c r="W36" s="2027"/>
      <c r="X36" s="2027"/>
      <c r="Y36" s="2027"/>
      <c r="Z36" s="2027"/>
      <c r="AA36" s="2027"/>
      <c r="AB36" s="2027"/>
      <c r="AC36" s="2027"/>
      <c r="AD36" s="2027"/>
      <c r="AE36" s="2027"/>
      <c r="AF36" s="2027"/>
      <c r="AG36" s="2027"/>
      <c r="AH36" s="2027"/>
      <c r="AI36" s="2027"/>
      <c r="AJ36" s="2027"/>
      <c r="AK36" s="2027"/>
      <c r="AL36" s="2015"/>
      <c r="AM36" s="2016"/>
      <c r="AN36" s="2016"/>
      <c r="AO36" s="2017"/>
      <c r="AP36" s="2015"/>
      <c r="AQ36" s="2016"/>
      <c r="AR36" s="2017"/>
      <c r="AS36" s="2018">
        <f t="shared" ref="AS36:AS47" si="2">SUM(R36:AR36)</f>
        <v>0</v>
      </c>
      <c r="AT36" s="2019"/>
      <c r="AU36" s="2019"/>
      <c r="AV36" s="2019"/>
      <c r="AW36" s="2019"/>
      <c r="AX36" s="2020"/>
      <c r="AY36" s="2021">
        <f t="shared" ref="AY36:AY47" si="3">AS36/$J$29</f>
        <v>0</v>
      </c>
      <c r="AZ36" s="2022"/>
      <c r="BA36" s="2022"/>
      <c r="BB36" s="2022"/>
      <c r="BC36" s="2022"/>
      <c r="BD36" s="2023"/>
      <c r="BE36" s="1209"/>
    </row>
    <row r="37" spans="1:58" ht="15.75" customHeight="1">
      <c r="A37" s="1202"/>
      <c r="B37" s="2024" t="s">
        <v>2347</v>
      </c>
      <c r="C37" s="2025"/>
      <c r="D37" s="2025"/>
      <c r="E37" s="2025"/>
      <c r="F37" s="2025"/>
      <c r="G37" s="2025"/>
      <c r="H37" s="2025"/>
      <c r="I37" s="2025"/>
      <c r="J37" s="2026" t="s">
        <v>2346</v>
      </c>
      <c r="K37" s="2026"/>
      <c r="L37" s="2026"/>
      <c r="M37" s="2026"/>
      <c r="N37" s="2026">
        <v>55</v>
      </c>
      <c r="O37" s="2026"/>
      <c r="P37" s="2026"/>
      <c r="Q37" s="2026"/>
      <c r="R37" s="2027"/>
      <c r="S37" s="2027"/>
      <c r="T37" s="2027"/>
      <c r="U37" s="2027"/>
      <c r="V37" s="2027"/>
      <c r="W37" s="2027"/>
      <c r="X37" s="2027"/>
      <c r="Y37" s="2027"/>
      <c r="Z37" s="2027"/>
      <c r="AA37" s="2027"/>
      <c r="AB37" s="2027"/>
      <c r="AC37" s="2027"/>
      <c r="AD37" s="2027"/>
      <c r="AE37" s="2027"/>
      <c r="AF37" s="2027"/>
      <c r="AG37" s="2027"/>
      <c r="AH37" s="2027"/>
      <c r="AI37" s="2027"/>
      <c r="AJ37" s="2027"/>
      <c r="AK37" s="2027"/>
      <c r="AL37" s="2015"/>
      <c r="AM37" s="2016"/>
      <c r="AN37" s="2016"/>
      <c r="AO37" s="2017"/>
      <c r="AP37" s="2015"/>
      <c r="AQ37" s="2016"/>
      <c r="AR37" s="2017"/>
      <c r="AS37" s="2018">
        <f t="shared" si="2"/>
        <v>0</v>
      </c>
      <c r="AT37" s="2019"/>
      <c r="AU37" s="2019"/>
      <c r="AV37" s="2019"/>
      <c r="AW37" s="2019"/>
      <c r="AX37" s="2020"/>
      <c r="AY37" s="2021">
        <f t="shared" si="3"/>
        <v>0</v>
      </c>
      <c r="AZ37" s="2022"/>
      <c r="BA37" s="2022"/>
      <c r="BB37" s="2022"/>
      <c r="BC37" s="2022"/>
      <c r="BD37" s="2023"/>
      <c r="BE37" s="1209"/>
    </row>
    <row r="38" spans="1:58" ht="15.75" customHeight="1">
      <c r="A38" s="1202"/>
      <c r="B38" s="2024" t="s">
        <v>2345</v>
      </c>
      <c r="C38" s="2025"/>
      <c r="D38" s="2025"/>
      <c r="E38" s="2025"/>
      <c r="F38" s="2025"/>
      <c r="G38" s="2025"/>
      <c r="H38" s="2025"/>
      <c r="I38" s="2025"/>
      <c r="J38" s="2026" t="s">
        <v>2344</v>
      </c>
      <c r="K38" s="2026"/>
      <c r="L38" s="2026"/>
      <c r="M38" s="2026"/>
      <c r="N38" s="2026">
        <v>55</v>
      </c>
      <c r="O38" s="2026"/>
      <c r="P38" s="2026"/>
      <c r="Q38" s="2026"/>
      <c r="R38" s="2027"/>
      <c r="S38" s="2027"/>
      <c r="T38" s="2027"/>
      <c r="U38" s="2027"/>
      <c r="V38" s="2027"/>
      <c r="W38" s="2027"/>
      <c r="X38" s="2027"/>
      <c r="Y38" s="2027"/>
      <c r="Z38" s="2027"/>
      <c r="AA38" s="2027"/>
      <c r="AB38" s="2027"/>
      <c r="AC38" s="2027"/>
      <c r="AD38" s="2027"/>
      <c r="AE38" s="2027"/>
      <c r="AF38" s="2027"/>
      <c r="AG38" s="2027"/>
      <c r="AH38" s="2027"/>
      <c r="AI38" s="2027"/>
      <c r="AJ38" s="2027"/>
      <c r="AK38" s="2027"/>
      <c r="AL38" s="2015"/>
      <c r="AM38" s="2016"/>
      <c r="AN38" s="2016"/>
      <c r="AO38" s="2017"/>
      <c r="AP38" s="2015"/>
      <c r="AQ38" s="2016"/>
      <c r="AR38" s="2017"/>
      <c r="AS38" s="2018">
        <f t="shared" si="2"/>
        <v>0</v>
      </c>
      <c r="AT38" s="2019"/>
      <c r="AU38" s="2019"/>
      <c r="AV38" s="2019"/>
      <c r="AW38" s="2019"/>
      <c r="AX38" s="2020"/>
      <c r="AY38" s="2021">
        <f t="shared" si="3"/>
        <v>0</v>
      </c>
      <c r="AZ38" s="2022"/>
      <c r="BA38" s="2022"/>
      <c r="BB38" s="2022"/>
      <c r="BC38" s="2022"/>
      <c r="BD38" s="2023"/>
      <c r="BE38" s="1209"/>
    </row>
    <row r="39" spans="1:58" ht="15.75" customHeight="1">
      <c r="A39" s="1202"/>
      <c r="B39" s="2024" t="s">
        <v>2343</v>
      </c>
      <c r="C39" s="2025"/>
      <c r="D39" s="2025"/>
      <c r="E39" s="2025"/>
      <c r="F39" s="2025"/>
      <c r="G39" s="2025"/>
      <c r="H39" s="2025"/>
      <c r="I39" s="2025"/>
      <c r="J39" s="2026"/>
      <c r="K39" s="2026"/>
      <c r="L39" s="2026"/>
      <c r="M39" s="2026"/>
      <c r="N39" s="2026"/>
      <c r="O39" s="2026"/>
      <c r="P39" s="2026"/>
      <c r="Q39" s="2026"/>
      <c r="R39" s="2027"/>
      <c r="S39" s="2027"/>
      <c r="T39" s="2027"/>
      <c r="U39" s="2027"/>
      <c r="V39" s="2027"/>
      <c r="W39" s="2027"/>
      <c r="X39" s="2027"/>
      <c r="Y39" s="2027"/>
      <c r="Z39" s="2027"/>
      <c r="AA39" s="2027"/>
      <c r="AB39" s="2027"/>
      <c r="AC39" s="2027"/>
      <c r="AD39" s="2027"/>
      <c r="AE39" s="2027"/>
      <c r="AF39" s="2027"/>
      <c r="AG39" s="2027"/>
      <c r="AH39" s="2027"/>
      <c r="AI39" s="2027"/>
      <c r="AJ39" s="2027"/>
      <c r="AK39" s="2027"/>
      <c r="AL39" s="2015"/>
      <c r="AM39" s="2016"/>
      <c r="AN39" s="2016"/>
      <c r="AO39" s="2017"/>
      <c r="AP39" s="2015"/>
      <c r="AQ39" s="2016"/>
      <c r="AR39" s="2017"/>
      <c r="AS39" s="2018">
        <f t="shared" si="2"/>
        <v>0</v>
      </c>
      <c r="AT39" s="2019"/>
      <c r="AU39" s="2019"/>
      <c r="AV39" s="2019"/>
      <c r="AW39" s="2019"/>
      <c r="AX39" s="2020"/>
      <c r="AY39" s="2021">
        <f t="shared" si="3"/>
        <v>0</v>
      </c>
      <c r="AZ39" s="2022"/>
      <c r="BA39" s="2022"/>
      <c r="BB39" s="2022"/>
      <c r="BC39" s="2022"/>
      <c r="BD39" s="2023"/>
      <c r="BE39" s="1209"/>
    </row>
    <row r="40" spans="1:58" ht="15.75" customHeight="1">
      <c r="A40" s="1202"/>
      <c r="B40" s="2024" t="s">
        <v>2343</v>
      </c>
      <c r="C40" s="2025"/>
      <c r="D40" s="2025"/>
      <c r="E40" s="2025"/>
      <c r="F40" s="2025"/>
      <c r="G40" s="2025"/>
      <c r="H40" s="2025"/>
      <c r="I40" s="2025"/>
      <c r="J40" s="2026"/>
      <c r="K40" s="2026"/>
      <c r="L40" s="2026"/>
      <c r="M40" s="2026"/>
      <c r="N40" s="2026"/>
      <c r="O40" s="2026"/>
      <c r="P40" s="2026"/>
      <c r="Q40" s="2026"/>
      <c r="R40" s="2027"/>
      <c r="S40" s="2027"/>
      <c r="T40" s="2027"/>
      <c r="U40" s="2027"/>
      <c r="V40" s="2027"/>
      <c r="W40" s="2027"/>
      <c r="X40" s="2027"/>
      <c r="Y40" s="2027"/>
      <c r="Z40" s="2027"/>
      <c r="AA40" s="2027"/>
      <c r="AB40" s="2027"/>
      <c r="AC40" s="2027"/>
      <c r="AD40" s="2027"/>
      <c r="AE40" s="2027"/>
      <c r="AF40" s="2027"/>
      <c r="AG40" s="2027"/>
      <c r="AH40" s="2027"/>
      <c r="AI40" s="2027"/>
      <c r="AJ40" s="2027"/>
      <c r="AK40" s="2027"/>
      <c r="AL40" s="2015"/>
      <c r="AM40" s="2016"/>
      <c r="AN40" s="2016"/>
      <c r="AO40" s="2017"/>
      <c r="AP40" s="2015"/>
      <c r="AQ40" s="2016"/>
      <c r="AR40" s="2017"/>
      <c r="AS40" s="2018">
        <f t="shared" si="2"/>
        <v>0</v>
      </c>
      <c r="AT40" s="2019"/>
      <c r="AU40" s="2019"/>
      <c r="AV40" s="2019"/>
      <c r="AW40" s="2019"/>
      <c r="AX40" s="2020"/>
      <c r="AY40" s="2021">
        <f t="shared" si="3"/>
        <v>0</v>
      </c>
      <c r="AZ40" s="2022"/>
      <c r="BA40" s="2022"/>
      <c r="BB40" s="2022"/>
      <c r="BC40" s="2022"/>
      <c r="BD40" s="2023"/>
      <c r="BE40" s="1209"/>
    </row>
    <row r="41" spans="1:58" ht="15.75" customHeight="1">
      <c r="A41" s="1202"/>
      <c r="B41" s="2024" t="s">
        <v>2342</v>
      </c>
      <c r="C41" s="2025"/>
      <c r="D41" s="2025"/>
      <c r="E41" s="2025"/>
      <c r="F41" s="2025"/>
      <c r="G41" s="2025"/>
      <c r="H41" s="2025"/>
      <c r="I41" s="2025"/>
      <c r="J41" s="2026"/>
      <c r="K41" s="2026"/>
      <c r="L41" s="2026"/>
      <c r="M41" s="2026"/>
      <c r="N41" s="2026"/>
      <c r="O41" s="2026"/>
      <c r="P41" s="2026"/>
      <c r="Q41" s="2026"/>
      <c r="R41" s="2027"/>
      <c r="S41" s="2027"/>
      <c r="T41" s="2027"/>
      <c r="U41" s="2027"/>
      <c r="V41" s="2027"/>
      <c r="W41" s="2027"/>
      <c r="X41" s="2027"/>
      <c r="Y41" s="2027"/>
      <c r="Z41" s="2027"/>
      <c r="AA41" s="2027"/>
      <c r="AB41" s="2027"/>
      <c r="AC41" s="2027"/>
      <c r="AD41" s="2027"/>
      <c r="AE41" s="2027"/>
      <c r="AF41" s="2027"/>
      <c r="AG41" s="2027"/>
      <c r="AH41" s="2027"/>
      <c r="AI41" s="2027"/>
      <c r="AJ41" s="2027"/>
      <c r="AK41" s="2027"/>
      <c r="AL41" s="2015"/>
      <c r="AM41" s="2016"/>
      <c r="AN41" s="2016"/>
      <c r="AO41" s="2017"/>
      <c r="AP41" s="2015"/>
      <c r="AQ41" s="2016"/>
      <c r="AR41" s="2017"/>
      <c r="AS41" s="2018">
        <f t="shared" si="2"/>
        <v>0</v>
      </c>
      <c r="AT41" s="2019"/>
      <c r="AU41" s="2019"/>
      <c r="AV41" s="2019"/>
      <c r="AW41" s="2019"/>
      <c r="AX41" s="2020"/>
      <c r="AY41" s="2021">
        <f t="shared" si="3"/>
        <v>0</v>
      </c>
      <c r="AZ41" s="2022"/>
      <c r="BA41" s="2022"/>
      <c r="BB41" s="2022"/>
      <c r="BC41" s="2022"/>
      <c r="BD41" s="2023"/>
      <c r="BE41" s="1209"/>
    </row>
    <row r="42" spans="1:58" ht="15.75" customHeight="1">
      <c r="A42" s="1202"/>
      <c r="B42" s="2024" t="s">
        <v>2342</v>
      </c>
      <c r="C42" s="2025"/>
      <c r="D42" s="2025"/>
      <c r="E42" s="2025"/>
      <c r="F42" s="2025"/>
      <c r="G42" s="2025"/>
      <c r="H42" s="2025"/>
      <c r="I42" s="2025"/>
      <c r="J42" s="2026"/>
      <c r="K42" s="2026"/>
      <c r="L42" s="2026"/>
      <c r="M42" s="2026"/>
      <c r="N42" s="2026"/>
      <c r="O42" s="2026"/>
      <c r="P42" s="2026"/>
      <c r="Q42" s="2026"/>
      <c r="R42" s="2027"/>
      <c r="S42" s="2027"/>
      <c r="T42" s="2027"/>
      <c r="U42" s="2027"/>
      <c r="V42" s="2027"/>
      <c r="W42" s="2027"/>
      <c r="X42" s="2027"/>
      <c r="Y42" s="2027"/>
      <c r="Z42" s="2027"/>
      <c r="AA42" s="2027"/>
      <c r="AB42" s="2027"/>
      <c r="AC42" s="2027"/>
      <c r="AD42" s="2027"/>
      <c r="AE42" s="2027"/>
      <c r="AF42" s="2027"/>
      <c r="AG42" s="2027"/>
      <c r="AH42" s="2027"/>
      <c r="AI42" s="2027"/>
      <c r="AJ42" s="2027"/>
      <c r="AK42" s="2027"/>
      <c r="AL42" s="2015"/>
      <c r="AM42" s="2016"/>
      <c r="AN42" s="2016"/>
      <c r="AO42" s="2017"/>
      <c r="AP42" s="2015"/>
      <c r="AQ42" s="2016"/>
      <c r="AR42" s="2017"/>
      <c r="AS42" s="2018">
        <f t="shared" si="2"/>
        <v>0</v>
      </c>
      <c r="AT42" s="2019"/>
      <c r="AU42" s="2019"/>
      <c r="AV42" s="2019"/>
      <c r="AW42" s="2019"/>
      <c r="AX42" s="2020"/>
      <c r="AY42" s="2021">
        <f t="shared" si="3"/>
        <v>0</v>
      </c>
      <c r="AZ42" s="2022"/>
      <c r="BA42" s="2022"/>
      <c r="BB42" s="2022"/>
      <c r="BC42" s="2022"/>
      <c r="BD42" s="2023"/>
      <c r="BE42" s="1209"/>
    </row>
    <row r="43" spans="1:58" ht="15.75" customHeight="1">
      <c r="A43" s="1202"/>
      <c r="B43" s="2028" t="s">
        <v>2341</v>
      </c>
      <c r="C43" s="2029"/>
      <c r="D43" s="2029"/>
      <c r="E43" s="2029"/>
      <c r="F43" s="2029"/>
      <c r="G43" s="2029"/>
      <c r="H43" s="2029"/>
      <c r="I43" s="2029"/>
      <c r="J43" s="2026"/>
      <c r="K43" s="2026"/>
      <c r="L43" s="2026"/>
      <c r="M43" s="2026"/>
      <c r="N43" s="2026"/>
      <c r="O43" s="2026"/>
      <c r="P43" s="2026"/>
      <c r="Q43" s="2026"/>
      <c r="R43" s="2027"/>
      <c r="S43" s="2027"/>
      <c r="T43" s="2027"/>
      <c r="U43" s="2027"/>
      <c r="V43" s="2027"/>
      <c r="W43" s="2027"/>
      <c r="X43" s="2027"/>
      <c r="Y43" s="2027"/>
      <c r="Z43" s="2027"/>
      <c r="AA43" s="2027"/>
      <c r="AB43" s="2027"/>
      <c r="AC43" s="2027"/>
      <c r="AD43" s="2027"/>
      <c r="AE43" s="2027"/>
      <c r="AF43" s="2027"/>
      <c r="AG43" s="2027"/>
      <c r="AH43" s="2027"/>
      <c r="AI43" s="2027"/>
      <c r="AJ43" s="2027"/>
      <c r="AK43" s="2027"/>
      <c r="AL43" s="2015"/>
      <c r="AM43" s="2016"/>
      <c r="AN43" s="2016"/>
      <c r="AO43" s="2017"/>
      <c r="AP43" s="2015"/>
      <c r="AQ43" s="2016"/>
      <c r="AR43" s="2017"/>
      <c r="AS43" s="2018">
        <f t="shared" si="2"/>
        <v>0</v>
      </c>
      <c r="AT43" s="2019"/>
      <c r="AU43" s="2019"/>
      <c r="AV43" s="2019"/>
      <c r="AW43" s="2019"/>
      <c r="AX43" s="2020"/>
      <c r="AY43" s="2021">
        <f t="shared" si="3"/>
        <v>0</v>
      </c>
      <c r="AZ43" s="2022"/>
      <c r="BA43" s="2022"/>
      <c r="BB43" s="2022"/>
      <c r="BC43" s="2022"/>
      <c r="BD43" s="2023"/>
      <c r="BE43" s="1209"/>
    </row>
    <row r="44" spans="1:58" ht="15.75" customHeight="1">
      <c r="A44" s="1202"/>
      <c r="B44" s="2028" t="s">
        <v>2340</v>
      </c>
      <c r="C44" s="2029"/>
      <c r="D44" s="2029"/>
      <c r="E44" s="2029"/>
      <c r="F44" s="2029"/>
      <c r="G44" s="2029"/>
      <c r="H44" s="2029"/>
      <c r="I44" s="2029"/>
      <c r="J44" s="2026"/>
      <c r="K44" s="2026"/>
      <c r="L44" s="2026"/>
      <c r="M44" s="2026"/>
      <c r="N44" s="2026"/>
      <c r="O44" s="2026"/>
      <c r="P44" s="2026"/>
      <c r="Q44" s="2026"/>
      <c r="R44" s="2027"/>
      <c r="S44" s="2027"/>
      <c r="T44" s="2027"/>
      <c r="U44" s="2027"/>
      <c r="V44" s="2027"/>
      <c r="W44" s="2027"/>
      <c r="X44" s="2027"/>
      <c r="Y44" s="2027"/>
      <c r="Z44" s="2027"/>
      <c r="AA44" s="2027"/>
      <c r="AB44" s="2027"/>
      <c r="AC44" s="2027"/>
      <c r="AD44" s="2027"/>
      <c r="AE44" s="2027"/>
      <c r="AF44" s="2027"/>
      <c r="AG44" s="2027"/>
      <c r="AH44" s="2027"/>
      <c r="AI44" s="2027"/>
      <c r="AJ44" s="2027"/>
      <c r="AK44" s="2027"/>
      <c r="AL44" s="2015"/>
      <c r="AM44" s="2016"/>
      <c r="AN44" s="2016"/>
      <c r="AO44" s="2017"/>
      <c r="AP44" s="2015"/>
      <c r="AQ44" s="2016"/>
      <c r="AR44" s="2017"/>
      <c r="AS44" s="2018">
        <f t="shared" si="2"/>
        <v>0</v>
      </c>
      <c r="AT44" s="2019"/>
      <c r="AU44" s="2019"/>
      <c r="AV44" s="2019"/>
      <c r="AW44" s="2019"/>
      <c r="AX44" s="2020"/>
      <c r="AY44" s="2021">
        <f t="shared" si="3"/>
        <v>0</v>
      </c>
      <c r="AZ44" s="2022"/>
      <c r="BA44" s="2022"/>
      <c r="BB44" s="2022"/>
      <c r="BC44" s="2022"/>
      <c r="BD44" s="2023"/>
      <c r="BE44" s="1209"/>
    </row>
    <row r="45" spans="1:58" ht="15.75" customHeight="1">
      <c r="A45" s="1202"/>
      <c r="B45" s="2028" t="s">
        <v>2339</v>
      </c>
      <c r="C45" s="2029"/>
      <c r="D45" s="2029"/>
      <c r="E45" s="2029"/>
      <c r="F45" s="2029"/>
      <c r="G45" s="2029"/>
      <c r="H45" s="2029"/>
      <c r="I45" s="2029"/>
      <c r="J45" s="2026"/>
      <c r="K45" s="2026"/>
      <c r="L45" s="2026"/>
      <c r="M45" s="2026"/>
      <c r="N45" s="2026"/>
      <c r="O45" s="2026"/>
      <c r="P45" s="2026"/>
      <c r="Q45" s="2026"/>
      <c r="R45" s="2027"/>
      <c r="S45" s="2027"/>
      <c r="T45" s="2027"/>
      <c r="U45" s="2027"/>
      <c r="V45" s="2027"/>
      <c r="W45" s="2027"/>
      <c r="X45" s="2027"/>
      <c r="Y45" s="2027"/>
      <c r="Z45" s="2027"/>
      <c r="AA45" s="2027"/>
      <c r="AB45" s="2027"/>
      <c r="AC45" s="2027"/>
      <c r="AD45" s="2027"/>
      <c r="AE45" s="2027"/>
      <c r="AF45" s="2027"/>
      <c r="AG45" s="2027"/>
      <c r="AH45" s="2027"/>
      <c r="AI45" s="2027"/>
      <c r="AJ45" s="2027"/>
      <c r="AK45" s="2027"/>
      <c r="AL45" s="2015"/>
      <c r="AM45" s="2016"/>
      <c r="AN45" s="2016"/>
      <c r="AO45" s="2017"/>
      <c r="AP45" s="2015"/>
      <c r="AQ45" s="2016"/>
      <c r="AR45" s="2017"/>
      <c r="AS45" s="2018">
        <f t="shared" si="2"/>
        <v>0</v>
      </c>
      <c r="AT45" s="2019"/>
      <c r="AU45" s="2019"/>
      <c r="AV45" s="2019"/>
      <c r="AW45" s="2019"/>
      <c r="AX45" s="2020"/>
      <c r="AY45" s="2021">
        <f t="shared" si="3"/>
        <v>0</v>
      </c>
      <c r="AZ45" s="2022"/>
      <c r="BA45" s="2022"/>
      <c r="BB45" s="2022"/>
      <c r="BC45" s="2022"/>
      <c r="BD45" s="2023"/>
      <c r="BE45" s="1209"/>
    </row>
    <row r="46" spans="1:58" ht="15.75" customHeight="1">
      <c r="A46" s="1202"/>
      <c r="B46" s="2028" t="s">
        <v>2271</v>
      </c>
      <c r="C46" s="2029"/>
      <c r="D46" s="2029"/>
      <c r="E46" s="2029"/>
      <c r="F46" s="2029"/>
      <c r="G46" s="2029"/>
      <c r="H46" s="2029"/>
      <c r="I46" s="2029"/>
      <c r="J46" s="2026"/>
      <c r="K46" s="2026"/>
      <c r="L46" s="2026"/>
      <c r="M46" s="2026"/>
      <c r="N46" s="2026">
        <v>99</v>
      </c>
      <c r="O46" s="2026"/>
      <c r="P46" s="2026"/>
      <c r="Q46" s="2026"/>
      <c r="R46" s="2027"/>
      <c r="S46" s="2027"/>
      <c r="T46" s="2027"/>
      <c r="U46" s="2027"/>
      <c r="V46" s="2027"/>
      <c r="W46" s="2027"/>
      <c r="X46" s="2027"/>
      <c r="Y46" s="2027"/>
      <c r="Z46" s="2027"/>
      <c r="AA46" s="2027"/>
      <c r="AB46" s="2027"/>
      <c r="AC46" s="2027"/>
      <c r="AD46" s="2027"/>
      <c r="AE46" s="2027"/>
      <c r="AF46" s="2027"/>
      <c r="AG46" s="2027"/>
      <c r="AH46" s="2027"/>
      <c r="AI46" s="2027"/>
      <c r="AJ46" s="2027"/>
      <c r="AK46" s="2027"/>
      <c r="AL46" s="2015"/>
      <c r="AM46" s="2016"/>
      <c r="AN46" s="2016"/>
      <c r="AO46" s="2017"/>
      <c r="AP46" s="2015"/>
      <c r="AQ46" s="2016"/>
      <c r="AR46" s="2017"/>
      <c r="AS46" s="2018">
        <f t="shared" si="2"/>
        <v>0</v>
      </c>
      <c r="AT46" s="2019"/>
      <c r="AU46" s="2019"/>
      <c r="AV46" s="2019"/>
      <c r="AW46" s="2019"/>
      <c r="AX46" s="2020"/>
      <c r="AY46" s="2021">
        <f t="shared" si="3"/>
        <v>0</v>
      </c>
      <c r="AZ46" s="2022"/>
      <c r="BA46" s="2022"/>
      <c r="BB46" s="2022"/>
      <c r="BC46" s="2022"/>
      <c r="BD46" s="2023"/>
      <c r="BE46" s="1209"/>
    </row>
    <row r="47" spans="1:58" ht="15.75" customHeight="1" thickBot="1">
      <c r="A47" s="1202"/>
      <c r="B47" s="2030" t="s">
        <v>300</v>
      </c>
      <c r="C47" s="2031"/>
      <c r="D47" s="2031"/>
      <c r="E47" s="2031"/>
      <c r="F47" s="2031"/>
      <c r="G47" s="2031"/>
      <c r="H47" s="2031"/>
      <c r="I47" s="2031"/>
      <c r="J47" s="2032"/>
      <c r="K47" s="2032"/>
      <c r="L47" s="2032"/>
      <c r="M47" s="2032"/>
      <c r="N47" s="2032"/>
      <c r="O47" s="2032"/>
      <c r="P47" s="2032"/>
      <c r="Q47" s="2032"/>
      <c r="R47" s="2033"/>
      <c r="S47" s="2033"/>
      <c r="T47" s="2033"/>
      <c r="U47" s="2033"/>
      <c r="V47" s="2033"/>
      <c r="W47" s="2033"/>
      <c r="X47" s="2033"/>
      <c r="Y47" s="2033"/>
      <c r="Z47" s="2033"/>
      <c r="AA47" s="2033"/>
      <c r="AB47" s="2033"/>
      <c r="AC47" s="2033"/>
      <c r="AD47" s="2033"/>
      <c r="AE47" s="2033"/>
      <c r="AF47" s="2033"/>
      <c r="AG47" s="2033"/>
      <c r="AH47" s="2033"/>
      <c r="AI47" s="2033"/>
      <c r="AJ47" s="2033"/>
      <c r="AK47" s="2033"/>
      <c r="AL47" s="2037"/>
      <c r="AM47" s="2038"/>
      <c r="AN47" s="2038"/>
      <c r="AO47" s="2039"/>
      <c r="AP47" s="2037"/>
      <c r="AQ47" s="2038"/>
      <c r="AR47" s="2039"/>
      <c r="AS47" s="2018">
        <f t="shared" si="2"/>
        <v>0</v>
      </c>
      <c r="AT47" s="2019"/>
      <c r="AU47" s="2019"/>
      <c r="AV47" s="2019"/>
      <c r="AW47" s="2019"/>
      <c r="AX47" s="2020"/>
      <c r="AY47" s="2034">
        <f t="shared" si="3"/>
        <v>0</v>
      </c>
      <c r="AZ47" s="2035"/>
      <c r="BA47" s="2035"/>
      <c r="BB47" s="2035"/>
      <c r="BC47" s="2035"/>
      <c r="BD47" s="2036"/>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0" t="s">
        <v>2336</v>
      </c>
      <c r="C50" s="2041"/>
      <c r="D50" s="2041"/>
      <c r="E50" s="2041"/>
      <c r="F50" s="2041"/>
      <c r="G50" s="2041"/>
      <c r="H50" s="2041"/>
      <c r="I50" s="2041"/>
      <c r="J50" s="2041"/>
      <c r="K50" s="2041"/>
      <c r="L50" s="2041"/>
      <c r="M50" s="2041"/>
      <c r="N50" s="2041"/>
      <c r="O50" s="2041"/>
      <c r="P50" s="2041"/>
      <c r="Q50" s="2041"/>
      <c r="R50" s="2041"/>
      <c r="S50" s="2041"/>
      <c r="T50" s="2041"/>
      <c r="U50" s="2041"/>
      <c r="V50" s="2041"/>
      <c r="W50" s="2041"/>
      <c r="X50" s="2041"/>
      <c r="Y50" s="2041"/>
      <c r="Z50" s="2041"/>
      <c r="AA50" s="2041"/>
      <c r="AB50" s="2041"/>
      <c r="AC50" s="2041"/>
      <c r="AD50" s="2041"/>
      <c r="AE50" s="2041"/>
      <c r="AF50" s="2041"/>
      <c r="AG50" s="2041"/>
      <c r="AH50" s="2041"/>
      <c r="AI50" s="2041"/>
      <c r="AJ50" s="2041"/>
      <c r="AK50" s="2041"/>
      <c r="AL50" s="2041"/>
      <c r="AM50" s="2041"/>
      <c r="AN50" s="2041"/>
      <c r="AO50" s="204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3" t="s">
        <v>2329</v>
      </c>
      <c r="C51" s="2044"/>
      <c r="D51" s="2044"/>
      <c r="E51" s="2044"/>
      <c r="F51" s="2044"/>
      <c r="G51" s="2044"/>
      <c r="H51" s="2044"/>
      <c r="I51" s="2044"/>
      <c r="J51" s="2044" t="s">
        <v>2335</v>
      </c>
      <c r="K51" s="2044"/>
      <c r="L51" s="2044"/>
      <c r="M51" s="2044"/>
      <c r="N51" s="2044"/>
      <c r="O51" s="2044"/>
      <c r="P51" s="2044"/>
      <c r="Q51" s="2044"/>
      <c r="R51" s="2045" t="s">
        <v>2334</v>
      </c>
      <c r="S51" s="2045"/>
      <c r="T51" s="2045"/>
      <c r="U51" s="2045"/>
      <c r="V51" s="2045"/>
      <c r="W51" s="2045"/>
      <c r="X51" s="2045"/>
      <c r="Y51" s="2045"/>
      <c r="Z51" s="2045" t="s">
        <v>2333</v>
      </c>
      <c r="AA51" s="2045"/>
      <c r="AB51" s="2045"/>
      <c r="AC51" s="2045"/>
      <c r="AD51" s="2045"/>
      <c r="AE51" s="2045"/>
      <c r="AF51" s="2045"/>
      <c r="AG51" s="2045"/>
      <c r="AH51" s="2045" t="s">
        <v>2332</v>
      </c>
      <c r="AI51" s="2045"/>
      <c r="AJ51" s="2045"/>
      <c r="AK51" s="2045"/>
      <c r="AL51" s="2045"/>
      <c r="AM51" s="2045"/>
      <c r="AN51" s="2045"/>
      <c r="AO51" s="204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8" t="s">
        <v>2331</v>
      </c>
      <c r="C52" s="2029"/>
      <c r="D52" s="2029"/>
      <c r="E52" s="2029"/>
      <c r="F52" s="2029"/>
      <c r="G52" s="2029"/>
      <c r="H52" s="2029"/>
      <c r="I52" s="2029"/>
      <c r="J52" s="2047">
        <v>0</v>
      </c>
      <c r="K52" s="2047"/>
      <c r="L52" s="2047"/>
      <c r="M52" s="2047"/>
      <c r="N52" s="2047"/>
      <c r="O52" s="2047"/>
      <c r="P52" s="2047"/>
      <c r="Q52" s="2047"/>
      <c r="R52" s="2048">
        <v>0</v>
      </c>
      <c r="S52" s="2048"/>
      <c r="T52" s="2048"/>
      <c r="U52" s="2048"/>
      <c r="V52" s="2048"/>
      <c r="W52" s="2048"/>
      <c r="X52" s="2048"/>
      <c r="Y52" s="2048"/>
      <c r="Z52" s="2049">
        <v>0</v>
      </c>
      <c r="AA52" s="2049"/>
      <c r="AB52" s="2049"/>
      <c r="AC52" s="2049"/>
      <c r="AD52" s="2049"/>
      <c r="AE52" s="2049"/>
      <c r="AF52" s="2049"/>
      <c r="AG52" s="2049"/>
      <c r="AH52" s="2050"/>
      <c r="AI52" s="2050"/>
      <c r="AJ52" s="2050"/>
      <c r="AK52" s="2050"/>
      <c r="AL52" s="2050"/>
      <c r="AM52" s="2050"/>
      <c r="AN52" s="2050"/>
      <c r="AO52" s="205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8" t="s">
        <v>2330</v>
      </c>
      <c r="C53" s="2029"/>
      <c r="D53" s="2029"/>
      <c r="E53" s="2029"/>
      <c r="F53" s="2029"/>
      <c r="G53" s="2029"/>
      <c r="H53" s="2029"/>
      <c r="I53" s="2029"/>
      <c r="J53" s="2047">
        <v>0</v>
      </c>
      <c r="K53" s="2047"/>
      <c r="L53" s="2047"/>
      <c r="M53" s="2047"/>
      <c r="N53" s="2047"/>
      <c r="O53" s="2047"/>
      <c r="P53" s="2047"/>
      <c r="Q53" s="2047"/>
      <c r="R53" s="2048">
        <v>0</v>
      </c>
      <c r="S53" s="2048"/>
      <c r="T53" s="2048"/>
      <c r="U53" s="2048"/>
      <c r="V53" s="2048"/>
      <c r="W53" s="2048"/>
      <c r="X53" s="2048"/>
      <c r="Y53" s="2048"/>
      <c r="Z53" s="2049">
        <v>0</v>
      </c>
      <c r="AA53" s="2049"/>
      <c r="AB53" s="2049"/>
      <c r="AC53" s="2049"/>
      <c r="AD53" s="2049"/>
      <c r="AE53" s="2049"/>
      <c r="AF53" s="2049"/>
      <c r="AG53" s="2049"/>
      <c r="AH53" s="2050"/>
      <c r="AI53" s="2050"/>
      <c r="AJ53" s="2050"/>
      <c r="AK53" s="2050"/>
      <c r="AL53" s="2050"/>
      <c r="AM53" s="2050"/>
      <c r="AN53" s="2050"/>
      <c r="AO53" s="205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8"/>
      <c r="C54" s="2029"/>
      <c r="D54" s="2029"/>
      <c r="E54" s="2029"/>
      <c r="F54" s="2029"/>
      <c r="G54" s="2029"/>
      <c r="H54" s="2029"/>
      <c r="I54" s="2029"/>
      <c r="J54" s="2047"/>
      <c r="K54" s="2047"/>
      <c r="L54" s="2047"/>
      <c r="M54" s="2047"/>
      <c r="N54" s="2047"/>
      <c r="O54" s="2047"/>
      <c r="P54" s="2047"/>
      <c r="Q54" s="2047"/>
      <c r="R54" s="2048"/>
      <c r="S54" s="2048"/>
      <c r="T54" s="2048"/>
      <c r="U54" s="2048"/>
      <c r="V54" s="2048"/>
      <c r="W54" s="2048"/>
      <c r="X54" s="2048"/>
      <c r="Y54" s="2048"/>
      <c r="Z54" s="2049"/>
      <c r="AA54" s="2049"/>
      <c r="AB54" s="2049"/>
      <c r="AC54" s="2049"/>
      <c r="AD54" s="2049"/>
      <c r="AE54" s="2049"/>
      <c r="AF54" s="2049"/>
      <c r="AG54" s="2049"/>
      <c r="AH54" s="2050"/>
      <c r="AI54" s="2050"/>
      <c r="AJ54" s="2050"/>
      <c r="AK54" s="2050"/>
      <c r="AL54" s="2050"/>
      <c r="AM54" s="2050"/>
      <c r="AN54" s="2050"/>
      <c r="AO54" s="205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8"/>
      <c r="C55" s="2029"/>
      <c r="D55" s="2029"/>
      <c r="E55" s="2029"/>
      <c r="F55" s="2029"/>
      <c r="G55" s="2029"/>
      <c r="H55" s="2029"/>
      <c r="I55" s="2029"/>
      <c r="J55" s="2047"/>
      <c r="K55" s="2047"/>
      <c r="L55" s="2047"/>
      <c r="M55" s="2047"/>
      <c r="N55" s="2047"/>
      <c r="O55" s="2047"/>
      <c r="P55" s="2047"/>
      <c r="Q55" s="2047"/>
      <c r="R55" s="2048"/>
      <c r="S55" s="2048"/>
      <c r="T55" s="2048"/>
      <c r="U55" s="2048"/>
      <c r="V55" s="2048"/>
      <c r="W55" s="2048"/>
      <c r="X55" s="2048"/>
      <c r="Y55" s="2048"/>
      <c r="Z55" s="2049"/>
      <c r="AA55" s="2049"/>
      <c r="AB55" s="2049"/>
      <c r="AC55" s="2049"/>
      <c r="AD55" s="2049"/>
      <c r="AE55" s="2049"/>
      <c r="AF55" s="2049"/>
      <c r="AG55" s="2049"/>
      <c r="AH55" s="2050"/>
      <c r="AI55" s="2050"/>
      <c r="AJ55" s="2050"/>
      <c r="AK55" s="2050"/>
      <c r="AL55" s="2050"/>
      <c r="AM55" s="2050"/>
      <c r="AN55" s="2050"/>
      <c r="AO55" s="205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8"/>
      <c r="C56" s="2029"/>
      <c r="D56" s="2029"/>
      <c r="E56" s="2029"/>
      <c r="F56" s="2029"/>
      <c r="G56" s="2029"/>
      <c r="H56" s="2029"/>
      <c r="I56" s="2029"/>
      <c r="J56" s="2047"/>
      <c r="K56" s="2047"/>
      <c r="L56" s="2047"/>
      <c r="M56" s="2047"/>
      <c r="N56" s="2047"/>
      <c r="O56" s="2047"/>
      <c r="P56" s="2047"/>
      <c r="Q56" s="2047"/>
      <c r="R56" s="2048"/>
      <c r="S56" s="2048"/>
      <c r="T56" s="2048"/>
      <c r="U56" s="2048"/>
      <c r="V56" s="2048"/>
      <c r="W56" s="2048"/>
      <c r="X56" s="2048"/>
      <c r="Y56" s="2048"/>
      <c r="Z56" s="2049"/>
      <c r="AA56" s="2049"/>
      <c r="AB56" s="2049"/>
      <c r="AC56" s="2049"/>
      <c r="AD56" s="2049"/>
      <c r="AE56" s="2049"/>
      <c r="AF56" s="2049"/>
      <c r="AG56" s="2049"/>
      <c r="AH56" s="2050"/>
      <c r="AI56" s="2050"/>
      <c r="AJ56" s="2050"/>
      <c r="AK56" s="2050"/>
      <c r="AL56" s="2050"/>
      <c r="AM56" s="2050"/>
      <c r="AN56" s="2050"/>
      <c r="AO56" s="205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1" t="s">
        <v>1574</v>
      </c>
      <c r="C57" s="2062"/>
      <c r="D57" s="2062"/>
      <c r="E57" s="2062"/>
      <c r="F57" s="2062"/>
      <c r="G57" s="2062"/>
      <c r="H57" s="2062"/>
      <c r="I57" s="2062"/>
      <c r="J57" s="2062"/>
      <c r="K57" s="2062"/>
      <c r="L57" s="2062"/>
      <c r="M57" s="2062"/>
      <c r="N57" s="2062"/>
      <c r="O57" s="2062"/>
      <c r="P57" s="2062"/>
      <c r="Q57" s="2062"/>
      <c r="R57" s="2063">
        <f>SUM(R52:Y56)</f>
        <v>0</v>
      </c>
      <c r="S57" s="2063"/>
      <c r="T57" s="2063"/>
      <c r="U57" s="2063"/>
      <c r="V57" s="2063"/>
      <c r="W57" s="2063"/>
      <c r="X57" s="2063"/>
      <c r="Y57" s="2063"/>
      <c r="Z57" s="2064">
        <f>SUM(Z52:AG56)</f>
        <v>0</v>
      </c>
      <c r="AA57" s="2064"/>
      <c r="AB57" s="2064"/>
      <c r="AC57" s="2064"/>
      <c r="AD57" s="2064"/>
      <c r="AE57" s="2064"/>
      <c r="AF57" s="2064"/>
      <c r="AG57" s="2064"/>
      <c r="AH57" s="2065"/>
      <c r="AI57" s="2065"/>
      <c r="AJ57" s="2065"/>
      <c r="AK57" s="2065"/>
      <c r="AL57" s="2065"/>
      <c r="AM57" s="2065"/>
      <c r="AN57" s="2065"/>
      <c r="AO57" s="20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2" t="s">
        <v>2329</v>
      </c>
      <c r="C59" s="2053"/>
      <c r="D59" s="2053"/>
      <c r="E59" s="2053"/>
      <c r="F59" s="2053"/>
      <c r="G59" s="2053"/>
      <c r="H59" s="2053"/>
      <c r="I59" s="2054"/>
      <c r="J59" s="1946" t="s">
        <v>2328</v>
      </c>
      <c r="K59" s="1946"/>
      <c r="L59" s="1946"/>
      <c r="M59" s="1946"/>
      <c r="N59" s="1946"/>
      <c r="O59" s="1946"/>
      <c r="P59" s="1946"/>
      <c r="Q59" s="1946"/>
      <c r="R59" s="1946"/>
      <c r="S59" s="1946"/>
      <c r="T59" s="1946"/>
      <c r="U59" s="1946"/>
      <c r="V59" s="1946"/>
      <c r="W59" s="1946"/>
      <c r="X59" s="1946"/>
      <c r="Y59" s="1946"/>
      <c r="Z59" s="1946"/>
      <c r="AA59" s="1946"/>
      <c r="AB59" s="1946"/>
      <c r="AC59" s="1946"/>
      <c r="AD59" s="1946"/>
      <c r="AE59" s="1946"/>
      <c r="AF59" s="1946"/>
      <c r="AG59" s="1946"/>
      <c r="AH59" s="1946"/>
      <c r="AI59" s="1946"/>
      <c r="AJ59" s="1946"/>
      <c r="AK59" s="1946"/>
      <c r="AL59" s="1946"/>
      <c r="AM59" s="1946"/>
      <c r="AN59" s="1946"/>
      <c r="AO59" s="1946"/>
      <c r="AP59" s="1946"/>
      <c r="AQ59" s="1946"/>
      <c r="AR59" s="1946"/>
      <c r="AS59" s="1946"/>
      <c r="AT59" s="1946"/>
      <c r="AU59" s="1946"/>
      <c r="AV59" s="1946"/>
      <c r="AW59" s="1947"/>
      <c r="AX59" s="1202"/>
      <c r="AY59" s="1202"/>
      <c r="AZ59" s="1202"/>
      <c r="BA59" s="1202"/>
      <c r="BB59" s="1202"/>
      <c r="BC59" s="1202"/>
      <c r="BD59" s="1202"/>
      <c r="BE59" s="1209"/>
    </row>
    <row r="60" spans="1:77" ht="15.75" customHeight="1">
      <c r="A60" s="1202"/>
      <c r="B60" s="2055" t="str">
        <f>IF(B52="", "", B52)</f>
        <v>Services Company 1</v>
      </c>
      <c r="C60" s="2056"/>
      <c r="D60" s="2056"/>
      <c r="E60" s="2056"/>
      <c r="F60" s="2056"/>
      <c r="G60" s="2056"/>
      <c r="H60" s="2056"/>
      <c r="I60" s="2057"/>
      <c r="J60" s="2058"/>
      <c r="K60" s="2059"/>
      <c r="L60" s="2059"/>
      <c r="M60" s="2059"/>
      <c r="N60" s="2059"/>
      <c r="O60" s="2059"/>
      <c r="P60" s="2059"/>
      <c r="Q60" s="2059"/>
      <c r="R60" s="2059"/>
      <c r="S60" s="2059"/>
      <c r="T60" s="2059"/>
      <c r="U60" s="2059"/>
      <c r="V60" s="2059"/>
      <c r="W60" s="2059"/>
      <c r="X60" s="2059"/>
      <c r="Y60" s="2059"/>
      <c r="Z60" s="2059"/>
      <c r="AA60" s="2059"/>
      <c r="AB60" s="2059"/>
      <c r="AC60" s="2059"/>
      <c r="AD60" s="2059"/>
      <c r="AE60" s="2059"/>
      <c r="AF60" s="2059"/>
      <c r="AG60" s="2059"/>
      <c r="AH60" s="2059"/>
      <c r="AI60" s="2059"/>
      <c r="AJ60" s="2059"/>
      <c r="AK60" s="2059"/>
      <c r="AL60" s="2059"/>
      <c r="AM60" s="2059"/>
      <c r="AN60" s="2059"/>
      <c r="AO60" s="2059"/>
      <c r="AP60" s="2059"/>
      <c r="AQ60" s="2059"/>
      <c r="AR60" s="2059"/>
      <c r="AS60" s="2059"/>
      <c r="AT60" s="2059"/>
      <c r="AU60" s="2059"/>
      <c r="AV60" s="2059"/>
      <c r="AW60" s="2060"/>
      <c r="AX60" s="1202"/>
      <c r="AY60" s="1202"/>
      <c r="AZ60" s="1202"/>
      <c r="BA60" s="1202"/>
      <c r="BB60" s="1202"/>
      <c r="BC60" s="1202"/>
      <c r="BD60" s="1202"/>
      <c r="BE60" s="1209"/>
    </row>
    <row r="61" spans="1:77" ht="15.75" customHeight="1">
      <c r="A61" s="1202"/>
      <c r="B61" s="2055" t="str">
        <f>IF(B53="", "", B53)</f>
        <v>Services Company 2</v>
      </c>
      <c r="C61" s="2056"/>
      <c r="D61" s="2056"/>
      <c r="E61" s="2056"/>
      <c r="F61" s="2056"/>
      <c r="G61" s="2056"/>
      <c r="H61" s="2056"/>
      <c r="I61" s="2057"/>
      <c r="J61" s="2058"/>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59"/>
      <c r="AS61" s="2059"/>
      <c r="AT61" s="2059"/>
      <c r="AU61" s="2059"/>
      <c r="AV61" s="2059"/>
      <c r="AW61" s="2060"/>
      <c r="AX61" s="1202"/>
      <c r="AY61" s="1202"/>
      <c r="AZ61" s="1202"/>
      <c r="BA61" s="1202"/>
      <c r="BB61" s="1202"/>
      <c r="BC61" s="1202"/>
      <c r="BD61" s="1202"/>
      <c r="BE61" s="1209"/>
    </row>
    <row r="62" spans="1:77" ht="15.75" customHeight="1">
      <c r="A62" s="1202"/>
      <c r="B62" s="2055" t="str">
        <f>IF(B54="", "", B54)</f>
        <v/>
      </c>
      <c r="C62" s="2056"/>
      <c r="D62" s="2056"/>
      <c r="E62" s="2056"/>
      <c r="F62" s="2056"/>
      <c r="G62" s="2056"/>
      <c r="H62" s="2056"/>
      <c r="I62" s="2057"/>
      <c r="J62" s="2058"/>
      <c r="K62" s="2059"/>
      <c r="L62" s="2059"/>
      <c r="M62" s="2059"/>
      <c r="N62" s="2059"/>
      <c r="O62" s="2059"/>
      <c r="P62" s="2059"/>
      <c r="Q62" s="2059"/>
      <c r="R62" s="2059"/>
      <c r="S62" s="2059"/>
      <c r="T62" s="2059"/>
      <c r="U62" s="2059"/>
      <c r="V62" s="2059"/>
      <c r="W62" s="2059"/>
      <c r="X62" s="2059"/>
      <c r="Y62" s="2059"/>
      <c r="Z62" s="2059"/>
      <c r="AA62" s="2059"/>
      <c r="AB62" s="2059"/>
      <c r="AC62" s="2059"/>
      <c r="AD62" s="2059"/>
      <c r="AE62" s="2059"/>
      <c r="AF62" s="2059"/>
      <c r="AG62" s="2059"/>
      <c r="AH62" s="2059"/>
      <c r="AI62" s="2059"/>
      <c r="AJ62" s="2059"/>
      <c r="AK62" s="2059"/>
      <c r="AL62" s="2059"/>
      <c r="AM62" s="2059"/>
      <c r="AN62" s="2059"/>
      <c r="AO62" s="2059"/>
      <c r="AP62" s="2059"/>
      <c r="AQ62" s="2059"/>
      <c r="AR62" s="2059"/>
      <c r="AS62" s="2059"/>
      <c r="AT62" s="2059"/>
      <c r="AU62" s="2059"/>
      <c r="AV62" s="2059"/>
      <c r="AW62" s="2060"/>
      <c r="AX62" s="1202"/>
      <c r="AY62" s="1202"/>
      <c r="AZ62" s="1202"/>
      <c r="BA62" s="1202"/>
      <c r="BB62" s="1202"/>
      <c r="BC62" s="1202"/>
      <c r="BD62" s="1202"/>
      <c r="BE62" s="1209"/>
    </row>
    <row r="63" spans="1:77" ht="15.75" customHeight="1">
      <c r="A63" s="1202"/>
      <c r="B63" s="2055" t="str">
        <f>IF(B55="", "", B55)</f>
        <v/>
      </c>
      <c r="C63" s="2056"/>
      <c r="D63" s="2056"/>
      <c r="E63" s="2056"/>
      <c r="F63" s="2056"/>
      <c r="G63" s="2056"/>
      <c r="H63" s="2056"/>
      <c r="I63" s="2057"/>
      <c r="J63" s="2058"/>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59"/>
      <c r="AS63" s="2059"/>
      <c r="AT63" s="2059"/>
      <c r="AU63" s="2059"/>
      <c r="AV63" s="2059"/>
      <c r="AW63" s="2060"/>
      <c r="AX63" s="1202"/>
      <c r="AY63" s="1202"/>
      <c r="AZ63" s="1202"/>
      <c r="BA63" s="1202"/>
      <c r="BB63" s="1202"/>
      <c r="BC63" s="1202"/>
      <c r="BD63" s="1202"/>
      <c r="BE63" s="1209"/>
    </row>
    <row r="64" spans="1:77" ht="15.75" customHeight="1" thickBot="1">
      <c r="A64" s="1202"/>
      <c r="B64" s="2075" t="str">
        <f>IF(B56="", "", B56)</f>
        <v/>
      </c>
      <c r="C64" s="2076"/>
      <c r="D64" s="2076"/>
      <c r="E64" s="2076"/>
      <c r="F64" s="2076"/>
      <c r="G64" s="2076"/>
      <c r="H64" s="2076"/>
      <c r="I64" s="2077"/>
      <c r="J64" s="2078"/>
      <c r="K64" s="2079"/>
      <c r="L64" s="2079"/>
      <c r="M64" s="2079"/>
      <c r="N64" s="2079"/>
      <c r="O64" s="2079"/>
      <c r="P64" s="2079"/>
      <c r="Q64" s="2079"/>
      <c r="R64" s="2079"/>
      <c r="S64" s="2079"/>
      <c r="T64" s="2079"/>
      <c r="U64" s="2079"/>
      <c r="V64" s="2079"/>
      <c r="W64" s="2079"/>
      <c r="X64" s="2079"/>
      <c r="Y64" s="2079"/>
      <c r="Z64" s="2079"/>
      <c r="AA64" s="2079"/>
      <c r="AB64" s="2079"/>
      <c r="AC64" s="2079"/>
      <c r="AD64" s="2079"/>
      <c r="AE64" s="2079"/>
      <c r="AF64" s="2079"/>
      <c r="AG64" s="2079"/>
      <c r="AH64" s="2079"/>
      <c r="AI64" s="2079"/>
      <c r="AJ64" s="2079"/>
      <c r="AK64" s="2079"/>
      <c r="AL64" s="2079"/>
      <c r="AM64" s="2079"/>
      <c r="AN64" s="2079"/>
      <c r="AO64" s="2079"/>
      <c r="AP64" s="2079"/>
      <c r="AQ64" s="2079"/>
      <c r="AR64" s="2079"/>
      <c r="AS64" s="2079"/>
      <c r="AT64" s="2079"/>
      <c r="AU64" s="2079"/>
      <c r="AV64" s="2079"/>
      <c r="AW64" s="208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5" t="s">
        <v>2326</v>
      </c>
      <c r="C68" s="1946"/>
      <c r="D68" s="1946"/>
      <c r="E68" s="1946"/>
      <c r="F68" s="1946"/>
      <c r="G68" s="1946"/>
      <c r="H68" s="1946"/>
      <c r="I68" s="1946"/>
      <c r="J68" s="1946"/>
      <c r="K68" s="1946"/>
      <c r="L68" s="1946"/>
      <c r="M68" s="1946"/>
      <c r="N68" s="1946"/>
      <c r="O68" s="1946"/>
      <c r="P68" s="1946"/>
      <c r="Q68" s="1946"/>
      <c r="R68" s="1946"/>
      <c r="S68" s="1946"/>
      <c r="T68" s="1946"/>
      <c r="U68" s="1946"/>
      <c r="V68" s="1946"/>
      <c r="W68" s="1946"/>
      <c r="X68" s="1946"/>
      <c r="Y68" s="1946"/>
      <c r="Z68" s="1946"/>
      <c r="AA68" s="1947"/>
      <c r="AB68" s="1202"/>
      <c r="AC68" s="2087" t="s">
        <v>2325</v>
      </c>
      <c r="AD68" s="2088"/>
      <c r="AE68" s="2088"/>
      <c r="AF68" s="2088"/>
      <c r="AG68" s="2088"/>
      <c r="AH68" s="2088"/>
      <c r="AI68" s="2088"/>
      <c r="AJ68" s="2088"/>
      <c r="AK68" s="2088"/>
      <c r="AL68" s="2088"/>
      <c r="AM68" s="2088"/>
      <c r="AN68" s="2088"/>
      <c r="AO68" s="2088"/>
      <c r="AP68" s="2088"/>
      <c r="AQ68" s="2088"/>
      <c r="AR68" s="2088"/>
      <c r="AS68" s="2088"/>
      <c r="AT68" s="2088"/>
      <c r="AU68" s="2088"/>
      <c r="AV68" s="2067" t="s">
        <v>669</v>
      </c>
      <c r="AW68" s="2068"/>
      <c r="AX68" s="2068"/>
      <c r="AY68" s="2068"/>
      <c r="AZ68" s="2068"/>
      <c r="BA68" s="2068"/>
      <c r="BB68" s="2068"/>
      <c r="BC68" s="2069"/>
      <c r="BD68" s="1202"/>
      <c r="BE68" s="1209"/>
      <c r="BM68" s="1215" t="s">
        <v>2324</v>
      </c>
    </row>
    <row r="69" spans="1:94" ht="15.75" customHeight="1" thickTop="1" thickBot="1">
      <c r="A69" s="1202"/>
      <c r="B69" s="2070" t="s">
        <v>2323</v>
      </c>
      <c r="C69" s="2071"/>
      <c r="D69" s="2071"/>
      <c r="E69" s="2071"/>
      <c r="F69" s="2071"/>
      <c r="G69" s="2071"/>
      <c r="H69" s="2071"/>
      <c r="I69" s="2071"/>
      <c r="J69" s="2071"/>
      <c r="K69" s="2071"/>
      <c r="L69" s="2071"/>
      <c r="M69" s="2071"/>
      <c r="N69" s="2071"/>
      <c r="O69" s="1918" t="s">
        <v>2322</v>
      </c>
      <c r="P69" s="1919"/>
      <c r="Q69" s="1919"/>
      <c r="R69" s="1919"/>
      <c r="S69" s="1919"/>
      <c r="T69" s="1919"/>
      <c r="U69" s="1919"/>
      <c r="V69" s="1919"/>
      <c r="W69" s="1919"/>
      <c r="X69" s="1919"/>
      <c r="Y69" s="1919"/>
      <c r="Z69" s="1919"/>
      <c r="AA69" s="2072"/>
      <c r="AB69" s="1202"/>
      <c r="AC69" s="2073" t="s">
        <v>2321</v>
      </c>
      <c r="AD69" s="2074"/>
      <c r="AE69" s="2074"/>
      <c r="AF69" s="2074"/>
      <c r="AG69" s="2074"/>
      <c r="AH69" s="2074"/>
      <c r="AI69" s="2074"/>
      <c r="AJ69" s="2074"/>
      <c r="AK69" s="2074"/>
      <c r="AL69" s="2074"/>
      <c r="AM69" s="2074"/>
      <c r="AN69" s="2074"/>
      <c r="AO69" s="2074"/>
      <c r="AP69" s="2074"/>
      <c r="AQ69" s="2074"/>
      <c r="AR69" s="2074"/>
      <c r="AS69" s="2074"/>
      <c r="AT69" s="2074"/>
      <c r="AU69" s="2074"/>
      <c r="AV69" s="2067" t="s">
        <v>669</v>
      </c>
      <c r="AW69" s="2068"/>
      <c r="AX69" s="2068"/>
      <c r="AY69" s="2068"/>
      <c r="AZ69" s="2068"/>
      <c r="BA69" s="2068"/>
      <c r="BB69" s="2068"/>
      <c r="BC69" s="2069"/>
      <c r="BD69" s="1202"/>
      <c r="BE69" s="1209"/>
      <c r="BM69" s="1216" t="s">
        <v>545</v>
      </c>
    </row>
    <row r="70" spans="1:94" ht="15.75" customHeight="1">
      <c r="A70" s="1202"/>
      <c r="B70" s="2024" t="s">
        <v>2320</v>
      </c>
      <c r="C70" s="2025"/>
      <c r="D70" s="2025"/>
      <c r="E70" s="2025"/>
      <c r="F70" s="2025"/>
      <c r="G70" s="2025"/>
      <c r="H70" s="2025"/>
      <c r="I70" s="2025"/>
      <c r="J70" s="2025"/>
      <c r="K70" s="2025"/>
      <c r="L70" s="2025"/>
      <c r="M70" s="2025"/>
      <c r="N70" s="2025"/>
      <c r="O70" s="2081">
        <v>0</v>
      </c>
      <c r="P70" s="2081"/>
      <c r="Q70" s="2081"/>
      <c r="R70" s="2081"/>
      <c r="S70" s="2081"/>
      <c r="T70" s="2081"/>
      <c r="U70" s="2081"/>
      <c r="V70" s="2081"/>
      <c r="W70" s="2081"/>
      <c r="X70" s="2081"/>
      <c r="Y70" s="2081"/>
      <c r="Z70" s="2081"/>
      <c r="AA70" s="2082"/>
      <c r="AB70" s="1202"/>
      <c r="AC70" s="2040" t="s">
        <v>2319</v>
      </c>
      <c r="AD70" s="2041"/>
      <c r="AE70" s="2041"/>
      <c r="AF70" s="2083"/>
      <c r="AG70" s="2083"/>
      <c r="AH70" s="2083"/>
      <c r="AI70" s="2083"/>
      <c r="AJ70" s="2083"/>
      <c r="AK70" s="2083"/>
      <c r="AL70" s="2083"/>
      <c r="AM70" s="2083"/>
      <c r="AN70" s="2083"/>
      <c r="AO70" s="2083"/>
      <c r="AP70" s="2083"/>
      <c r="AQ70" s="2083"/>
      <c r="AR70" s="2083"/>
      <c r="AS70" s="2083"/>
      <c r="AT70" s="2083"/>
      <c r="AU70" s="2084"/>
      <c r="AV70" s="1202"/>
      <c r="AW70" s="1202"/>
      <c r="AX70" s="1202"/>
      <c r="AY70" s="1202"/>
      <c r="AZ70" s="1202"/>
      <c r="BA70" s="1202"/>
      <c r="BB70" s="1202"/>
      <c r="BC70" s="1202"/>
      <c r="BD70" s="1202"/>
      <c r="BE70" s="1209"/>
      <c r="BM70" s="1217" t="s">
        <v>669</v>
      </c>
    </row>
    <row r="71" spans="1:94" ht="15.75" customHeight="1" thickBot="1">
      <c r="A71" s="1202"/>
      <c r="B71" s="2024" t="s">
        <v>2318</v>
      </c>
      <c r="C71" s="2025"/>
      <c r="D71" s="2025"/>
      <c r="E71" s="2025"/>
      <c r="F71" s="2025"/>
      <c r="G71" s="2025"/>
      <c r="H71" s="2025"/>
      <c r="I71" s="2025"/>
      <c r="J71" s="2025"/>
      <c r="K71" s="2025"/>
      <c r="L71" s="2025"/>
      <c r="M71" s="2025"/>
      <c r="N71" s="2025"/>
      <c r="O71" s="2081">
        <v>0</v>
      </c>
      <c r="P71" s="2081"/>
      <c r="Q71" s="2081"/>
      <c r="R71" s="2081"/>
      <c r="S71" s="2081"/>
      <c r="T71" s="2081"/>
      <c r="U71" s="2081"/>
      <c r="V71" s="2081"/>
      <c r="W71" s="2081"/>
      <c r="X71" s="2081"/>
      <c r="Y71" s="2081"/>
      <c r="Z71" s="2081"/>
      <c r="AA71" s="2082"/>
      <c r="AB71" s="1202"/>
      <c r="AC71" s="2085" t="s">
        <v>2317</v>
      </c>
      <c r="AD71" s="2086"/>
      <c r="AE71" s="2086"/>
      <c r="AF71" s="2079"/>
      <c r="AG71" s="2079"/>
      <c r="AH71" s="2079"/>
      <c r="AI71" s="2079"/>
      <c r="AJ71" s="2079"/>
      <c r="AK71" s="2079"/>
      <c r="AL71" s="2079"/>
      <c r="AM71" s="2079"/>
      <c r="AN71" s="2079"/>
      <c r="AO71" s="2079"/>
      <c r="AP71" s="2079"/>
      <c r="AQ71" s="2079"/>
      <c r="AR71" s="2079"/>
      <c r="AS71" s="2079"/>
      <c r="AT71" s="2079"/>
      <c r="AU71" s="2080"/>
      <c r="AV71" s="1202"/>
      <c r="AW71" s="1202"/>
      <c r="AX71" s="1202"/>
      <c r="AY71" s="1202"/>
      <c r="AZ71" s="1202"/>
      <c r="BA71" s="1202"/>
      <c r="BB71" s="1202"/>
      <c r="BC71" s="1202"/>
      <c r="BD71" s="1202"/>
      <c r="BE71" s="1209"/>
      <c r="BM71" s="1198" t="s">
        <v>2316</v>
      </c>
    </row>
    <row r="72" spans="1:94" ht="15.75" customHeight="1">
      <c r="A72" s="1202"/>
      <c r="B72" s="2024" t="s">
        <v>2315</v>
      </c>
      <c r="C72" s="2025"/>
      <c r="D72" s="2025"/>
      <c r="E72" s="2025"/>
      <c r="F72" s="2025"/>
      <c r="G72" s="2025"/>
      <c r="H72" s="2025"/>
      <c r="I72" s="2025"/>
      <c r="J72" s="2025"/>
      <c r="K72" s="2025"/>
      <c r="L72" s="2025"/>
      <c r="M72" s="2025"/>
      <c r="N72" s="2025"/>
      <c r="O72" s="2081">
        <v>0</v>
      </c>
      <c r="P72" s="2081"/>
      <c r="Q72" s="2081"/>
      <c r="R72" s="2081"/>
      <c r="S72" s="2081"/>
      <c r="T72" s="2081"/>
      <c r="U72" s="2081"/>
      <c r="V72" s="2081"/>
      <c r="W72" s="2081"/>
      <c r="X72" s="2081"/>
      <c r="Y72" s="2081"/>
      <c r="Z72" s="2081"/>
      <c r="AA72" s="2082"/>
      <c r="AB72" s="1202"/>
      <c r="AC72" s="2089" t="s">
        <v>2314</v>
      </c>
      <c r="AD72" s="2090"/>
      <c r="AE72" s="2090"/>
      <c r="AF72" s="2090"/>
      <c r="AG72" s="2090"/>
      <c r="AH72" s="2090"/>
      <c r="AI72" s="2090"/>
      <c r="AJ72" s="2090"/>
      <c r="AK72" s="2090"/>
      <c r="AL72" s="2090"/>
      <c r="AM72" s="2090"/>
      <c r="AN72" s="2090"/>
      <c r="AO72" s="2090"/>
      <c r="AP72" s="2090"/>
      <c r="AQ72" s="2090"/>
      <c r="AR72" s="2090"/>
      <c r="AS72" s="2090"/>
      <c r="AT72" s="2090"/>
      <c r="AU72" s="2090"/>
      <c r="AV72" s="2041"/>
      <c r="AW72" s="2041"/>
      <c r="AX72" s="2041"/>
      <c r="AY72" s="2041"/>
      <c r="AZ72" s="2041"/>
      <c r="BA72" s="2041"/>
      <c r="BB72" s="2041"/>
      <c r="BC72" s="2042"/>
      <c r="BD72" s="1202"/>
      <c r="BE72" s="1209"/>
    </row>
    <row r="73" spans="1:94" ht="15.75" customHeight="1">
      <c r="A73" s="1202"/>
      <c r="B73" s="2028" t="s">
        <v>2313</v>
      </c>
      <c r="C73" s="2029"/>
      <c r="D73" s="2029"/>
      <c r="E73" s="2029"/>
      <c r="F73" s="2029"/>
      <c r="G73" s="2029"/>
      <c r="H73" s="2029"/>
      <c r="I73" s="2029"/>
      <c r="J73" s="2029"/>
      <c r="K73" s="2029"/>
      <c r="L73" s="2029"/>
      <c r="M73" s="2029"/>
      <c r="N73" s="2029"/>
      <c r="O73" s="2081">
        <v>0</v>
      </c>
      <c r="P73" s="2081"/>
      <c r="Q73" s="2081"/>
      <c r="R73" s="2081"/>
      <c r="S73" s="2081"/>
      <c r="T73" s="2081"/>
      <c r="U73" s="2081"/>
      <c r="V73" s="2081"/>
      <c r="W73" s="2081"/>
      <c r="X73" s="2081"/>
      <c r="Y73" s="2081"/>
      <c r="Z73" s="2081"/>
      <c r="AA73" s="2082"/>
      <c r="AB73" s="1202"/>
      <c r="AC73" s="2091" t="s">
        <v>2266</v>
      </c>
      <c r="AD73" s="2092"/>
      <c r="AE73" s="2092"/>
      <c r="AF73" s="2092"/>
      <c r="AG73" s="2092"/>
      <c r="AH73" s="2092"/>
      <c r="AI73" s="2092"/>
      <c r="AJ73" s="2092"/>
      <c r="AK73" s="2092"/>
      <c r="AL73" s="2092"/>
      <c r="AM73" s="2092"/>
      <c r="AN73" s="2092"/>
      <c r="AO73" s="2092"/>
      <c r="AP73" s="2092"/>
      <c r="AQ73" s="2092"/>
      <c r="AR73" s="2092"/>
      <c r="AS73" s="2092"/>
      <c r="AT73" s="2092"/>
      <c r="AU73" s="2092"/>
      <c r="AV73" s="2092"/>
      <c r="AW73" s="2092"/>
      <c r="AX73" s="2092"/>
      <c r="AY73" s="2092"/>
      <c r="AZ73" s="2092"/>
      <c r="BA73" s="2092"/>
      <c r="BB73" s="2092"/>
      <c r="BC73" s="2093"/>
      <c r="BD73" s="1202"/>
      <c r="BE73" s="1209"/>
      <c r="CK73" s="1200"/>
      <c r="CL73" s="1200"/>
      <c r="CM73" s="1200"/>
      <c r="CN73" s="1200"/>
      <c r="CO73" s="1200"/>
      <c r="CP73" s="1200"/>
    </row>
    <row r="74" spans="1:94" ht="15.75" customHeight="1">
      <c r="A74" s="1202"/>
      <c r="B74" s="2097"/>
      <c r="C74" s="2047"/>
      <c r="D74" s="2047"/>
      <c r="E74" s="2047"/>
      <c r="F74" s="2047"/>
      <c r="G74" s="2047"/>
      <c r="H74" s="2047"/>
      <c r="I74" s="2047"/>
      <c r="J74" s="2047"/>
      <c r="K74" s="2047"/>
      <c r="L74" s="2047"/>
      <c r="M74" s="2047"/>
      <c r="N74" s="2047"/>
      <c r="O74" s="2081"/>
      <c r="P74" s="2081"/>
      <c r="Q74" s="2081"/>
      <c r="R74" s="2081"/>
      <c r="S74" s="2081"/>
      <c r="T74" s="2081"/>
      <c r="U74" s="2081"/>
      <c r="V74" s="2081"/>
      <c r="W74" s="2081"/>
      <c r="X74" s="2081"/>
      <c r="Y74" s="2081"/>
      <c r="Z74" s="2081"/>
      <c r="AA74" s="2082"/>
      <c r="AB74" s="1202"/>
      <c r="AC74" s="2091"/>
      <c r="AD74" s="2092"/>
      <c r="AE74" s="2092"/>
      <c r="AF74" s="2092"/>
      <c r="AG74" s="2092"/>
      <c r="AH74" s="2092"/>
      <c r="AI74" s="2092"/>
      <c r="AJ74" s="2092"/>
      <c r="AK74" s="2092"/>
      <c r="AL74" s="2092"/>
      <c r="AM74" s="2092"/>
      <c r="AN74" s="2092"/>
      <c r="AO74" s="2092"/>
      <c r="AP74" s="2092"/>
      <c r="AQ74" s="2092"/>
      <c r="AR74" s="2092"/>
      <c r="AS74" s="2092"/>
      <c r="AT74" s="2092"/>
      <c r="AU74" s="2092"/>
      <c r="AV74" s="2092"/>
      <c r="AW74" s="2092"/>
      <c r="AX74" s="2092"/>
      <c r="AY74" s="2092"/>
      <c r="AZ74" s="2092"/>
      <c r="BA74" s="2092"/>
      <c r="BB74" s="2092"/>
      <c r="BC74" s="2093"/>
      <c r="BD74" s="1202"/>
      <c r="BE74" s="1209"/>
      <c r="CK74" s="1200"/>
      <c r="CL74" s="1200"/>
      <c r="CM74" s="1200"/>
      <c r="CN74" s="1200"/>
      <c r="CO74" s="1200"/>
      <c r="CP74" s="1200"/>
    </row>
    <row r="75" spans="1:94" ht="15.75" customHeight="1" thickBot="1">
      <c r="A75" s="1202"/>
      <c r="B75" s="2098" t="s">
        <v>124</v>
      </c>
      <c r="C75" s="2099"/>
      <c r="D75" s="2099"/>
      <c r="E75" s="2099"/>
      <c r="F75" s="2099"/>
      <c r="G75" s="2099"/>
      <c r="H75" s="2099"/>
      <c r="I75" s="2099"/>
      <c r="J75" s="2099"/>
      <c r="K75" s="2099"/>
      <c r="L75" s="2099"/>
      <c r="M75" s="2099"/>
      <c r="N75" s="2099"/>
      <c r="O75" s="2100">
        <f>SUM(O70:AA74)</f>
        <v>0</v>
      </c>
      <c r="P75" s="2100"/>
      <c r="Q75" s="2100"/>
      <c r="R75" s="2100"/>
      <c r="S75" s="2100"/>
      <c r="T75" s="2100"/>
      <c r="U75" s="2100"/>
      <c r="V75" s="2100"/>
      <c r="W75" s="2100"/>
      <c r="X75" s="2100"/>
      <c r="Y75" s="2100"/>
      <c r="Z75" s="2100"/>
      <c r="AA75" s="2101"/>
      <c r="AB75" s="1202"/>
      <c r="AC75" s="2091"/>
      <c r="AD75" s="2092"/>
      <c r="AE75" s="2092"/>
      <c r="AF75" s="2092"/>
      <c r="AG75" s="2092"/>
      <c r="AH75" s="2092"/>
      <c r="AI75" s="2092"/>
      <c r="AJ75" s="2092"/>
      <c r="AK75" s="2092"/>
      <c r="AL75" s="2092"/>
      <c r="AM75" s="2092"/>
      <c r="AN75" s="2092"/>
      <c r="AO75" s="2092"/>
      <c r="AP75" s="2092"/>
      <c r="AQ75" s="2092"/>
      <c r="AR75" s="2092"/>
      <c r="AS75" s="2092"/>
      <c r="AT75" s="2092"/>
      <c r="AU75" s="2092"/>
      <c r="AV75" s="2092"/>
      <c r="AW75" s="2092"/>
      <c r="AX75" s="2092"/>
      <c r="AY75" s="2092"/>
      <c r="AZ75" s="2092"/>
      <c r="BA75" s="2092"/>
      <c r="BB75" s="2092"/>
      <c r="BC75" s="209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1"/>
      <c r="AD76" s="2092"/>
      <c r="AE76" s="2092"/>
      <c r="AF76" s="2092"/>
      <c r="AG76" s="2092"/>
      <c r="AH76" s="2092"/>
      <c r="AI76" s="2092"/>
      <c r="AJ76" s="2092"/>
      <c r="AK76" s="2092"/>
      <c r="AL76" s="2092"/>
      <c r="AM76" s="2092"/>
      <c r="AN76" s="2092"/>
      <c r="AO76" s="2092"/>
      <c r="AP76" s="2092"/>
      <c r="AQ76" s="2092"/>
      <c r="AR76" s="2092"/>
      <c r="AS76" s="2092"/>
      <c r="AT76" s="2092"/>
      <c r="AU76" s="2092"/>
      <c r="AV76" s="2092"/>
      <c r="AW76" s="2092"/>
      <c r="AX76" s="2092"/>
      <c r="AY76" s="2092"/>
      <c r="AZ76" s="2092"/>
      <c r="BA76" s="2092"/>
      <c r="BB76" s="2092"/>
      <c r="BC76" s="209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4"/>
      <c r="AD77" s="2095"/>
      <c r="AE77" s="2095"/>
      <c r="AF77" s="2095"/>
      <c r="AG77" s="2095"/>
      <c r="AH77" s="2095"/>
      <c r="AI77" s="2095"/>
      <c r="AJ77" s="2095"/>
      <c r="AK77" s="2095"/>
      <c r="AL77" s="2095"/>
      <c r="AM77" s="2095"/>
      <c r="AN77" s="2095"/>
      <c r="AO77" s="2095"/>
      <c r="AP77" s="2095"/>
      <c r="AQ77" s="2095"/>
      <c r="AR77" s="2095"/>
      <c r="AS77" s="2095"/>
      <c r="AT77" s="2095"/>
      <c r="AU77" s="2095"/>
      <c r="AV77" s="2095"/>
      <c r="AW77" s="2095"/>
      <c r="AX77" s="2095"/>
      <c r="AY77" s="2095"/>
      <c r="AZ77" s="2095"/>
      <c r="BA77" s="2095"/>
      <c r="BB77" s="2095"/>
      <c r="BC77" s="2096"/>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2"/>
      <c r="G79" s="2103"/>
      <c r="H79" s="2103"/>
      <c r="I79" s="2103"/>
      <c r="J79" s="2103"/>
      <c r="K79" s="2103"/>
      <c r="L79" s="2103"/>
      <c r="M79" s="2103"/>
      <c r="N79" s="2103"/>
      <c r="O79" s="2103"/>
      <c r="P79" s="2103"/>
      <c r="Q79" s="2103"/>
      <c r="R79" s="2103"/>
      <c r="S79" s="2103"/>
      <c r="T79" s="210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5" t="s">
        <v>2311</v>
      </c>
      <c r="C81" s="2106"/>
      <c r="D81" s="2106"/>
      <c r="E81" s="2106"/>
      <c r="F81" s="2106"/>
      <c r="G81" s="2106"/>
      <c r="H81" s="2106"/>
      <c r="I81" s="2106"/>
      <c r="J81" s="2106"/>
      <c r="K81" s="2106"/>
      <c r="L81" s="2106"/>
      <c r="M81" s="2106"/>
      <c r="N81" s="2106"/>
      <c r="O81" s="2106"/>
      <c r="P81" s="2106"/>
      <c r="Q81" s="2106"/>
      <c r="R81" s="2106"/>
      <c r="S81" s="2106"/>
      <c r="T81" s="2106"/>
      <c r="U81" s="2106"/>
      <c r="V81" s="2106"/>
      <c r="W81" s="2106"/>
      <c r="X81" s="2106"/>
      <c r="Y81" s="2106"/>
      <c r="Z81" s="2106"/>
      <c r="AA81" s="2106"/>
      <c r="AB81" s="2106"/>
      <c r="AC81" s="2106"/>
      <c r="AD81" s="2106"/>
      <c r="AE81" s="2106"/>
      <c r="AF81" s="2106"/>
      <c r="AG81" s="2106"/>
      <c r="AH81" s="2107"/>
      <c r="AI81" s="1202"/>
      <c r="AJ81" s="2108" t="s">
        <v>2612</v>
      </c>
      <c r="AK81" s="2109"/>
      <c r="AL81" s="2109"/>
      <c r="AM81" s="2109"/>
      <c r="AN81" s="2109"/>
      <c r="AO81" s="2109"/>
      <c r="AP81" s="2109"/>
      <c r="AQ81" s="2109"/>
      <c r="AR81" s="2109"/>
      <c r="AS81" s="2109"/>
      <c r="AT81" s="2109"/>
      <c r="AU81" s="2109"/>
      <c r="AV81" s="2109"/>
      <c r="AW81" s="2109"/>
      <c r="AX81" s="2109"/>
      <c r="AY81" s="2112" t="s">
        <v>545</v>
      </c>
      <c r="AZ81" s="2112"/>
      <c r="BA81" s="2112"/>
      <c r="BB81" s="2113"/>
      <c r="BC81" s="1202"/>
      <c r="BD81" s="1202"/>
      <c r="BE81" s="1209"/>
      <c r="CK81" s="1200"/>
      <c r="CL81" s="1200"/>
      <c r="CM81" s="1200"/>
      <c r="CN81" s="1200"/>
      <c r="CO81" s="1200"/>
      <c r="CP81" s="1200"/>
    </row>
    <row r="82" spans="1:94" ht="15.75" customHeight="1">
      <c r="A82" s="1202"/>
      <c r="B82" s="2043"/>
      <c r="C82" s="2044"/>
      <c r="D82" s="2044"/>
      <c r="E82" s="2044"/>
      <c r="F82" s="2044"/>
      <c r="G82" s="2044"/>
      <c r="H82" s="2044"/>
      <c r="I82" s="2044" t="s">
        <v>2305</v>
      </c>
      <c r="J82" s="2044"/>
      <c r="K82" s="2044"/>
      <c r="L82" s="2044"/>
      <c r="M82" s="2044"/>
      <c r="N82" s="2044"/>
      <c r="O82" s="2044" t="s">
        <v>2282</v>
      </c>
      <c r="P82" s="2044"/>
      <c r="Q82" s="2044"/>
      <c r="R82" s="2044"/>
      <c r="S82" s="2044"/>
      <c r="T82" s="2044"/>
      <c r="U82" s="2044"/>
      <c r="V82" s="2116" t="s">
        <v>2281</v>
      </c>
      <c r="W82" s="2116"/>
      <c r="X82" s="2116"/>
      <c r="Y82" s="2116"/>
      <c r="Z82" s="2116"/>
      <c r="AA82" s="2116"/>
      <c r="AB82" s="2117" t="s">
        <v>2304</v>
      </c>
      <c r="AC82" s="2117"/>
      <c r="AD82" s="2117"/>
      <c r="AE82" s="2117"/>
      <c r="AF82" s="2117"/>
      <c r="AG82" s="2117"/>
      <c r="AH82" s="2118"/>
      <c r="AI82" s="1202"/>
      <c r="AJ82" s="2110"/>
      <c r="AK82" s="2111"/>
      <c r="AL82" s="2111"/>
      <c r="AM82" s="2111"/>
      <c r="AN82" s="2111"/>
      <c r="AO82" s="2111"/>
      <c r="AP82" s="2111"/>
      <c r="AQ82" s="2111"/>
      <c r="AR82" s="2111"/>
      <c r="AS82" s="2111"/>
      <c r="AT82" s="2111"/>
      <c r="AU82" s="2111"/>
      <c r="AV82" s="2111"/>
      <c r="AW82" s="2111"/>
      <c r="AX82" s="2111"/>
      <c r="AY82" s="2114"/>
      <c r="AZ82" s="2114"/>
      <c r="BA82" s="2114"/>
      <c r="BB82" s="2115"/>
      <c r="BC82" s="1202"/>
      <c r="BD82" s="1202"/>
      <c r="BE82" s="1209"/>
      <c r="CK82" s="1200"/>
      <c r="CL82" s="1200"/>
      <c r="CM82" s="1200"/>
      <c r="CN82" s="1200"/>
      <c r="CO82" s="1200"/>
      <c r="CP82" s="1200"/>
    </row>
    <row r="83" spans="1:94" ht="15.75" customHeight="1">
      <c r="A83" s="1202"/>
      <c r="B83" s="2043"/>
      <c r="C83" s="2044"/>
      <c r="D83" s="2044"/>
      <c r="E83" s="2044"/>
      <c r="F83" s="2044"/>
      <c r="G83" s="2044"/>
      <c r="H83" s="2044"/>
      <c r="I83" s="2044"/>
      <c r="J83" s="2044"/>
      <c r="K83" s="2044"/>
      <c r="L83" s="2044"/>
      <c r="M83" s="2044"/>
      <c r="N83" s="2044"/>
      <c r="O83" s="2044"/>
      <c r="P83" s="2044"/>
      <c r="Q83" s="2044"/>
      <c r="R83" s="2044"/>
      <c r="S83" s="2044"/>
      <c r="T83" s="2044"/>
      <c r="U83" s="2044"/>
      <c r="V83" s="2116"/>
      <c r="W83" s="2116"/>
      <c r="X83" s="2116"/>
      <c r="Y83" s="2116"/>
      <c r="Z83" s="2116"/>
      <c r="AA83" s="2116"/>
      <c r="AB83" s="2117"/>
      <c r="AC83" s="2117"/>
      <c r="AD83" s="2117"/>
      <c r="AE83" s="2117"/>
      <c r="AF83" s="2117"/>
      <c r="AG83" s="2117"/>
      <c r="AH83" s="2118"/>
      <c r="AI83" s="1202"/>
      <c r="AJ83" s="2110"/>
      <c r="AK83" s="2111"/>
      <c r="AL83" s="2111"/>
      <c r="AM83" s="2111"/>
      <c r="AN83" s="2111"/>
      <c r="AO83" s="2111"/>
      <c r="AP83" s="2111"/>
      <c r="AQ83" s="2111"/>
      <c r="AR83" s="2111"/>
      <c r="AS83" s="2111"/>
      <c r="AT83" s="2111"/>
      <c r="AU83" s="2111"/>
      <c r="AV83" s="2111"/>
      <c r="AW83" s="2111"/>
      <c r="AX83" s="2111"/>
      <c r="AY83" s="2114"/>
      <c r="AZ83" s="2114"/>
      <c r="BA83" s="2114"/>
      <c r="BB83" s="2115"/>
      <c r="BC83" s="1202"/>
      <c r="BD83" s="1202"/>
      <c r="BE83" s="1209"/>
      <c r="CK83" s="1200"/>
      <c r="CL83" s="1200"/>
      <c r="CM83" s="1200"/>
      <c r="CN83" s="1200"/>
      <c r="CO83" s="1200"/>
      <c r="CP83" s="1200"/>
    </row>
    <row r="84" spans="1:94" ht="15.75" customHeight="1">
      <c r="A84" s="1202"/>
      <c r="B84" s="2043" t="s">
        <v>2303</v>
      </c>
      <c r="C84" s="2044"/>
      <c r="D84" s="2044"/>
      <c r="E84" s="2044"/>
      <c r="F84" s="2044"/>
      <c r="G84" s="2044"/>
      <c r="H84" s="2044"/>
      <c r="I84" s="2121">
        <v>0</v>
      </c>
      <c r="J84" s="2121"/>
      <c r="K84" s="2121"/>
      <c r="L84" s="2121"/>
      <c r="M84" s="2121"/>
      <c r="N84" s="2121"/>
      <c r="O84" s="2121">
        <v>0</v>
      </c>
      <c r="P84" s="2121"/>
      <c r="Q84" s="2121"/>
      <c r="R84" s="2121"/>
      <c r="S84" s="2121"/>
      <c r="T84" s="2121"/>
      <c r="U84" s="2121"/>
      <c r="V84" s="2121">
        <v>0</v>
      </c>
      <c r="W84" s="2121"/>
      <c r="X84" s="2121"/>
      <c r="Y84" s="2121"/>
      <c r="Z84" s="2121"/>
      <c r="AA84" s="2121"/>
      <c r="AB84" s="2121">
        <v>0</v>
      </c>
      <c r="AC84" s="2121"/>
      <c r="AD84" s="2121"/>
      <c r="AE84" s="2121"/>
      <c r="AF84" s="2121"/>
      <c r="AG84" s="2121"/>
      <c r="AH84" s="2122"/>
      <c r="AI84" s="1202"/>
      <c r="AJ84" s="2110"/>
      <c r="AK84" s="2111"/>
      <c r="AL84" s="2111"/>
      <c r="AM84" s="2111"/>
      <c r="AN84" s="2111"/>
      <c r="AO84" s="2111"/>
      <c r="AP84" s="2111"/>
      <c r="AQ84" s="2111"/>
      <c r="AR84" s="2111"/>
      <c r="AS84" s="2111"/>
      <c r="AT84" s="2111"/>
      <c r="AU84" s="2111"/>
      <c r="AV84" s="2111"/>
      <c r="AW84" s="2111"/>
      <c r="AX84" s="2111"/>
      <c r="AY84" s="2114"/>
      <c r="AZ84" s="2114"/>
      <c r="BA84" s="2114"/>
      <c r="BB84" s="2115"/>
      <c r="BC84" s="1202"/>
      <c r="BD84" s="1202"/>
      <c r="BE84" s="1209"/>
      <c r="CK84" s="1200"/>
      <c r="CL84" s="1200"/>
      <c r="CM84" s="1200"/>
      <c r="CN84" s="1200"/>
      <c r="CO84" s="1200"/>
      <c r="CP84" s="1200"/>
    </row>
    <row r="85" spans="1:94" ht="15.75" customHeight="1">
      <c r="A85" s="1202"/>
      <c r="B85" s="2043" t="s">
        <v>2302</v>
      </c>
      <c r="C85" s="2044"/>
      <c r="D85" s="2044"/>
      <c r="E85" s="2044"/>
      <c r="F85" s="2044"/>
      <c r="G85" s="2044"/>
      <c r="H85" s="2044"/>
      <c r="I85" s="2121">
        <v>0</v>
      </c>
      <c r="J85" s="2121"/>
      <c r="K85" s="2121"/>
      <c r="L85" s="2121"/>
      <c r="M85" s="2121"/>
      <c r="N85" s="2121"/>
      <c r="O85" s="2121">
        <v>0</v>
      </c>
      <c r="P85" s="2121"/>
      <c r="Q85" s="2121"/>
      <c r="R85" s="2121"/>
      <c r="S85" s="2121"/>
      <c r="T85" s="2121"/>
      <c r="U85" s="2121"/>
      <c r="V85" s="2121">
        <v>0</v>
      </c>
      <c r="W85" s="2121"/>
      <c r="X85" s="2121"/>
      <c r="Y85" s="2121"/>
      <c r="Z85" s="2121"/>
      <c r="AA85" s="2121"/>
      <c r="AB85" s="2121">
        <v>0</v>
      </c>
      <c r="AC85" s="2121"/>
      <c r="AD85" s="2121"/>
      <c r="AE85" s="2121"/>
      <c r="AF85" s="2121"/>
      <c r="AG85" s="2121"/>
      <c r="AH85" s="2122"/>
      <c r="AI85" s="1202"/>
      <c r="AJ85" s="2091" t="s">
        <v>2308</v>
      </c>
      <c r="AK85" s="2092"/>
      <c r="AL85" s="2092"/>
      <c r="AM85" s="2092"/>
      <c r="AN85" s="2092"/>
      <c r="AO85" s="2092"/>
      <c r="AP85" s="2092"/>
      <c r="AQ85" s="2092"/>
      <c r="AR85" s="2092"/>
      <c r="AS85" s="2092"/>
      <c r="AT85" s="2092"/>
      <c r="AU85" s="2092"/>
      <c r="AV85" s="2092"/>
      <c r="AW85" s="2092"/>
      <c r="AX85" s="2092"/>
      <c r="AY85" s="2092"/>
      <c r="AZ85" s="2092"/>
      <c r="BA85" s="2092"/>
      <c r="BB85" s="2093"/>
      <c r="BC85" s="1202"/>
      <c r="BD85" s="1202"/>
      <c r="BE85" s="1209"/>
      <c r="CK85" s="1200"/>
      <c r="CL85" s="1200"/>
      <c r="CM85" s="1200"/>
      <c r="CN85" s="1200"/>
      <c r="CO85" s="1200"/>
      <c r="CP85" s="1200"/>
    </row>
    <row r="86" spans="1:94" ht="15.75" customHeight="1" thickBot="1">
      <c r="A86" s="1202"/>
      <c r="B86" s="2061" t="s">
        <v>2301</v>
      </c>
      <c r="C86" s="2062"/>
      <c r="D86" s="2062"/>
      <c r="E86" s="2062"/>
      <c r="F86" s="2062"/>
      <c r="G86" s="2062"/>
      <c r="H86" s="2062"/>
      <c r="I86" s="2119">
        <v>0</v>
      </c>
      <c r="J86" s="2119"/>
      <c r="K86" s="2119"/>
      <c r="L86" s="2119"/>
      <c r="M86" s="2119"/>
      <c r="N86" s="2119"/>
      <c r="O86" s="2119">
        <v>0</v>
      </c>
      <c r="P86" s="2119"/>
      <c r="Q86" s="2119"/>
      <c r="R86" s="2119"/>
      <c r="S86" s="2119"/>
      <c r="T86" s="2119"/>
      <c r="U86" s="2119"/>
      <c r="V86" s="2119">
        <v>0</v>
      </c>
      <c r="W86" s="2119"/>
      <c r="X86" s="2119"/>
      <c r="Y86" s="2119"/>
      <c r="Z86" s="2119"/>
      <c r="AA86" s="2119"/>
      <c r="AB86" s="2119">
        <v>0</v>
      </c>
      <c r="AC86" s="2119"/>
      <c r="AD86" s="2119"/>
      <c r="AE86" s="2119"/>
      <c r="AF86" s="2119"/>
      <c r="AG86" s="2119"/>
      <c r="AH86" s="2120"/>
      <c r="AI86" s="1202"/>
      <c r="AJ86" s="2094"/>
      <c r="AK86" s="2095"/>
      <c r="AL86" s="2095"/>
      <c r="AM86" s="2095"/>
      <c r="AN86" s="2095"/>
      <c r="AO86" s="2095"/>
      <c r="AP86" s="2095"/>
      <c r="AQ86" s="2095"/>
      <c r="AR86" s="2095"/>
      <c r="AS86" s="2095"/>
      <c r="AT86" s="2095"/>
      <c r="AU86" s="2095"/>
      <c r="AV86" s="2095"/>
      <c r="AW86" s="2095"/>
      <c r="AX86" s="2095"/>
      <c r="AY86" s="2095"/>
      <c r="AZ86" s="2095"/>
      <c r="BA86" s="2095"/>
      <c r="BB86" s="209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2"/>
      <c r="G90" s="2103"/>
      <c r="H90" s="2103"/>
      <c r="I90" s="2103"/>
      <c r="J90" s="2103"/>
      <c r="K90" s="2103"/>
      <c r="L90" s="2103"/>
      <c r="M90" s="2103"/>
      <c r="N90" s="2103"/>
      <c r="O90" s="2103"/>
      <c r="P90" s="2103"/>
      <c r="Q90" s="2103"/>
      <c r="R90" s="2103"/>
      <c r="S90" s="2103"/>
      <c r="T90" s="210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5" t="s">
        <v>2309</v>
      </c>
      <c r="C92" s="2106"/>
      <c r="D92" s="2106"/>
      <c r="E92" s="2106"/>
      <c r="F92" s="2106"/>
      <c r="G92" s="2106"/>
      <c r="H92" s="2106"/>
      <c r="I92" s="2106"/>
      <c r="J92" s="2106"/>
      <c r="K92" s="2106"/>
      <c r="L92" s="2106"/>
      <c r="M92" s="2106"/>
      <c r="N92" s="2106"/>
      <c r="O92" s="2106"/>
      <c r="P92" s="2106"/>
      <c r="Q92" s="2106"/>
      <c r="R92" s="2106"/>
      <c r="S92" s="2106"/>
      <c r="T92" s="2106"/>
      <c r="U92" s="2106"/>
      <c r="V92" s="2106"/>
      <c r="W92" s="2106"/>
      <c r="X92" s="2106"/>
      <c r="Y92" s="2106"/>
      <c r="Z92" s="2106"/>
      <c r="AA92" s="2106"/>
      <c r="AB92" s="2106"/>
      <c r="AC92" s="2106"/>
      <c r="AD92" s="2106"/>
      <c r="AE92" s="2106"/>
      <c r="AF92" s="2106"/>
      <c r="AG92" s="2106"/>
      <c r="AH92" s="2107"/>
      <c r="AI92" s="1202"/>
      <c r="AJ92" s="2108" t="s">
        <v>2613</v>
      </c>
      <c r="AK92" s="2109"/>
      <c r="AL92" s="2109"/>
      <c r="AM92" s="2109"/>
      <c r="AN92" s="2109"/>
      <c r="AO92" s="2109"/>
      <c r="AP92" s="2109"/>
      <c r="AQ92" s="2109"/>
      <c r="AR92" s="2109"/>
      <c r="AS92" s="2109"/>
      <c r="AT92" s="2109"/>
      <c r="AU92" s="2109"/>
      <c r="AV92" s="2109"/>
      <c r="AW92" s="2109"/>
      <c r="AX92" s="2109"/>
      <c r="AY92" s="2112" t="s">
        <v>545</v>
      </c>
      <c r="AZ92" s="2112"/>
      <c r="BA92" s="2112"/>
      <c r="BB92" s="211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3"/>
      <c r="C93" s="2044"/>
      <c r="D93" s="2044"/>
      <c r="E93" s="2044"/>
      <c r="F93" s="2044"/>
      <c r="G93" s="2044"/>
      <c r="H93" s="2044"/>
      <c r="I93" s="2044" t="s">
        <v>2305</v>
      </c>
      <c r="J93" s="2044"/>
      <c r="K93" s="2044"/>
      <c r="L93" s="2044"/>
      <c r="M93" s="2044"/>
      <c r="N93" s="2044"/>
      <c r="O93" s="2044" t="s">
        <v>2282</v>
      </c>
      <c r="P93" s="2044"/>
      <c r="Q93" s="2044"/>
      <c r="R93" s="2044"/>
      <c r="S93" s="2044"/>
      <c r="T93" s="2044"/>
      <c r="U93" s="2044"/>
      <c r="V93" s="2116" t="s">
        <v>2281</v>
      </c>
      <c r="W93" s="2116"/>
      <c r="X93" s="2116"/>
      <c r="Y93" s="2116"/>
      <c r="Z93" s="2116"/>
      <c r="AA93" s="2116"/>
      <c r="AB93" s="2117" t="s">
        <v>2304</v>
      </c>
      <c r="AC93" s="2117"/>
      <c r="AD93" s="2117"/>
      <c r="AE93" s="2117"/>
      <c r="AF93" s="2117"/>
      <c r="AG93" s="2117"/>
      <c r="AH93" s="2118"/>
      <c r="AI93" s="1202"/>
      <c r="AJ93" s="2110"/>
      <c r="AK93" s="2111"/>
      <c r="AL93" s="2111"/>
      <c r="AM93" s="2111"/>
      <c r="AN93" s="2111"/>
      <c r="AO93" s="2111"/>
      <c r="AP93" s="2111"/>
      <c r="AQ93" s="2111"/>
      <c r="AR93" s="2111"/>
      <c r="AS93" s="2111"/>
      <c r="AT93" s="2111"/>
      <c r="AU93" s="2111"/>
      <c r="AV93" s="2111"/>
      <c r="AW93" s="2111"/>
      <c r="AX93" s="2111"/>
      <c r="AY93" s="2114"/>
      <c r="AZ93" s="2114"/>
      <c r="BA93" s="2114"/>
      <c r="BB93" s="211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3"/>
      <c r="C94" s="2044"/>
      <c r="D94" s="2044"/>
      <c r="E94" s="2044"/>
      <c r="F94" s="2044"/>
      <c r="G94" s="2044"/>
      <c r="H94" s="2044"/>
      <c r="I94" s="2044"/>
      <c r="J94" s="2044"/>
      <c r="K94" s="2044"/>
      <c r="L94" s="2044"/>
      <c r="M94" s="2044"/>
      <c r="N94" s="2044"/>
      <c r="O94" s="2044"/>
      <c r="P94" s="2044"/>
      <c r="Q94" s="2044"/>
      <c r="R94" s="2044"/>
      <c r="S94" s="2044"/>
      <c r="T94" s="2044"/>
      <c r="U94" s="2044"/>
      <c r="V94" s="2116"/>
      <c r="W94" s="2116"/>
      <c r="X94" s="2116"/>
      <c r="Y94" s="2116"/>
      <c r="Z94" s="2116"/>
      <c r="AA94" s="2116"/>
      <c r="AB94" s="2117"/>
      <c r="AC94" s="2117"/>
      <c r="AD94" s="2117"/>
      <c r="AE94" s="2117"/>
      <c r="AF94" s="2117"/>
      <c r="AG94" s="2117"/>
      <c r="AH94" s="2118"/>
      <c r="AI94" s="1202"/>
      <c r="AJ94" s="2110"/>
      <c r="AK94" s="2111"/>
      <c r="AL94" s="2111"/>
      <c r="AM94" s="2111"/>
      <c r="AN94" s="2111"/>
      <c r="AO94" s="2111"/>
      <c r="AP94" s="2111"/>
      <c r="AQ94" s="2111"/>
      <c r="AR94" s="2111"/>
      <c r="AS94" s="2111"/>
      <c r="AT94" s="2111"/>
      <c r="AU94" s="2111"/>
      <c r="AV94" s="2111"/>
      <c r="AW94" s="2111"/>
      <c r="AX94" s="2111"/>
      <c r="AY94" s="2114"/>
      <c r="AZ94" s="2114"/>
      <c r="BA94" s="2114"/>
      <c r="BB94" s="211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3" t="s">
        <v>2303</v>
      </c>
      <c r="C95" s="2044"/>
      <c r="D95" s="2044"/>
      <c r="E95" s="2044"/>
      <c r="F95" s="2044"/>
      <c r="G95" s="2044"/>
      <c r="H95" s="2044"/>
      <c r="I95" s="2121">
        <v>0</v>
      </c>
      <c r="J95" s="2121"/>
      <c r="K95" s="2121"/>
      <c r="L95" s="2121"/>
      <c r="M95" s="2121"/>
      <c r="N95" s="2121"/>
      <c r="O95" s="2121">
        <v>0</v>
      </c>
      <c r="P95" s="2121"/>
      <c r="Q95" s="2121"/>
      <c r="R95" s="2121"/>
      <c r="S95" s="2121"/>
      <c r="T95" s="2121"/>
      <c r="U95" s="2121"/>
      <c r="V95" s="2121">
        <v>0</v>
      </c>
      <c r="W95" s="2121"/>
      <c r="X95" s="2121"/>
      <c r="Y95" s="2121"/>
      <c r="Z95" s="2121"/>
      <c r="AA95" s="2121"/>
      <c r="AB95" s="2121">
        <v>0</v>
      </c>
      <c r="AC95" s="2121"/>
      <c r="AD95" s="2121"/>
      <c r="AE95" s="2121"/>
      <c r="AF95" s="2121"/>
      <c r="AG95" s="2121"/>
      <c r="AH95" s="2122"/>
      <c r="AI95" s="1202"/>
      <c r="AJ95" s="2110"/>
      <c r="AK95" s="2111"/>
      <c r="AL95" s="2111"/>
      <c r="AM95" s="2111"/>
      <c r="AN95" s="2111"/>
      <c r="AO95" s="2111"/>
      <c r="AP95" s="2111"/>
      <c r="AQ95" s="2111"/>
      <c r="AR95" s="2111"/>
      <c r="AS95" s="2111"/>
      <c r="AT95" s="2111"/>
      <c r="AU95" s="2111"/>
      <c r="AV95" s="2111"/>
      <c r="AW95" s="2111"/>
      <c r="AX95" s="2111"/>
      <c r="AY95" s="2114"/>
      <c r="AZ95" s="2114"/>
      <c r="BA95" s="2114"/>
      <c r="BB95" s="211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3" t="s">
        <v>2302</v>
      </c>
      <c r="C96" s="2044"/>
      <c r="D96" s="2044"/>
      <c r="E96" s="2044"/>
      <c r="F96" s="2044"/>
      <c r="G96" s="2044"/>
      <c r="H96" s="2044"/>
      <c r="I96" s="2121">
        <v>0</v>
      </c>
      <c r="J96" s="2121"/>
      <c r="K96" s="2121"/>
      <c r="L96" s="2121"/>
      <c r="M96" s="2121"/>
      <c r="N96" s="2121"/>
      <c r="O96" s="2121">
        <v>0</v>
      </c>
      <c r="P96" s="2121"/>
      <c r="Q96" s="2121"/>
      <c r="R96" s="2121"/>
      <c r="S96" s="2121"/>
      <c r="T96" s="2121"/>
      <c r="U96" s="2121"/>
      <c r="V96" s="2121">
        <v>0</v>
      </c>
      <c r="W96" s="2121"/>
      <c r="X96" s="2121"/>
      <c r="Y96" s="2121"/>
      <c r="Z96" s="2121"/>
      <c r="AA96" s="2121"/>
      <c r="AB96" s="2121">
        <v>0</v>
      </c>
      <c r="AC96" s="2121"/>
      <c r="AD96" s="2121"/>
      <c r="AE96" s="2121"/>
      <c r="AF96" s="2121"/>
      <c r="AG96" s="2121"/>
      <c r="AH96" s="2122"/>
      <c r="AI96" s="1202"/>
      <c r="AJ96" s="2091" t="s">
        <v>2308</v>
      </c>
      <c r="AK96" s="2092"/>
      <c r="AL96" s="2092"/>
      <c r="AM96" s="2092"/>
      <c r="AN96" s="2092"/>
      <c r="AO96" s="2092"/>
      <c r="AP96" s="2092"/>
      <c r="AQ96" s="2092"/>
      <c r="AR96" s="2092"/>
      <c r="AS96" s="2092"/>
      <c r="AT96" s="2092"/>
      <c r="AU96" s="2092"/>
      <c r="AV96" s="2092"/>
      <c r="AW96" s="2092"/>
      <c r="AX96" s="2092"/>
      <c r="AY96" s="2092"/>
      <c r="AZ96" s="2092"/>
      <c r="BA96" s="2092"/>
      <c r="BB96" s="209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1" t="s">
        <v>2301</v>
      </c>
      <c r="C97" s="2062"/>
      <c r="D97" s="2062"/>
      <c r="E97" s="2062"/>
      <c r="F97" s="2062"/>
      <c r="G97" s="2062"/>
      <c r="H97" s="2062"/>
      <c r="I97" s="2119">
        <v>0</v>
      </c>
      <c r="J97" s="2119"/>
      <c r="K97" s="2119"/>
      <c r="L97" s="2119"/>
      <c r="M97" s="2119"/>
      <c r="N97" s="2119"/>
      <c r="O97" s="2119">
        <v>0</v>
      </c>
      <c r="P97" s="2119"/>
      <c r="Q97" s="2119"/>
      <c r="R97" s="2119"/>
      <c r="S97" s="2119"/>
      <c r="T97" s="2119"/>
      <c r="U97" s="2119"/>
      <c r="V97" s="2119">
        <v>0</v>
      </c>
      <c r="W97" s="2119"/>
      <c r="X97" s="2119"/>
      <c r="Y97" s="2119"/>
      <c r="Z97" s="2119"/>
      <c r="AA97" s="2119"/>
      <c r="AB97" s="2119">
        <v>0</v>
      </c>
      <c r="AC97" s="2119"/>
      <c r="AD97" s="2119"/>
      <c r="AE97" s="2119"/>
      <c r="AF97" s="2119"/>
      <c r="AG97" s="2119"/>
      <c r="AH97" s="2120"/>
      <c r="AI97" s="1202"/>
      <c r="AJ97" s="2094"/>
      <c r="AK97" s="2095"/>
      <c r="AL97" s="2095"/>
      <c r="AM97" s="2095"/>
      <c r="AN97" s="2095"/>
      <c r="AO97" s="2095"/>
      <c r="AP97" s="2095"/>
      <c r="AQ97" s="2095"/>
      <c r="AR97" s="2095"/>
      <c r="AS97" s="2095"/>
      <c r="AT97" s="2095"/>
      <c r="AU97" s="2095"/>
      <c r="AV97" s="2095"/>
      <c r="AW97" s="2095"/>
      <c r="AX97" s="2095"/>
      <c r="AY97" s="2095"/>
      <c r="AZ97" s="2095"/>
      <c r="BA97" s="2095"/>
      <c r="BB97" s="209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7" t="s">
        <v>2306</v>
      </c>
      <c r="C102" s="2088"/>
      <c r="D102" s="2088"/>
      <c r="E102" s="2088"/>
      <c r="F102" s="2088"/>
      <c r="G102" s="2088"/>
      <c r="H102" s="2088"/>
      <c r="I102" s="2088"/>
      <c r="J102" s="2088"/>
      <c r="K102" s="2088"/>
      <c r="L102" s="2088"/>
      <c r="M102" s="2088"/>
      <c r="N102" s="2088"/>
      <c r="O102" s="2088"/>
      <c r="P102" s="2088"/>
      <c r="Q102" s="2088"/>
      <c r="R102" s="2088"/>
      <c r="S102" s="2088"/>
      <c r="T102" s="2088"/>
      <c r="U102" s="2088"/>
      <c r="V102" s="2088"/>
      <c r="W102" s="2088"/>
      <c r="X102" s="2088"/>
      <c r="Y102" s="2088"/>
      <c r="Z102" s="2088"/>
      <c r="AA102" s="2088"/>
      <c r="AB102" s="2088"/>
      <c r="AC102" s="2088"/>
      <c r="AD102" s="2088"/>
      <c r="AE102" s="2088"/>
      <c r="AF102" s="2088"/>
      <c r="AG102" s="2088"/>
      <c r="AH102" s="212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3"/>
      <c r="C103" s="2044"/>
      <c r="D103" s="2044"/>
      <c r="E103" s="2044"/>
      <c r="F103" s="2044"/>
      <c r="G103" s="2044"/>
      <c r="H103" s="2044"/>
      <c r="I103" s="2044" t="s">
        <v>2305</v>
      </c>
      <c r="J103" s="2044"/>
      <c r="K103" s="2044"/>
      <c r="L103" s="2044"/>
      <c r="M103" s="2044"/>
      <c r="N103" s="2044"/>
      <c r="O103" s="2044" t="s">
        <v>2282</v>
      </c>
      <c r="P103" s="2044"/>
      <c r="Q103" s="2044"/>
      <c r="R103" s="2044"/>
      <c r="S103" s="2044"/>
      <c r="T103" s="2044"/>
      <c r="U103" s="2044"/>
      <c r="V103" s="2116" t="s">
        <v>2281</v>
      </c>
      <c r="W103" s="2116"/>
      <c r="X103" s="2116"/>
      <c r="Y103" s="2116"/>
      <c r="Z103" s="2116"/>
      <c r="AA103" s="2116"/>
      <c r="AB103" s="2117" t="s">
        <v>2304</v>
      </c>
      <c r="AC103" s="2117"/>
      <c r="AD103" s="2117"/>
      <c r="AE103" s="2117"/>
      <c r="AF103" s="2117"/>
      <c r="AG103" s="2117"/>
      <c r="AH103" s="211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3"/>
      <c r="C104" s="2044"/>
      <c r="D104" s="2044"/>
      <c r="E104" s="2044"/>
      <c r="F104" s="2044"/>
      <c r="G104" s="2044"/>
      <c r="H104" s="2044"/>
      <c r="I104" s="2044"/>
      <c r="J104" s="2044"/>
      <c r="K104" s="2044"/>
      <c r="L104" s="2044"/>
      <c r="M104" s="2044"/>
      <c r="N104" s="2044"/>
      <c r="O104" s="2044"/>
      <c r="P104" s="2044"/>
      <c r="Q104" s="2044"/>
      <c r="R104" s="2044"/>
      <c r="S104" s="2044"/>
      <c r="T104" s="2044"/>
      <c r="U104" s="2044"/>
      <c r="V104" s="2116"/>
      <c r="W104" s="2116"/>
      <c r="X104" s="2116"/>
      <c r="Y104" s="2116"/>
      <c r="Z104" s="2116"/>
      <c r="AA104" s="2116"/>
      <c r="AB104" s="2117"/>
      <c r="AC104" s="2117"/>
      <c r="AD104" s="2117"/>
      <c r="AE104" s="2117"/>
      <c r="AF104" s="2117"/>
      <c r="AG104" s="2117"/>
      <c r="AH104" s="211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3" t="s">
        <v>2303</v>
      </c>
      <c r="C105" s="2044"/>
      <c r="D105" s="2044"/>
      <c r="E105" s="2044"/>
      <c r="F105" s="2044"/>
      <c r="G105" s="2044"/>
      <c r="H105" s="2044"/>
      <c r="I105" s="2121">
        <v>0</v>
      </c>
      <c r="J105" s="2121"/>
      <c r="K105" s="2121"/>
      <c r="L105" s="2121"/>
      <c r="M105" s="2121"/>
      <c r="N105" s="2121"/>
      <c r="O105" s="2121">
        <v>0</v>
      </c>
      <c r="P105" s="2121"/>
      <c r="Q105" s="2121"/>
      <c r="R105" s="2121"/>
      <c r="S105" s="2121"/>
      <c r="T105" s="2121"/>
      <c r="U105" s="2121"/>
      <c r="V105" s="2121">
        <v>0</v>
      </c>
      <c r="W105" s="2121"/>
      <c r="X105" s="2121"/>
      <c r="Y105" s="2121"/>
      <c r="Z105" s="2121"/>
      <c r="AA105" s="2121"/>
      <c r="AB105" s="2121">
        <v>0</v>
      </c>
      <c r="AC105" s="2121"/>
      <c r="AD105" s="2121"/>
      <c r="AE105" s="2121"/>
      <c r="AF105" s="2121"/>
      <c r="AG105" s="2121"/>
      <c r="AH105" s="212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3" t="s">
        <v>2302</v>
      </c>
      <c r="C106" s="2044"/>
      <c r="D106" s="2044"/>
      <c r="E106" s="2044"/>
      <c r="F106" s="2044"/>
      <c r="G106" s="2044"/>
      <c r="H106" s="2044"/>
      <c r="I106" s="2121">
        <v>0</v>
      </c>
      <c r="J106" s="2121"/>
      <c r="K106" s="2121"/>
      <c r="L106" s="2121"/>
      <c r="M106" s="2121"/>
      <c r="N106" s="2121"/>
      <c r="O106" s="2121">
        <v>0</v>
      </c>
      <c r="P106" s="2121"/>
      <c r="Q106" s="2121"/>
      <c r="R106" s="2121"/>
      <c r="S106" s="2121"/>
      <c r="T106" s="2121"/>
      <c r="U106" s="2121"/>
      <c r="V106" s="2121">
        <v>0</v>
      </c>
      <c r="W106" s="2121"/>
      <c r="X106" s="2121"/>
      <c r="Y106" s="2121"/>
      <c r="Z106" s="2121"/>
      <c r="AA106" s="2121"/>
      <c r="AB106" s="2121">
        <v>0</v>
      </c>
      <c r="AC106" s="2121"/>
      <c r="AD106" s="2121"/>
      <c r="AE106" s="2121"/>
      <c r="AF106" s="2121"/>
      <c r="AG106" s="2121"/>
      <c r="AH106" s="212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1" t="s">
        <v>2301</v>
      </c>
      <c r="C107" s="2062"/>
      <c r="D107" s="2062"/>
      <c r="E107" s="2062"/>
      <c r="F107" s="2062"/>
      <c r="G107" s="2062"/>
      <c r="H107" s="2062"/>
      <c r="I107" s="2119">
        <v>0</v>
      </c>
      <c r="J107" s="2119"/>
      <c r="K107" s="2119"/>
      <c r="L107" s="2119"/>
      <c r="M107" s="2119"/>
      <c r="N107" s="2119"/>
      <c r="O107" s="2119">
        <v>0</v>
      </c>
      <c r="P107" s="2119"/>
      <c r="Q107" s="2119"/>
      <c r="R107" s="2119"/>
      <c r="S107" s="2119"/>
      <c r="T107" s="2119"/>
      <c r="U107" s="2119"/>
      <c r="V107" s="2119">
        <v>0</v>
      </c>
      <c r="W107" s="2119"/>
      <c r="X107" s="2119"/>
      <c r="Y107" s="2119"/>
      <c r="Z107" s="2119"/>
      <c r="AA107" s="2119"/>
      <c r="AB107" s="2119">
        <v>0</v>
      </c>
      <c r="AC107" s="2119"/>
      <c r="AD107" s="2119"/>
      <c r="AE107" s="2119"/>
      <c r="AF107" s="2119"/>
      <c r="AG107" s="2119"/>
      <c r="AH107" s="212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7" t="s">
        <v>2614</v>
      </c>
      <c r="C112" s="2128"/>
      <c r="D112" s="2128"/>
      <c r="E112" s="2128"/>
      <c r="F112" s="2128"/>
      <c r="G112" s="2128"/>
      <c r="H112" s="2128"/>
      <c r="I112" s="2128"/>
      <c r="J112" s="2128"/>
      <c r="K112" s="2128"/>
      <c r="L112" s="2128"/>
      <c r="M112" s="2128"/>
      <c r="N112" s="2128"/>
      <c r="O112" s="2128"/>
      <c r="P112" s="2128"/>
      <c r="Q112" s="2128"/>
      <c r="R112" s="2128"/>
      <c r="S112" s="2128"/>
      <c r="T112" s="2128"/>
      <c r="U112" s="2131" t="s">
        <v>545</v>
      </c>
      <c r="V112" s="2131"/>
      <c r="W112" s="2131"/>
      <c r="X112" s="213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9"/>
      <c r="C113" s="2130"/>
      <c r="D113" s="2130"/>
      <c r="E113" s="2130"/>
      <c r="F113" s="2130"/>
      <c r="G113" s="2130"/>
      <c r="H113" s="2130"/>
      <c r="I113" s="2130"/>
      <c r="J113" s="2130"/>
      <c r="K113" s="2130"/>
      <c r="L113" s="2130"/>
      <c r="M113" s="2130"/>
      <c r="N113" s="2130"/>
      <c r="O113" s="2130"/>
      <c r="P113" s="2130"/>
      <c r="Q113" s="2130"/>
      <c r="R113" s="2130"/>
      <c r="S113" s="2130"/>
      <c r="T113" s="2130"/>
      <c r="U113" s="2133"/>
      <c r="V113" s="2133"/>
      <c r="W113" s="2133"/>
      <c r="X113" s="213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9"/>
      <c r="C114" s="2130"/>
      <c r="D114" s="2130"/>
      <c r="E114" s="2130"/>
      <c r="F114" s="2130"/>
      <c r="G114" s="2130"/>
      <c r="H114" s="2130"/>
      <c r="I114" s="2130"/>
      <c r="J114" s="2130"/>
      <c r="K114" s="2130"/>
      <c r="L114" s="2130"/>
      <c r="M114" s="2130"/>
      <c r="N114" s="2130"/>
      <c r="O114" s="2130"/>
      <c r="P114" s="2130"/>
      <c r="Q114" s="2130"/>
      <c r="R114" s="2130"/>
      <c r="S114" s="2130"/>
      <c r="T114" s="2130"/>
      <c r="U114" s="2133"/>
      <c r="V114" s="2133"/>
      <c r="W114" s="2133"/>
      <c r="X114" s="213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9"/>
      <c r="C115" s="2130"/>
      <c r="D115" s="2130"/>
      <c r="E115" s="2130"/>
      <c r="F115" s="2130"/>
      <c r="G115" s="2130"/>
      <c r="H115" s="2130"/>
      <c r="I115" s="2130"/>
      <c r="J115" s="2130"/>
      <c r="K115" s="2130"/>
      <c r="L115" s="2130"/>
      <c r="M115" s="2130"/>
      <c r="N115" s="2130"/>
      <c r="O115" s="2130"/>
      <c r="P115" s="2130"/>
      <c r="Q115" s="2130"/>
      <c r="R115" s="2130"/>
      <c r="S115" s="2130"/>
      <c r="T115" s="2130"/>
      <c r="U115" s="2133"/>
      <c r="V115" s="2133"/>
      <c r="W115" s="2133"/>
      <c r="X115" s="213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5" t="s">
        <v>2614</v>
      </c>
      <c r="C116" s="2136"/>
      <c r="D116" s="2136"/>
      <c r="E116" s="2136"/>
      <c r="F116" s="2136"/>
      <c r="G116" s="2136"/>
      <c r="H116" s="2136"/>
      <c r="I116" s="2136"/>
      <c r="J116" s="2136"/>
      <c r="K116" s="2136"/>
      <c r="L116" s="2136"/>
      <c r="M116" s="2136"/>
      <c r="N116" s="2136"/>
      <c r="O116" s="2136"/>
      <c r="P116" s="2136"/>
      <c r="Q116" s="2136"/>
      <c r="R116" s="2136"/>
      <c r="S116" s="2136"/>
      <c r="T116" s="2136"/>
      <c r="U116" s="2139" t="s">
        <v>545</v>
      </c>
      <c r="V116" s="2139"/>
      <c r="W116" s="2139"/>
      <c r="X116" s="214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7"/>
      <c r="C117" s="2138"/>
      <c r="D117" s="2138"/>
      <c r="E117" s="2138"/>
      <c r="F117" s="2138"/>
      <c r="G117" s="2138"/>
      <c r="H117" s="2138"/>
      <c r="I117" s="2138"/>
      <c r="J117" s="2138"/>
      <c r="K117" s="2138"/>
      <c r="L117" s="2138"/>
      <c r="M117" s="2138"/>
      <c r="N117" s="2138"/>
      <c r="O117" s="2138"/>
      <c r="P117" s="2138"/>
      <c r="Q117" s="2138"/>
      <c r="R117" s="2138"/>
      <c r="S117" s="2138"/>
      <c r="T117" s="2138"/>
      <c r="U117" s="2141"/>
      <c r="V117" s="2141"/>
      <c r="W117" s="2141"/>
      <c r="X117" s="214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8" t="s">
        <v>2298</v>
      </c>
      <c r="Y120" s="2109"/>
      <c r="Z120" s="2109"/>
      <c r="AA120" s="2109"/>
      <c r="AB120" s="2109"/>
      <c r="AC120" s="2109"/>
      <c r="AD120" s="2109"/>
      <c r="AE120" s="2109"/>
      <c r="AF120" s="2109"/>
      <c r="AG120" s="2109"/>
      <c r="AH120" s="2109"/>
      <c r="AI120" s="2109"/>
      <c r="AJ120" s="2109"/>
      <c r="AK120" s="2109"/>
      <c r="AL120" s="2109"/>
      <c r="AM120" s="2109"/>
      <c r="AN120" s="2109"/>
      <c r="AO120" s="2109"/>
      <c r="AP120" s="2109"/>
      <c r="AQ120" s="2109"/>
      <c r="AR120" s="2109"/>
      <c r="AS120" s="2109"/>
      <c r="AT120" s="2109"/>
      <c r="AU120" s="2109"/>
      <c r="AV120" s="2109"/>
      <c r="AW120" s="2109"/>
      <c r="AX120" s="2109"/>
      <c r="AY120" s="2109"/>
      <c r="AZ120" s="2109"/>
      <c r="BA120" s="2109"/>
      <c r="BB120" s="2109"/>
      <c r="BC120" s="2109"/>
      <c r="BD120" s="2149"/>
      <c r="BE120" s="1209"/>
    </row>
    <row r="121" spans="1:57" ht="15.75" customHeight="1">
      <c r="A121" s="1202"/>
      <c r="B121" s="2151" t="s">
        <v>1565</v>
      </c>
      <c r="C121" s="2152"/>
      <c r="D121" s="2152"/>
      <c r="E121" s="2152"/>
      <c r="F121" s="2152"/>
      <c r="G121" s="2152"/>
      <c r="H121" s="2152"/>
      <c r="I121" s="2152"/>
      <c r="J121" s="2152"/>
      <c r="K121" s="2152"/>
      <c r="L121" s="2152"/>
      <c r="M121" s="2152"/>
      <c r="N121" s="2152"/>
      <c r="O121" s="2152"/>
      <c r="P121" s="2152"/>
      <c r="Q121" s="2152"/>
      <c r="R121" s="2152"/>
      <c r="S121" s="2152"/>
      <c r="T121" s="2152"/>
      <c r="U121" s="2153"/>
      <c r="V121" s="1202"/>
      <c r="W121" s="1202"/>
      <c r="X121" s="2110"/>
      <c r="Y121" s="2111"/>
      <c r="Z121" s="2111"/>
      <c r="AA121" s="2111"/>
      <c r="AB121" s="2111"/>
      <c r="AC121" s="2111"/>
      <c r="AD121" s="2111"/>
      <c r="AE121" s="2111"/>
      <c r="AF121" s="2111"/>
      <c r="AG121" s="2111"/>
      <c r="AH121" s="2111"/>
      <c r="AI121" s="2111"/>
      <c r="AJ121" s="2111"/>
      <c r="AK121" s="2111"/>
      <c r="AL121" s="2111"/>
      <c r="AM121" s="2111"/>
      <c r="AN121" s="2111"/>
      <c r="AO121" s="2111"/>
      <c r="AP121" s="2111"/>
      <c r="AQ121" s="2111"/>
      <c r="AR121" s="2111"/>
      <c r="AS121" s="2111"/>
      <c r="AT121" s="2111"/>
      <c r="AU121" s="2111"/>
      <c r="AV121" s="2111"/>
      <c r="AW121" s="2111"/>
      <c r="AX121" s="2111"/>
      <c r="AY121" s="2111"/>
      <c r="AZ121" s="2111"/>
      <c r="BA121" s="2111"/>
      <c r="BB121" s="2111"/>
      <c r="BC121" s="2111"/>
      <c r="BD121" s="2150"/>
      <c r="BE121" s="1209"/>
    </row>
    <row r="122" spans="1:57" ht="15.75" customHeight="1">
      <c r="A122" s="1202"/>
      <c r="B122" s="2169"/>
      <c r="C122" s="2170"/>
      <c r="D122" s="2170"/>
      <c r="E122" s="2170"/>
      <c r="F122" s="2170"/>
      <c r="G122" s="2170"/>
      <c r="H122" s="2170"/>
      <c r="I122" s="2044" t="s">
        <v>2297</v>
      </c>
      <c r="J122" s="2044"/>
      <c r="K122" s="2044"/>
      <c r="L122" s="2044"/>
      <c r="M122" s="2044"/>
      <c r="N122" s="2044"/>
      <c r="O122" s="2173" t="s">
        <v>2296</v>
      </c>
      <c r="P122" s="2173"/>
      <c r="Q122" s="2173"/>
      <c r="R122" s="2173"/>
      <c r="S122" s="2173"/>
      <c r="T122" s="2173"/>
      <c r="U122" s="2174"/>
      <c r="V122" s="1202"/>
      <c r="W122" s="1202"/>
      <c r="X122" s="2091" t="s">
        <v>2266</v>
      </c>
      <c r="Y122" s="2092"/>
      <c r="Z122" s="2092"/>
      <c r="AA122" s="2092"/>
      <c r="AB122" s="2092"/>
      <c r="AC122" s="2092"/>
      <c r="AD122" s="2092"/>
      <c r="AE122" s="2092"/>
      <c r="AF122" s="2092"/>
      <c r="AG122" s="2092"/>
      <c r="AH122" s="2092"/>
      <c r="AI122" s="2092"/>
      <c r="AJ122" s="2092"/>
      <c r="AK122" s="2092"/>
      <c r="AL122" s="2092"/>
      <c r="AM122" s="2092"/>
      <c r="AN122" s="2092"/>
      <c r="AO122" s="2092"/>
      <c r="AP122" s="2092"/>
      <c r="AQ122" s="2092"/>
      <c r="AR122" s="2092"/>
      <c r="AS122" s="2092"/>
      <c r="AT122" s="2092"/>
      <c r="AU122" s="2092"/>
      <c r="AV122" s="2092"/>
      <c r="AW122" s="2092"/>
      <c r="AX122" s="2092"/>
      <c r="AY122" s="2092"/>
      <c r="AZ122" s="2092"/>
      <c r="BA122" s="2092"/>
      <c r="BB122" s="2092"/>
      <c r="BC122" s="2092"/>
      <c r="BD122" s="2093"/>
      <c r="BE122" s="1209"/>
    </row>
    <row r="123" spans="1:57" ht="15.75" customHeight="1">
      <c r="A123" s="1202"/>
      <c r="B123" s="2143" t="s">
        <v>2280</v>
      </c>
      <c r="C123" s="2144"/>
      <c r="D123" s="2144"/>
      <c r="E123" s="2144"/>
      <c r="F123" s="2144"/>
      <c r="G123" s="2144"/>
      <c r="H123" s="2144"/>
      <c r="I123" s="2121">
        <v>0</v>
      </c>
      <c r="J123" s="2121"/>
      <c r="K123" s="2121"/>
      <c r="L123" s="2121"/>
      <c r="M123" s="2121"/>
      <c r="N123" s="2121"/>
      <c r="O123" s="2121">
        <v>0</v>
      </c>
      <c r="P123" s="2121"/>
      <c r="Q123" s="2121"/>
      <c r="R123" s="2121"/>
      <c r="S123" s="2121"/>
      <c r="T123" s="2121"/>
      <c r="U123" s="2122"/>
      <c r="V123" s="1202"/>
      <c r="W123" s="1202"/>
      <c r="X123" s="2091"/>
      <c r="Y123" s="2092"/>
      <c r="Z123" s="2092"/>
      <c r="AA123" s="2092"/>
      <c r="AB123" s="2092"/>
      <c r="AC123" s="2092"/>
      <c r="AD123" s="2092"/>
      <c r="AE123" s="2092"/>
      <c r="AF123" s="2092"/>
      <c r="AG123" s="2092"/>
      <c r="AH123" s="2092"/>
      <c r="AI123" s="2092"/>
      <c r="AJ123" s="2092"/>
      <c r="AK123" s="2092"/>
      <c r="AL123" s="2092"/>
      <c r="AM123" s="2092"/>
      <c r="AN123" s="2092"/>
      <c r="AO123" s="2092"/>
      <c r="AP123" s="2092"/>
      <c r="AQ123" s="2092"/>
      <c r="AR123" s="2092"/>
      <c r="AS123" s="2092"/>
      <c r="AT123" s="2092"/>
      <c r="AU123" s="2092"/>
      <c r="AV123" s="2092"/>
      <c r="AW123" s="2092"/>
      <c r="AX123" s="2092"/>
      <c r="AY123" s="2092"/>
      <c r="AZ123" s="2092"/>
      <c r="BA123" s="2092"/>
      <c r="BB123" s="2092"/>
      <c r="BC123" s="2092"/>
      <c r="BD123" s="2093"/>
      <c r="BE123" s="1209"/>
    </row>
    <row r="124" spans="1:57" ht="15.75" customHeight="1" thickBot="1">
      <c r="A124" s="1202"/>
      <c r="B124" s="2145" t="s">
        <v>2279</v>
      </c>
      <c r="C124" s="2146"/>
      <c r="D124" s="2146"/>
      <c r="E124" s="2146"/>
      <c r="F124" s="2146"/>
      <c r="G124" s="2146"/>
      <c r="H124" s="2146"/>
      <c r="I124" s="2119">
        <v>0</v>
      </c>
      <c r="J124" s="2119"/>
      <c r="K124" s="2119"/>
      <c r="L124" s="2119"/>
      <c r="M124" s="2119"/>
      <c r="N124" s="2119"/>
      <c r="O124" s="2147"/>
      <c r="P124" s="2147"/>
      <c r="Q124" s="2147"/>
      <c r="R124" s="2147"/>
      <c r="S124" s="2147"/>
      <c r="T124" s="2147"/>
      <c r="U124" s="2148"/>
      <c r="V124" s="1202"/>
      <c r="W124" s="1202"/>
      <c r="X124" s="2091"/>
      <c r="Y124" s="2092"/>
      <c r="Z124" s="2092"/>
      <c r="AA124" s="2092"/>
      <c r="AB124" s="2092"/>
      <c r="AC124" s="2092"/>
      <c r="AD124" s="2092"/>
      <c r="AE124" s="2092"/>
      <c r="AF124" s="2092"/>
      <c r="AG124" s="2092"/>
      <c r="AH124" s="2092"/>
      <c r="AI124" s="2092"/>
      <c r="AJ124" s="2092"/>
      <c r="AK124" s="2092"/>
      <c r="AL124" s="2092"/>
      <c r="AM124" s="2092"/>
      <c r="AN124" s="2092"/>
      <c r="AO124" s="2092"/>
      <c r="AP124" s="2092"/>
      <c r="AQ124" s="2092"/>
      <c r="AR124" s="2092"/>
      <c r="AS124" s="2092"/>
      <c r="AT124" s="2092"/>
      <c r="AU124" s="2092"/>
      <c r="AV124" s="2092"/>
      <c r="AW124" s="2092"/>
      <c r="AX124" s="2092"/>
      <c r="AY124" s="2092"/>
      <c r="AZ124" s="2092"/>
      <c r="BA124" s="2092"/>
      <c r="BB124" s="2092"/>
      <c r="BC124" s="2092"/>
      <c r="BD124" s="209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1"/>
      <c r="Y125" s="2092"/>
      <c r="Z125" s="2092"/>
      <c r="AA125" s="2092"/>
      <c r="AB125" s="2092"/>
      <c r="AC125" s="2092"/>
      <c r="AD125" s="2092"/>
      <c r="AE125" s="2092"/>
      <c r="AF125" s="2092"/>
      <c r="AG125" s="2092"/>
      <c r="AH125" s="2092"/>
      <c r="AI125" s="2092"/>
      <c r="AJ125" s="2092"/>
      <c r="AK125" s="2092"/>
      <c r="AL125" s="2092"/>
      <c r="AM125" s="2092"/>
      <c r="AN125" s="2092"/>
      <c r="AO125" s="2092"/>
      <c r="AP125" s="2092"/>
      <c r="AQ125" s="2092"/>
      <c r="AR125" s="2092"/>
      <c r="AS125" s="2092"/>
      <c r="AT125" s="2092"/>
      <c r="AU125" s="2092"/>
      <c r="AV125" s="2092"/>
      <c r="AW125" s="2092"/>
      <c r="AX125" s="2092"/>
      <c r="AY125" s="2092"/>
      <c r="AZ125" s="2092"/>
      <c r="BA125" s="2092"/>
      <c r="BB125" s="2092"/>
      <c r="BC125" s="2092"/>
      <c r="BD125" s="2093"/>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1"/>
      <c r="Y126" s="2092"/>
      <c r="Z126" s="2092"/>
      <c r="AA126" s="2092"/>
      <c r="AB126" s="2092"/>
      <c r="AC126" s="2092"/>
      <c r="AD126" s="2092"/>
      <c r="AE126" s="2092"/>
      <c r="AF126" s="2092"/>
      <c r="AG126" s="2092"/>
      <c r="AH126" s="2092"/>
      <c r="AI126" s="2092"/>
      <c r="AJ126" s="2092"/>
      <c r="AK126" s="2092"/>
      <c r="AL126" s="2092"/>
      <c r="AM126" s="2092"/>
      <c r="AN126" s="2092"/>
      <c r="AO126" s="2092"/>
      <c r="AP126" s="2092"/>
      <c r="AQ126" s="2092"/>
      <c r="AR126" s="2092"/>
      <c r="AS126" s="2092"/>
      <c r="AT126" s="2092"/>
      <c r="AU126" s="2092"/>
      <c r="AV126" s="2092"/>
      <c r="AW126" s="2092"/>
      <c r="AX126" s="2092"/>
      <c r="AY126" s="2092"/>
      <c r="AZ126" s="2092"/>
      <c r="BA126" s="2092"/>
      <c r="BB126" s="2092"/>
      <c r="BC126" s="2092"/>
      <c r="BD126" s="209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1"/>
      <c r="Y127" s="2092"/>
      <c r="Z127" s="2092"/>
      <c r="AA127" s="2092"/>
      <c r="AB127" s="2092"/>
      <c r="AC127" s="2092"/>
      <c r="AD127" s="2092"/>
      <c r="AE127" s="2092"/>
      <c r="AF127" s="2092"/>
      <c r="AG127" s="2092"/>
      <c r="AH127" s="2092"/>
      <c r="AI127" s="2092"/>
      <c r="AJ127" s="2092"/>
      <c r="AK127" s="2092"/>
      <c r="AL127" s="2092"/>
      <c r="AM127" s="2092"/>
      <c r="AN127" s="2092"/>
      <c r="AO127" s="2092"/>
      <c r="AP127" s="2092"/>
      <c r="AQ127" s="2092"/>
      <c r="AR127" s="2092"/>
      <c r="AS127" s="2092"/>
      <c r="AT127" s="2092"/>
      <c r="AU127" s="2092"/>
      <c r="AV127" s="2092"/>
      <c r="AW127" s="2092"/>
      <c r="AX127" s="2092"/>
      <c r="AY127" s="2092"/>
      <c r="AZ127" s="2092"/>
      <c r="BA127" s="2092"/>
      <c r="BB127" s="2092"/>
      <c r="BC127" s="2092"/>
      <c r="BD127" s="2093"/>
      <c r="BE127" s="1209"/>
    </row>
    <row r="128" spans="1:57" ht="15.75" customHeight="1">
      <c r="A128" s="1202"/>
      <c r="B128" s="1945" t="s">
        <v>2294</v>
      </c>
      <c r="C128" s="1946"/>
      <c r="D128" s="1946"/>
      <c r="E128" s="1946"/>
      <c r="F128" s="1946"/>
      <c r="G128" s="1946"/>
      <c r="H128" s="1946"/>
      <c r="I128" s="1946"/>
      <c r="J128" s="1946"/>
      <c r="K128" s="1946"/>
      <c r="L128" s="1946"/>
      <c r="M128" s="1946"/>
      <c r="N128" s="1946"/>
      <c r="O128" s="1946"/>
      <c r="P128" s="1946"/>
      <c r="Q128" s="1946"/>
      <c r="R128" s="1946"/>
      <c r="S128" s="1946"/>
      <c r="T128" s="1946"/>
      <c r="U128" s="1947"/>
      <c r="V128" s="1202"/>
      <c r="W128" s="1202"/>
      <c r="X128" s="2091"/>
      <c r="Y128" s="2092"/>
      <c r="Z128" s="2092"/>
      <c r="AA128" s="2092"/>
      <c r="AB128" s="2092"/>
      <c r="AC128" s="2092"/>
      <c r="AD128" s="2092"/>
      <c r="AE128" s="2092"/>
      <c r="AF128" s="2092"/>
      <c r="AG128" s="2092"/>
      <c r="AH128" s="2092"/>
      <c r="AI128" s="2092"/>
      <c r="AJ128" s="2092"/>
      <c r="AK128" s="2092"/>
      <c r="AL128" s="2092"/>
      <c r="AM128" s="2092"/>
      <c r="AN128" s="2092"/>
      <c r="AO128" s="2092"/>
      <c r="AP128" s="2092"/>
      <c r="AQ128" s="2092"/>
      <c r="AR128" s="2092"/>
      <c r="AS128" s="2092"/>
      <c r="AT128" s="2092"/>
      <c r="AU128" s="2092"/>
      <c r="AV128" s="2092"/>
      <c r="AW128" s="2092"/>
      <c r="AX128" s="2092"/>
      <c r="AY128" s="2092"/>
      <c r="AZ128" s="2092"/>
      <c r="BA128" s="2092"/>
      <c r="BB128" s="2092"/>
      <c r="BC128" s="2092"/>
      <c r="BD128" s="2093"/>
      <c r="BE128" s="1209"/>
    </row>
    <row r="129" spans="1:57" ht="15.75" customHeight="1">
      <c r="A129" s="1202"/>
      <c r="B129" s="2169"/>
      <c r="C129" s="2170"/>
      <c r="D129" s="2170"/>
      <c r="E129" s="2170"/>
      <c r="F129" s="2170"/>
      <c r="G129" s="2170"/>
      <c r="H129" s="2170"/>
      <c r="I129" s="2171" t="s">
        <v>2282</v>
      </c>
      <c r="J129" s="2171"/>
      <c r="K129" s="2171"/>
      <c r="L129" s="2171"/>
      <c r="M129" s="2171"/>
      <c r="N129" s="2171"/>
      <c r="O129" s="2171"/>
      <c r="P129" s="2171" t="s">
        <v>2281</v>
      </c>
      <c r="Q129" s="2171"/>
      <c r="R129" s="2171"/>
      <c r="S129" s="2171"/>
      <c r="T129" s="2171"/>
      <c r="U129" s="2172"/>
      <c r="V129" s="1202"/>
      <c r="W129" s="1202"/>
      <c r="X129" s="2091"/>
      <c r="Y129" s="2092"/>
      <c r="Z129" s="2092"/>
      <c r="AA129" s="2092"/>
      <c r="AB129" s="2092"/>
      <c r="AC129" s="2092"/>
      <c r="AD129" s="2092"/>
      <c r="AE129" s="2092"/>
      <c r="AF129" s="2092"/>
      <c r="AG129" s="2092"/>
      <c r="AH129" s="2092"/>
      <c r="AI129" s="2092"/>
      <c r="AJ129" s="2092"/>
      <c r="AK129" s="2092"/>
      <c r="AL129" s="2092"/>
      <c r="AM129" s="2092"/>
      <c r="AN129" s="2092"/>
      <c r="AO129" s="2092"/>
      <c r="AP129" s="2092"/>
      <c r="AQ129" s="2092"/>
      <c r="AR129" s="2092"/>
      <c r="AS129" s="2092"/>
      <c r="AT129" s="2092"/>
      <c r="AU129" s="2092"/>
      <c r="AV129" s="2092"/>
      <c r="AW129" s="2092"/>
      <c r="AX129" s="2092"/>
      <c r="AY129" s="2092"/>
      <c r="AZ129" s="2092"/>
      <c r="BA129" s="2092"/>
      <c r="BB129" s="2092"/>
      <c r="BC129" s="2092"/>
      <c r="BD129" s="2093"/>
      <c r="BE129" s="1209"/>
    </row>
    <row r="130" spans="1:57" ht="15.75" customHeight="1">
      <c r="A130" s="1202"/>
      <c r="B130" s="2169"/>
      <c r="C130" s="2170"/>
      <c r="D130" s="2170"/>
      <c r="E130" s="2170"/>
      <c r="F130" s="2170"/>
      <c r="G130" s="2170"/>
      <c r="H130" s="2170"/>
      <c r="I130" s="2171"/>
      <c r="J130" s="2171"/>
      <c r="K130" s="2171"/>
      <c r="L130" s="2171"/>
      <c r="M130" s="2171"/>
      <c r="N130" s="2171"/>
      <c r="O130" s="2171"/>
      <c r="P130" s="2171"/>
      <c r="Q130" s="2171"/>
      <c r="R130" s="2171"/>
      <c r="S130" s="2171"/>
      <c r="T130" s="2171"/>
      <c r="U130" s="2172"/>
      <c r="V130" s="1202"/>
      <c r="W130" s="1202"/>
      <c r="X130" s="2091"/>
      <c r="Y130" s="2092"/>
      <c r="Z130" s="2092"/>
      <c r="AA130" s="2092"/>
      <c r="AB130" s="2092"/>
      <c r="AC130" s="2092"/>
      <c r="AD130" s="2092"/>
      <c r="AE130" s="2092"/>
      <c r="AF130" s="2092"/>
      <c r="AG130" s="2092"/>
      <c r="AH130" s="2092"/>
      <c r="AI130" s="2092"/>
      <c r="AJ130" s="2092"/>
      <c r="AK130" s="2092"/>
      <c r="AL130" s="2092"/>
      <c r="AM130" s="2092"/>
      <c r="AN130" s="2092"/>
      <c r="AO130" s="2092"/>
      <c r="AP130" s="2092"/>
      <c r="AQ130" s="2092"/>
      <c r="AR130" s="2092"/>
      <c r="AS130" s="2092"/>
      <c r="AT130" s="2092"/>
      <c r="AU130" s="2092"/>
      <c r="AV130" s="2092"/>
      <c r="AW130" s="2092"/>
      <c r="AX130" s="2092"/>
      <c r="AY130" s="2092"/>
      <c r="AZ130" s="2092"/>
      <c r="BA130" s="2092"/>
      <c r="BB130" s="2092"/>
      <c r="BC130" s="2092"/>
      <c r="BD130" s="2093"/>
      <c r="BE130" s="1209"/>
    </row>
    <row r="131" spans="1:57" ht="15.75" customHeight="1">
      <c r="A131" s="1202"/>
      <c r="B131" s="2143" t="s">
        <v>2280</v>
      </c>
      <c r="C131" s="2144"/>
      <c r="D131" s="2144"/>
      <c r="E131" s="2144"/>
      <c r="F131" s="2144"/>
      <c r="G131" s="2144"/>
      <c r="H131" s="2144"/>
      <c r="I131" s="2121">
        <v>0</v>
      </c>
      <c r="J131" s="2121"/>
      <c r="K131" s="2121"/>
      <c r="L131" s="2121"/>
      <c r="M131" s="2121"/>
      <c r="N131" s="2121"/>
      <c r="O131" s="2121"/>
      <c r="P131" s="2121">
        <v>0</v>
      </c>
      <c r="Q131" s="2121"/>
      <c r="R131" s="2121"/>
      <c r="S131" s="2121"/>
      <c r="T131" s="2121"/>
      <c r="U131" s="2122"/>
      <c r="V131" s="1202"/>
      <c r="W131" s="1202"/>
      <c r="X131" s="2091"/>
      <c r="Y131" s="2092"/>
      <c r="Z131" s="2092"/>
      <c r="AA131" s="2092"/>
      <c r="AB131" s="2092"/>
      <c r="AC131" s="2092"/>
      <c r="AD131" s="2092"/>
      <c r="AE131" s="2092"/>
      <c r="AF131" s="2092"/>
      <c r="AG131" s="2092"/>
      <c r="AH131" s="2092"/>
      <c r="AI131" s="2092"/>
      <c r="AJ131" s="2092"/>
      <c r="AK131" s="2092"/>
      <c r="AL131" s="2092"/>
      <c r="AM131" s="2092"/>
      <c r="AN131" s="2092"/>
      <c r="AO131" s="2092"/>
      <c r="AP131" s="2092"/>
      <c r="AQ131" s="2092"/>
      <c r="AR131" s="2092"/>
      <c r="AS131" s="2092"/>
      <c r="AT131" s="2092"/>
      <c r="AU131" s="2092"/>
      <c r="AV131" s="2092"/>
      <c r="AW131" s="2092"/>
      <c r="AX131" s="2092"/>
      <c r="AY131" s="2092"/>
      <c r="AZ131" s="2092"/>
      <c r="BA131" s="2092"/>
      <c r="BB131" s="2092"/>
      <c r="BC131" s="2092"/>
      <c r="BD131" s="2093"/>
      <c r="BE131" s="1209"/>
    </row>
    <row r="132" spans="1:57" ht="15.75" customHeight="1" thickBot="1">
      <c r="A132" s="1202"/>
      <c r="B132" s="2145" t="s">
        <v>2279</v>
      </c>
      <c r="C132" s="2146"/>
      <c r="D132" s="2146"/>
      <c r="E132" s="2146"/>
      <c r="F132" s="2146"/>
      <c r="G132" s="2146"/>
      <c r="H132" s="2146"/>
      <c r="I132" s="2119">
        <v>0</v>
      </c>
      <c r="J132" s="2119"/>
      <c r="K132" s="2119"/>
      <c r="L132" s="2119"/>
      <c r="M132" s="2119"/>
      <c r="N132" s="2119"/>
      <c r="O132" s="2119"/>
      <c r="P132" s="2119">
        <v>0</v>
      </c>
      <c r="Q132" s="2119"/>
      <c r="R132" s="2119"/>
      <c r="S132" s="2119"/>
      <c r="T132" s="2119"/>
      <c r="U132" s="2120"/>
      <c r="V132" s="1202"/>
      <c r="W132" s="1202"/>
      <c r="X132" s="2094"/>
      <c r="Y132" s="2095"/>
      <c r="Z132" s="2095"/>
      <c r="AA132" s="2095"/>
      <c r="AB132" s="2095"/>
      <c r="AC132" s="2095"/>
      <c r="AD132" s="2095"/>
      <c r="AE132" s="2095"/>
      <c r="AF132" s="2095"/>
      <c r="AG132" s="2095"/>
      <c r="AH132" s="2095"/>
      <c r="AI132" s="2095"/>
      <c r="AJ132" s="2095"/>
      <c r="AK132" s="2095"/>
      <c r="AL132" s="2095"/>
      <c r="AM132" s="2095"/>
      <c r="AN132" s="2095"/>
      <c r="AO132" s="2095"/>
      <c r="AP132" s="2095"/>
      <c r="AQ132" s="2095"/>
      <c r="AR132" s="2095"/>
      <c r="AS132" s="2095"/>
      <c r="AT132" s="2095"/>
      <c r="AU132" s="2095"/>
      <c r="AV132" s="2095"/>
      <c r="AW132" s="2095"/>
      <c r="AX132" s="2095"/>
      <c r="AY132" s="2095"/>
      <c r="AZ132" s="2095"/>
      <c r="BA132" s="2095"/>
      <c r="BB132" s="2095"/>
      <c r="BC132" s="2095"/>
      <c r="BD132" s="209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7" t="s">
        <v>2293</v>
      </c>
      <c r="C134" s="2168"/>
      <c r="D134" s="2168"/>
      <c r="E134" s="2168"/>
      <c r="F134" s="2168"/>
      <c r="G134" s="2168"/>
      <c r="H134" s="2168"/>
      <c r="I134" s="2168"/>
      <c r="J134" s="2168"/>
      <c r="K134" s="2168"/>
      <c r="L134" s="2168"/>
      <c r="M134" s="2168"/>
      <c r="N134" s="2168"/>
      <c r="O134" s="2168"/>
      <c r="P134" s="2168"/>
      <c r="Q134" s="2168"/>
      <c r="R134" s="2168"/>
      <c r="S134" s="2168"/>
      <c r="T134" s="2168"/>
      <c r="U134" s="2168"/>
      <c r="V134" s="2168"/>
      <c r="W134" s="2168"/>
      <c r="X134" s="2168"/>
      <c r="Y134" s="2168"/>
      <c r="Z134" s="2168"/>
      <c r="AA134" s="2168"/>
      <c r="AB134" s="2168"/>
      <c r="AC134" s="2168"/>
      <c r="AD134" s="2168"/>
      <c r="AE134" s="2168"/>
      <c r="AF134" s="2168"/>
      <c r="AG134" s="2168"/>
      <c r="AH134" s="2068" t="s">
        <v>545</v>
      </c>
      <c r="AI134" s="2068"/>
      <c r="AJ134" s="2068"/>
      <c r="AK134" s="2068"/>
      <c r="AL134" s="2068"/>
      <c r="AM134" s="2068"/>
      <c r="AN134" s="2068"/>
      <c r="AO134" s="2068"/>
      <c r="AP134" s="2068"/>
      <c r="AQ134" s="2068"/>
      <c r="AR134" s="2068"/>
      <c r="AS134" s="2068"/>
      <c r="AT134" s="2068"/>
      <c r="AU134" s="2068"/>
      <c r="AV134" s="2068"/>
      <c r="AW134" s="2068"/>
      <c r="AX134" s="2069"/>
      <c r="AY134" s="1202"/>
      <c r="AZ134" s="1202"/>
      <c r="BA134" s="1202"/>
      <c r="BB134" s="1202"/>
      <c r="BC134" s="1202"/>
      <c r="BD134" s="1202"/>
      <c r="BE134" s="1209"/>
    </row>
    <row r="135" spans="1:57" ht="15.75" customHeight="1" thickBot="1">
      <c r="A135" s="1202"/>
      <c r="B135" s="2154" t="s">
        <v>2292</v>
      </c>
      <c r="C135" s="2155"/>
      <c r="D135" s="2155"/>
      <c r="E135" s="2155"/>
      <c r="F135" s="2155"/>
      <c r="G135" s="2155"/>
      <c r="H135" s="2155"/>
      <c r="I135" s="2155"/>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6"/>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54" t="s">
        <v>2291</v>
      </c>
      <c r="C136" s="2155"/>
      <c r="D136" s="2155"/>
      <c r="E136" s="2155"/>
      <c r="F136" s="2155"/>
      <c r="G136" s="2155"/>
      <c r="H136" s="2155"/>
      <c r="I136" s="2155"/>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6"/>
      <c r="AH136" s="2068" t="s">
        <v>545</v>
      </c>
      <c r="AI136" s="2068"/>
      <c r="AJ136" s="2068"/>
      <c r="AK136" s="2068"/>
      <c r="AL136" s="2068"/>
      <c r="AM136" s="2068"/>
      <c r="AN136" s="2068"/>
      <c r="AO136" s="2068"/>
      <c r="AP136" s="2068"/>
      <c r="AQ136" s="2068"/>
      <c r="AR136" s="2068"/>
      <c r="AS136" s="2068"/>
      <c r="AT136" s="2068"/>
      <c r="AU136" s="2068"/>
      <c r="AV136" s="2068"/>
      <c r="AW136" s="2068"/>
      <c r="AX136" s="2069"/>
      <c r="AY136" s="1202"/>
      <c r="AZ136" s="1202"/>
      <c r="BA136" s="1202"/>
      <c r="BB136" s="1202"/>
      <c r="BC136" s="1202"/>
      <c r="BD136" s="1202"/>
      <c r="BE136" s="1209"/>
    </row>
    <row r="137" spans="1:57" ht="15.75" customHeight="1">
      <c r="A137" s="1202"/>
      <c r="B137" s="2157" t="s">
        <v>2290</v>
      </c>
      <c r="C137" s="2158"/>
      <c r="D137" s="2158"/>
      <c r="E137" s="2158"/>
      <c r="F137" s="2158"/>
      <c r="G137" s="2158"/>
      <c r="H137" s="2158"/>
      <c r="I137" s="2158"/>
      <c r="J137" s="2158"/>
      <c r="K137" s="2158"/>
      <c r="L137" s="2158"/>
      <c r="M137" s="2158"/>
      <c r="N137" s="2158"/>
      <c r="O137" s="2158"/>
      <c r="P137" s="2158"/>
      <c r="Q137" s="2158"/>
      <c r="R137" s="2159" t="s">
        <v>2289</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250</v>
      </c>
      <c r="BD137" s="1202"/>
      <c r="BE137" s="1209"/>
    </row>
    <row r="138" spans="1:57" ht="15.75" customHeight="1">
      <c r="A138" s="1202"/>
      <c r="B138" s="2161" t="s">
        <v>2288</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thickBo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0" t="s">
        <v>2285</v>
      </c>
      <c r="C151" s="2041"/>
      <c r="D151" s="2041"/>
      <c r="E151" s="2041"/>
      <c r="F151" s="2041"/>
      <c r="G151" s="2041"/>
      <c r="H151" s="2041"/>
      <c r="I151" s="2041"/>
      <c r="J151" s="2041"/>
      <c r="K151" s="2041"/>
      <c r="L151" s="2041"/>
      <c r="M151" s="2041"/>
      <c r="N151" s="2041"/>
      <c r="O151" s="2041"/>
      <c r="P151" s="2041"/>
      <c r="Q151" s="2041"/>
      <c r="R151" s="2041"/>
      <c r="S151" s="2041"/>
      <c r="T151" s="2041"/>
      <c r="U151" s="2042"/>
      <c r="V151" s="1202"/>
      <c r="W151" s="1203"/>
      <c r="X151" s="2040" t="s">
        <v>2284</v>
      </c>
      <c r="Y151" s="2041"/>
      <c r="Z151" s="2041"/>
      <c r="AA151" s="2041"/>
      <c r="AB151" s="2041"/>
      <c r="AC151" s="2041"/>
      <c r="AD151" s="2041"/>
      <c r="AE151" s="2041"/>
      <c r="AF151" s="2041"/>
      <c r="AG151" s="2041"/>
      <c r="AH151" s="2041"/>
      <c r="AI151" s="2041"/>
      <c r="AJ151" s="2041"/>
      <c r="AK151" s="2041"/>
      <c r="AL151" s="2041"/>
      <c r="AM151" s="2041"/>
      <c r="AN151" s="2041"/>
      <c r="AO151" s="2041"/>
      <c r="AP151" s="2041"/>
      <c r="AQ151" s="2042"/>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9"/>
      <c r="C152" s="2170"/>
      <c r="D152" s="2170"/>
      <c r="E152" s="2170"/>
      <c r="F152" s="2170"/>
      <c r="G152" s="2170"/>
      <c r="H152" s="2170"/>
      <c r="I152" s="2171" t="s">
        <v>2282</v>
      </c>
      <c r="J152" s="2171"/>
      <c r="K152" s="2171"/>
      <c r="L152" s="2171"/>
      <c r="M152" s="2171"/>
      <c r="N152" s="2171"/>
      <c r="O152" s="2171"/>
      <c r="P152" s="2171" t="s">
        <v>2283</v>
      </c>
      <c r="Q152" s="2171"/>
      <c r="R152" s="2171"/>
      <c r="S152" s="2171"/>
      <c r="T152" s="2171"/>
      <c r="U152" s="2172"/>
      <c r="V152" s="1202"/>
      <c r="W152" s="1202"/>
      <c r="X152" s="2169"/>
      <c r="Y152" s="2170"/>
      <c r="Z152" s="2170"/>
      <c r="AA152" s="2170"/>
      <c r="AB152" s="2170"/>
      <c r="AC152" s="2170"/>
      <c r="AD152" s="2170"/>
      <c r="AE152" s="2171" t="s">
        <v>2282</v>
      </c>
      <c r="AF152" s="2171"/>
      <c r="AG152" s="2171"/>
      <c r="AH152" s="2171"/>
      <c r="AI152" s="2171"/>
      <c r="AJ152" s="2171"/>
      <c r="AK152" s="2171"/>
      <c r="AL152" s="2171" t="s">
        <v>2281</v>
      </c>
      <c r="AM152" s="2171"/>
      <c r="AN152" s="2171"/>
      <c r="AO152" s="2171"/>
      <c r="AP152" s="2171"/>
      <c r="AQ152" s="2172"/>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9"/>
      <c r="C153" s="2170"/>
      <c r="D153" s="2170"/>
      <c r="E153" s="2170"/>
      <c r="F153" s="2170"/>
      <c r="G153" s="2170"/>
      <c r="H153" s="2170"/>
      <c r="I153" s="2171"/>
      <c r="J153" s="2171"/>
      <c r="K153" s="2171"/>
      <c r="L153" s="2171"/>
      <c r="M153" s="2171"/>
      <c r="N153" s="2171"/>
      <c r="O153" s="2171"/>
      <c r="P153" s="2171"/>
      <c r="Q153" s="2171"/>
      <c r="R153" s="2171"/>
      <c r="S153" s="2171"/>
      <c r="T153" s="2171"/>
      <c r="U153" s="2172"/>
      <c r="V153" s="1202"/>
      <c r="W153" s="1202"/>
      <c r="X153" s="2169"/>
      <c r="Y153" s="2170"/>
      <c r="Z153" s="2170"/>
      <c r="AA153" s="2170"/>
      <c r="AB153" s="2170"/>
      <c r="AC153" s="2170"/>
      <c r="AD153" s="2170"/>
      <c r="AE153" s="2171"/>
      <c r="AF153" s="2171"/>
      <c r="AG153" s="2171"/>
      <c r="AH153" s="2171"/>
      <c r="AI153" s="2171"/>
      <c r="AJ153" s="2171"/>
      <c r="AK153" s="2171"/>
      <c r="AL153" s="2171"/>
      <c r="AM153" s="2171"/>
      <c r="AN153" s="2171"/>
      <c r="AO153" s="2171"/>
      <c r="AP153" s="2171"/>
      <c r="AQ153" s="217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3" t="s">
        <v>2280</v>
      </c>
      <c r="C154" s="2144"/>
      <c r="D154" s="2144"/>
      <c r="E154" s="2144"/>
      <c r="F154" s="2144"/>
      <c r="G154" s="2144"/>
      <c r="H154" s="2144"/>
      <c r="I154" s="2121">
        <v>0</v>
      </c>
      <c r="J154" s="2121"/>
      <c r="K154" s="2121"/>
      <c r="L154" s="2121"/>
      <c r="M154" s="2121"/>
      <c r="N154" s="2121"/>
      <c r="O154" s="2121"/>
      <c r="P154" s="2121">
        <v>0</v>
      </c>
      <c r="Q154" s="2121"/>
      <c r="R154" s="2121"/>
      <c r="S154" s="2121"/>
      <c r="T154" s="2121"/>
      <c r="U154" s="2122"/>
      <c r="V154" s="1202"/>
      <c r="W154" s="1202"/>
      <c r="X154" s="2145" t="s">
        <v>2280</v>
      </c>
      <c r="Y154" s="2146"/>
      <c r="Z154" s="2146"/>
      <c r="AA154" s="2146"/>
      <c r="AB154" s="2146"/>
      <c r="AC154" s="2146"/>
      <c r="AD154" s="2146"/>
      <c r="AE154" s="2119">
        <v>0</v>
      </c>
      <c r="AF154" s="2119"/>
      <c r="AG154" s="2119"/>
      <c r="AH154" s="2119"/>
      <c r="AI154" s="2119"/>
      <c r="AJ154" s="2119"/>
      <c r="AK154" s="2119"/>
      <c r="AL154" s="2119">
        <v>0</v>
      </c>
      <c r="AM154" s="2119"/>
      <c r="AN154" s="2119"/>
      <c r="AO154" s="2119"/>
      <c r="AP154" s="2119"/>
      <c r="AQ154" s="212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5" t="s">
        <v>2279</v>
      </c>
      <c r="C155" s="2146"/>
      <c r="D155" s="2146"/>
      <c r="E155" s="2146"/>
      <c r="F155" s="2146"/>
      <c r="G155" s="2146"/>
      <c r="H155" s="2146"/>
      <c r="I155" s="2119">
        <v>0</v>
      </c>
      <c r="J155" s="2119"/>
      <c r="K155" s="2119"/>
      <c r="L155" s="2119"/>
      <c r="M155" s="2119"/>
      <c r="N155" s="2119"/>
      <c r="O155" s="2119"/>
      <c r="P155" s="2119">
        <v>0</v>
      </c>
      <c r="Q155" s="2119"/>
      <c r="R155" s="2119"/>
      <c r="S155" s="2119"/>
      <c r="T155" s="2119"/>
      <c r="U155" s="212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0" t="s">
        <v>2278</v>
      </c>
      <c r="D157" s="2041"/>
      <c r="E157" s="2041"/>
      <c r="F157" s="2041"/>
      <c r="G157" s="2041"/>
      <c r="H157" s="2041"/>
      <c r="I157" s="2041"/>
      <c r="J157" s="2041"/>
      <c r="K157" s="2041"/>
      <c r="L157" s="2041"/>
      <c r="M157" s="2041"/>
      <c r="N157" s="2041"/>
      <c r="O157" s="2041"/>
      <c r="P157" s="2041"/>
      <c r="Q157" s="2041"/>
      <c r="R157" s="2041"/>
      <c r="S157" s="2041"/>
      <c r="T157" s="2041"/>
      <c r="U157" s="2041"/>
      <c r="V157" s="2041"/>
      <c r="W157" s="2041"/>
      <c r="X157" s="2041"/>
      <c r="Y157" s="2041"/>
      <c r="Z157" s="2041"/>
      <c r="AA157" s="2041"/>
      <c r="AB157" s="2041"/>
      <c r="AC157" s="2041"/>
      <c r="AD157" s="2041"/>
      <c r="AE157" s="2041"/>
      <c r="AF157" s="2041"/>
      <c r="AG157" s="204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9" t="s">
        <v>2263</v>
      </c>
      <c r="D158" s="2170"/>
      <c r="E158" s="2170"/>
      <c r="F158" s="2170"/>
      <c r="G158" s="2170"/>
      <c r="H158" s="2170"/>
      <c r="I158" s="2170"/>
      <c r="J158" s="2170"/>
      <c r="K158" s="2170"/>
      <c r="L158" s="2170"/>
      <c r="M158" s="2170"/>
      <c r="N158" s="2170"/>
      <c r="O158" s="2170"/>
      <c r="P158" s="2170"/>
      <c r="Q158" s="2170" t="s">
        <v>2277</v>
      </c>
      <c r="R158" s="2170"/>
      <c r="S158" s="2170"/>
      <c r="T158" s="2117" t="s">
        <v>2276</v>
      </c>
      <c r="U158" s="2117"/>
      <c r="V158" s="2117"/>
      <c r="W158" s="2117"/>
      <c r="X158" s="2117"/>
      <c r="Y158" s="2117"/>
      <c r="Z158" s="2117"/>
      <c r="AA158" s="2117"/>
      <c r="AB158" s="2170" t="s">
        <v>2275</v>
      </c>
      <c r="AC158" s="2170"/>
      <c r="AD158" s="2170"/>
      <c r="AE158" s="2170"/>
      <c r="AF158" s="2170"/>
      <c r="AG158" s="218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5" t="s">
        <v>2274</v>
      </c>
      <c r="D159" s="2176"/>
      <c r="E159" s="2176"/>
      <c r="F159" s="2176"/>
      <c r="G159" s="2176"/>
      <c r="H159" s="2176"/>
      <c r="I159" s="2176"/>
      <c r="J159" s="2176"/>
      <c r="K159" s="2176"/>
      <c r="L159" s="2176"/>
      <c r="M159" s="2176"/>
      <c r="N159" s="2176"/>
      <c r="O159" s="2176"/>
      <c r="P159" s="2176"/>
      <c r="Q159" s="2177">
        <v>55</v>
      </c>
      <c r="R159" s="2177"/>
      <c r="S159" s="2177"/>
      <c r="T159" s="2178"/>
      <c r="U159" s="2178"/>
      <c r="V159" s="2178"/>
      <c r="W159" s="2178"/>
      <c r="X159" s="2178"/>
      <c r="Y159" s="2178"/>
      <c r="Z159" s="2178"/>
      <c r="AA159" s="217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5" t="s">
        <v>2273</v>
      </c>
      <c r="D160" s="2176"/>
      <c r="E160" s="2176"/>
      <c r="F160" s="2176"/>
      <c r="G160" s="2176"/>
      <c r="H160" s="2176"/>
      <c r="I160" s="2176"/>
      <c r="J160" s="2176"/>
      <c r="K160" s="2176"/>
      <c r="L160" s="2176"/>
      <c r="M160" s="2176"/>
      <c r="N160" s="2176"/>
      <c r="O160" s="2176"/>
      <c r="P160" s="2176"/>
      <c r="Q160" s="2177">
        <v>55</v>
      </c>
      <c r="R160" s="2177"/>
      <c r="S160" s="2177"/>
      <c r="T160" s="2179"/>
      <c r="U160" s="2179"/>
      <c r="V160" s="2179"/>
      <c r="W160" s="2179"/>
      <c r="X160" s="2179"/>
      <c r="Y160" s="2179"/>
      <c r="Z160" s="2179"/>
      <c r="AA160" s="21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5" t="s">
        <v>2272</v>
      </c>
      <c r="D161" s="2176"/>
      <c r="E161" s="2176"/>
      <c r="F161" s="2176"/>
      <c r="G161" s="2176"/>
      <c r="H161" s="2176"/>
      <c r="I161" s="2176"/>
      <c r="J161" s="2176"/>
      <c r="K161" s="2176"/>
      <c r="L161" s="2176"/>
      <c r="M161" s="2176"/>
      <c r="N161" s="2176"/>
      <c r="O161" s="2176"/>
      <c r="P161" s="2176"/>
      <c r="Q161" s="2177">
        <v>55</v>
      </c>
      <c r="R161" s="2177"/>
      <c r="S161" s="2177"/>
      <c r="T161" s="2178"/>
      <c r="U161" s="2178"/>
      <c r="V161" s="2178"/>
      <c r="W161" s="2178"/>
      <c r="X161" s="2178"/>
      <c r="Y161" s="2178"/>
      <c r="Z161" s="2178"/>
      <c r="AA161" s="217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5" t="s">
        <v>2271</v>
      </c>
      <c r="D162" s="2176"/>
      <c r="E162" s="2176"/>
      <c r="F162" s="2176"/>
      <c r="G162" s="2176"/>
      <c r="H162" s="2176"/>
      <c r="I162" s="2176"/>
      <c r="J162" s="2176"/>
      <c r="K162" s="2176"/>
      <c r="L162" s="2176"/>
      <c r="M162" s="2176"/>
      <c r="N162" s="2176"/>
      <c r="O162" s="2176"/>
      <c r="P162" s="2176"/>
      <c r="Q162" s="2177">
        <v>55</v>
      </c>
      <c r="R162" s="2177"/>
      <c r="S162" s="2177"/>
      <c r="T162" s="2178"/>
      <c r="U162" s="2178"/>
      <c r="V162" s="2178"/>
      <c r="W162" s="2178"/>
      <c r="X162" s="2178"/>
      <c r="Y162" s="2178"/>
      <c r="Z162" s="2178"/>
      <c r="AA162" s="2178"/>
      <c r="AB162" s="2181">
        <v>0</v>
      </c>
      <c r="AC162" s="2181"/>
      <c r="AD162" s="2181"/>
      <c r="AE162" s="2181"/>
      <c r="AF162" s="2181"/>
      <c r="AG162" s="21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5" t="s">
        <v>170</v>
      </c>
      <c r="D163" s="2176"/>
      <c r="E163" s="2176"/>
      <c r="F163" s="2183" t="s">
        <v>2252</v>
      </c>
      <c r="G163" s="2183"/>
      <c r="H163" s="2183"/>
      <c r="I163" s="2183"/>
      <c r="J163" s="2183"/>
      <c r="K163" s="2183"/>
      <c r="L163" s="2183"/>
      <c r="M163" s="2183"/>
      <c r="N163" s="2183"/>
      <c r="O163" s="2183"/>
      <c r="P163" s="2183"/>
      <c r="Q163" s="2177">
        <v>55</v>
      </c>
      <c r="R163" s="2177"/>
      <c r="S163" s="2177"/>
      <c r="T163" s="2179"/>
      <c r="U163" s="2179"/>
      <c r="V163" s="2179"/>
      <c r="W163" s="2179"/>
      <c r="X163" s="2179"/>
      <c r="Y163" s="2179"/>
      <c r="Z163" s="2179"/>
      <c r="AA163" s="2179"/>
      <c r="AB163" s="2181">
        <v>0</v>
      </c>
      <c r="AC163" s="2181"/>
      <c r="AD163" s="2181"/>
      <c r="AE163" s="2181"/>
      <c r="AF163" s="2181"/>
      <c r="AG163" s="21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5" t="s">
        <v>170</v>
      </c>
      <c r="D164" s="2176"/>
      <c r="E164" s="2176"/>
      <c r="F164" s="2183" t="s">
        <v>2252</v>
      </c>
      <c r="G164" s="2183"/>
      <c r="H164" s="2183"/>
      <c r="I164" s="2183"/>
      <c r="J164" s="2183"/>
      <c r="K164" s="2183"/>
      <c r="L164" s="2183"/>
      <c r="M164" s="2183"/>
      <c r="N164" s="2183"/>
      <c r="O164" s="2183"/>
      <c r="P164" s="2183"/>
      <c r="Q164" s="2177">
        <v>55</v>
      </c>
      <c r="R164" s="2177"/>
      <c r="S164" s="2177"/>
      <c r="T164" s="2179"/>
      <c r="U164" s="2179"/>
      <c r="V164" s="2179"/>
      <c r="W164" s="2179"/>
      <c r="X164" s="2179"/>
      <c r="Y164" s="2179"/>
      <c r="Z164" s="2179"/>
      <c r="AA164" s="2179"/>
      <c r="AB164" s="2181">
        <v>0</v>
      </c>
      <c r="AC164" s="2181"/>
      <c r="AD164" s="2181"/>
      <c r="AE164" s="2181"/>
      <c r="AF164" s="2181"/>
      <c r="AG164" s="218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4" t="s">
        <v>170</v>
      </c>
      <c r="D165" s="2185"/>
      <c r="E165" s="2185"/>
      <c r="F165" s="2186" t="s">
        <v>2252</v>
      </c>
      <c r="G165" s="2186"/>
      <c r="H165" s="2186"/>
      <c r="I165" s="2186"/>
      <c r="J165" s="2186"/>
      <c r="K165" s="2186"/>
      <c r="L165" s="2186"/>
      <c r="M165" s="2186"/>
      <c r="N165" s="2186"/>
      <c r="O165" s="2186"/>
      <c r="P165" s="2186"/>
      <c r="Q165" s="2187">
        <v>55</v>
      </c>
      <c r="R165" s="2187"/>
      <c r="S165" s="2187"/>
      <c r="T165" s="2188"/>
      <c r="U165" s="2188"/>
      <c r="V165" s="2188"/>
      <c r="W165" s="2188"/>
      <c r="X165" s="2188"/>
      <c r="Y165" s="2188"/>
      <c r="Z165" s="2188"/>
      <c r="AA165" s="2188"/>
      <c r="AB165" s="2189">
        <v>0</v>
      </c>
      <c r="AC165" s="2189"/>
      <c r="AD165" s="2189"/>
      <c r="AE165" s="2189"/>
      <c r="AF165" s="2189"/>
      <c r="AG165" s="21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7" t="s">
        <v>2270</v>
      </c>
      <c r="D167" s="2088"/>
      <c r="E167" s="2088"/>
      <c r="F167" s="2088"/>
      <c r="G167" s="2088"/>
      <c r="H167" s="2088"/>
      <c r="I167" s="2088"/>
      <c r="J167" s="2088"/>
      <c r="K167" s="2088"/>
      <c r="L167" s="2088"/>
      <c r="M167" s="2088"/>
      <c r="N167" s="2126"/>
      <c r="O167" s="1202"/>
      <c r="P167" s="2191" t="s">
        <v>2269</v>
      </c>
      <c r="Q167" s="2192"/>
      <c r="R167" s="2192"/>
      <c r="S167" s="2192"/>
      <c r="T167" s="2192"/>
      <c r="U167" s="2192"/>
      <c r="V167" s="2192"/>
      <c r="W167" s="2192"/>
      <c r="X167" s="2192"/>
      <c r="Y167" s="2192"/>
      <c r="Z167" s="2192"/>
      <c r="AA167" s="2192"/>
      <c r="AB167" s="2192"/>
      <c r="AC167" s="2192"/>
      <c r="AD167" s="2192"/>
      <c r="AE167" s="2192"/>
      <c r="AF167" s="2192"/>
      <c r="AG167" s="2192"/>
      <c r="AH167" s="2192"/>
      <c r="AI167" s="2192"/>
      <c r="AJ167" s="2192"/>
      <c r="AK167" s="2192"/>
      <c r="AL167" s="2192"/>
      <c r="AM167" s="2192"/>
      <c r="AN167" s="2192"/>
      <c r="AO167" s="219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9" t="s">
        <v>2268</v>
      </c>
      <c r="D168" s="2170"/>
      <c r="E168" s="2170"/>
      <c r="F168" s="2170"/>
      <c r="G168" s="2170"/>
      <c r="H168" s="2170"/>
      <c r="I168" s="2170" t="s">
        <v>2267</v>
      </c>
      <c r="J168" s="2170"/>
      <c r="K168" s="2170"/>
      <c r="L168" s="2170"/>
      <c r="M168" s="2170"/>
      <c r="N168" s="2180"/>
      <c r="O168" s="1202"/>
      <c r="P168" s="2091" t="s">
        <v>2266</v>
      </c>
      <c r="Q168" s="2092"/>
      <c r="R168" s="2092"/>
      <c r="S168" s="2092"/>
      <c r="T168" s="2092"/>
      <c r="U168" s="2092"/>
      <c r="V168" s="2092"/>
      <c r="W168" s="2092"/>
      <c r="X168" s="2092"/>
      <c r="Y168" s="2092"/>
      <c r="Z168" s="2092"/>
      <c r="AA168" s="2092"/>
      <c r="AB168" s="2092"/>
      <c r="AC168" s="2092"/>
      <c r="AD168" s="2092"/>
      <c r="AE168" s="2092"/>
      <c r="AF168" s="2092"/>
      <c r="AG168" s="2092"/>
      <c r="AH168" s="2092"/>
      <c r="AI168" s="2092"/>
      <c r="AJ168" s="2092"/>
      <c r="AK168" s="2092"/>
      <c r="AL168" s="2092"/>
      <c r="AM168" s="2092"/>
      <c r="AN168" s="2092"/>
      <c r="AO168" s="209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7"/>
      <c r="D169" s="2047"/>
      <c r="E169" s="2047"/>
      <c r="F169" s="2047"/>
      <c r="G169" s="2047"/>
      <c r="H169" s="2047"/>
      <c r="I169" s="2178"/>
      <c r="J169" s="2178"/>
      <c r="K169" s="2178"/>
      <c r="L169" s="2178"/>
      <c r="M169" s="2178"/>
      <c r="N169" s="2194"/>
      <c r="O169" s="1202"/>
      <c r="P169" s="2091"/>
      <c r="Q169" s="2092"/>
      <c r="R169" s="2092"/>
      <c r="S169" s="2092"/>
      <c r="T169" s="2092"/>
      <c r="U169" s="2092"/>
      <c r="V169" s="2092"/>
      <c r="W169" s="2092"/>
      <c r="X169" s="2092"/>
      <c r="Y169" s="2092"/>
      <c r="Z169" s="2092"/>
      <c r="AA169" s="2092"/>
      <c r="AB169" s="2092"/>
      <c r="AC169" s="2092"/>
      <c r="AD169" s="2092"/>
      <c r="AE169" s="2092"/>
      <c r="AF169" s="2092"/>
      <c r="AG169" s="2092"/>
      <c r="AH169" s="2092"/>
      <c r="AI169" s="2092"/>
      <c r="AJ169" s="2092"/>
      <c r="AK169" s="2092"/>
      <c r="AL169" s="2092"/>
      <c r="AM169" s="2092"/>
      <c r="AN169" s="2092"/>
      <c r="AO169" s="209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7"/>
      <c r="D170" s="2047"/>
      <c r="E170" s="2047"/>
      <c r="F170" s="2047"/>
      <c r="G170" s="2047"/>
      <c r="H170" s="2047"/>
      <c r="I170" s="2178"/>
      <c r="J170" s="2178"/>
      <c r="K170" s="2178"/>
      <c r="L170" s="2178"/>
      <c r="M170" s="2178"/>
      <c r="N170" s="2194"/>
      <c r="O170" s="1202"/>
      <c r="P170" s="2091"/>
      <c r="Q170" s="2092"/>
      <c r="R170" s="2092"/>
      <c r="S170" s="2092"/>
      <c r="T170" s="2092"/>
      <c r="U170" s="2092"/>
      <c r="V170" s="2092"/>
      <c r="W170" s="2092"/>
      <c r="X170" s="2092"/>
      <c r="Y170" s="2092"/>
      <c r="Z170" s="2092"/>
      <c r="AA170" s="2092"/>
      <c r="AB170" s="2092"/>
      <c r="AC170" s="2092"/>
      <c r="AD170" s="2092"/>
      <c r="AE170" s="2092"/>
      <c r="AF170" s="2092"/>
      <c r="AG170" s="2092"/>
      <c r="AH170" s="2092"/>
      <c r="AI170" s="2092"/>
      <c r="AJ170" s="2092"/>
      <c r="AK170" s="2092"/>
      <c r="AL170" s="2092"/>
      <c r="AM170" s="2092"/>
      <c r="AN170" s="2092"/>
      <c r="AO170" s="209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7"/>
      <c r="D171" s="2047"/>
      <c r="E171" s="2047"/>
      <c r="F171" s="2047"/>
      <c r="G171" s="2047"/>
      <c r="H171" s="2047"/>
      <c r="I171" s="2178"/>
      <c r="J171" s="2178"/>
      <c r="K171" s="2178"/>
      <c r="L171" s="2178"/>
      <c r="M171" s="2178"/>
      <c r="N171" s="2194"/>
      <c r="O171" s="1202"/>
      <c r="P171" s="2091"/>
      <c r="Q171" s="2092"/>
      <c r="R171" s="2092"/>
      <c r="S171" s="2092"/>
      <c r="T171" s="2092"/>
      <c r="U171" s="2092"/>
      <c r="V171" s="2092"/>
      <c r="W171" s="2092"/>
      <c r="X171" s="2092"/>
      <c r="Y171" s="2092"/>
      <c r="Z171" s="2092"/>
      <c r="AA171" s="2092"/>
      <c r="AB171" s="2092"/>
      <c r="AC171" s="2092"/>
      <c r="AD171" s="2092"/>
      <c r="AE171" s="2092"/>
      <c r="AF171" s="2092"/>
      <c r="AG171" s="2092"/>
      <c r="AH171" s="2092"/>
      <c r="AI171" s="2092"/>
      <c r="AJ171" s="2092"/>
      <c r="AK171" s="2092"/>
      <c r="AL171" s="2092"/>
      <c r="AM171" s="2092"/>
      <c r="AN171" s="2092"/>
      <c r="AO171" s="209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7"/>
      <c r="D172" s="2047"/>
      <c r="E172" s="2047"/>
      <c r="F172" s="2047"/>
      <c r="G172" s="2047"/>
      <c r="H172" s="2047"/>
      <c r="I172" s="2178"/>
      <c r="J172" s="2178"/>
      <c r="K172" s="2178"/>
      <c r="L172" s="2178"/>
      <c r="M172" s="2178"/>
      <c r="N172" s="2194"/>
      <c r="O172" s="1202"/>
      <c r="P172" s="2091"/>
      <c r="Q172" s="2092"/>
      <c r="R172" s="2092"/>
      <c r="S172" s="2092"/>
      <c r="T172" s="2092"/>
      <c r="U172" s="2092"/>
      <c r="V172" s="2092"/>
      <c r="W172" s="2092"/>
      <c r="X172" s="2092"/>
      <c r="Y172" s="2092"/>
      <c r="Z172" s="2092"/>
      <c r="AA172" s="2092"/>
      <c r="AB172" s="2092"/>
      <c r="AC172" s="2092"/>
      <c r="AD172" s="2092"/>
      <c r="AE172" s="2092"/>
      <c r="AF172" s="2092"/>
      <c r="AG172" s="2092"/>
      <c r="AH172" s="2092"/>
      <c r="AI172" s="2092"/>
      <c r="AJ172" s="2092"/>
      <c r="AK172" s="2092"/>
      <c r="AL172" s="2092"/>
      <c r="AM172" s="2092"/>
      <c r="AN172" s="2092"/>
      <c r="AO172" s="209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7"/>
      <c r="D173" s="2047"/>
      <c r="E173" s="2047"/>
      <c r="F173" s="2047"/>
      <c r="G173" s="2047"/>
      <c r="H173" s="2047"/>
      <c r="I173" s="2178"/>
      <c r="J173" s="2178"/>
      <c r="K173" s="2178"/>
      <c r="L173" s="2178"/>
      <c r="M173" s="2178"/>
      <c r="N173" s="2194"/>
      <c r="O173" s="1202"/>
      <c r="P173" s="2091"/>
      <c r="Q173" s="2092"/>
      <c r="R173" s="2092"/>
      <c r="S173" s="2092"/>
      <c r="T173" s="2092"/>
      <c r="U173" s="2092"/>
      <c r="V173" s="2092"/>
      <c r="W173" s="2092"/>
      <c r="X173" s="2092"/>
      <c r="Y173" s="2092"/>
      <c r="Z173" s="2092"/>
      <c r="AA173" s="2092"/>
      <c r="AB173" s="2092"/>
      <c r="AC173" s="2092"/>
      <c r="AD173" s="2092"/>
      <c r="AE173" s="2092"/>
      <c r="AF173" s="2092"/>
      <c r="AG173" s="2092"/>
      <c r="AH173" s="2092"/>
      <c r="AI173" s="2092"/>
      <c r="AJ173" s="2092"/>
      <c r="AK173" s="2092"/>
      <c r="AL173" s="2092"/>
      <c r="AM173" s="2092"/>
      <c r="AN173" s="2092"/>
      <c r="AO173" s="209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7"/>
      <c r="D174" s="2047"/>
      <c r="E174" s="2047"/>
      <c r="F174" s="2047"/>
      <c r="G174" s="2047"/>
      <c r="H174" s="2047"/>
      <c r="I174" s="2178"/>
      <c r="J174" s="2178"/>
      <c r="K174" s="2178"/>
      <c r="L174" s="2178"/>
      <c r="M174" s="2178"/>
      <c r="N174" s="2194"/>
      <c r="O174" s="1202"/>
      <c r="P174" s="2091"/>
      <c r="Q174" s="2092"/>
      <c r="R174" s="2092"/>
      <c r="S174" s="2092"/>
      <c r="T174" s="2092"/>
      <c r="U174" s="2092"/>
      <c r="V174" s="2092"/>
      <c r="W174" s="2092"/>
      <c r="X174" s="2092"/>
      <c r="Y174" s="2092"/>
      <c r="Z174" s="2092"/>
      <c r="AA174" s="2092"/>
      <c r="AB174" s="2092"/>
      <c r="AC174" s="2092"/>
      <c r="AD174" s="2092"/>
      <c r="AE174" s="2092"/>
      <c r="AF174" s="2092"/>
      <c r="AG174" s="2092"/>
      <c r="AH174" s="2092"/>
      <c r="AI174" s="2092"/>
      <c r="AJ174" s="2092"/>
      <c r="AK174" s="2092"/>
      <c r="AL174" s="2092"/>
      <c r="AM174" s="2092"/>
      <c r="AN174" s="2092"/>
      <c r="AO174" s="209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5"/>
      <c r="D175" s="2196"/>
      <c r="E175" s="2196"/>
      <c r="F175" s="2196"/>
      <c r="G175" s="2196"/>
      <c r="H175" s="2196"/>
      <c r="I175" s="2197"/>
      <c r="J175" s="2197"/>
      <c r="K175" s="2197"/>
      <c r="L175" s="2197"/>
      <c r="M175" s="2197"/>
      <c r="N175" s="2198"/>
      <c r="O175" s="1202"/>
      <c r="P175" s="2094"/>
      <c r="Q175" s="2095"/>
      <c r="R175" s="2095"/>
      <c r="S175" s="2095"/>
      <c r="T175" s="2095"/>
      <c r="U175" s="2095"/>
      <c r="V175" s="2095"/>
      <c r="W175" s="2095"/>
      <c r="X175" s="2095"/>
      <c r="Y175" s="2095"/>
      <c r="Z175" s="2095"/>
      <c r="AA175" s="2095"/>
      <c r="AB175" s="2095"/>
      <c r="AC175" s="2095"/>
      <c r="AD175" s="2095"/>
      <c r="AE175" s="2095"/>
      <c r="AF175" s="2095"/>
      <c r="AG175" s="2095"/>
      <c r="AH175" s="2095"/>
      <c r="AI175" s="2095"/>
      <c r="AJ175" s="2095"/>
      <c r="AK175" s="2095"/>
      <c r="AL175" s="2095"/>
      <c r="AM175" s="2095"/>
      <c r="AN175" s="2095"/>
      <c r="AO175" s="209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2" t="s">
        <v>2265</v>
      </c>
      <c r="D177" s="2203"/>
      <c r="E177" s="2203"/>
      <c r="F177" s="2203"/>
      <c r="G177" s="2203"/>
      <c r="H177" s="2203"/>
      <c r="I177" s="2203"/>
      <c r="J177" s="2203"/>
      <c r="K177" s="2203"/>
      <c r="L177" s="2203"/>
      <c r="M177" s="2203"/>
      <c r="N177" s="2203"/>
      <c r="O177" s="2203"/>
      <c r="P177" s="2203"/>
      <c r="Q177" s="2203"/>
      <c r="R177" s="2203"/>
      <c r="S177" s="2203"/>
      <c r="T177" s="2203"/>
      <c r="U177" s="2203"/>
      <c r="V177" s="2203"/>
      <c r="W177" s="2203"/>
      <c r="X177" s="2203"/>
      <c r="Y177" s="2203"/>
      <c r="Z177" s="2203"/>
      <c r="AA177" s="2203"/>
      <c r="AB177" s="2203"/>
      <c r="AC177" s="2203"/>
      <c r="AD177" s="2203"/>
      <c r="AE177" s="2204"/>
      <c r="AF177" s="1202"/>
      <c r="AG177" s="1202"/>
      <c r="AH177" s="2212"/>
      <c r="AI177" s="2212"/>
      <c r="AJ177" s="2212"/>
      <c r="AK177" s="2212"/>
      <c r="AL177" s="2212"/>
      <c r="AM177" s="2212"/>
      <c r="AN177" s="2212"/>
      <c r="AO177" s="2212"/>
      <c r="AP177" s="2212"/>
      <c r="AQ177" s="2212"/>
      <c r="AR177" s="2212"/>
      <c r="AS177" s="2212"/>
      <c r="AT177" s="2212"/>
      <c r="AU177" s="2212"/>
      <c r="AV177" s="2212"/>
      <c r="AW177" s="2212"/>
      <c r="AX177" s="2212"/>
      <c r="AY177" s="2212"/>
      <c r="AZ177" s="2212"/>
      <c r="BA177" s="2212"/>
      <c r="BB177" s="2212"/>
      <c r="BC177" s="2212"/>
      <c r="BD177" s="2212"/>
      <c r="BE177" s="2212"/>
    </row>
    <row r="178" spans="1:57" ht="15.75" customHeight="1" thickBot="1">
      <c r="A178" s="1202"/>
      <c r="B178" s="1202"/>
      <c r="C178" s="2205"/>
      <c r="D178" s="2206"/>
      <c r="E178" s="2206"/>
      <c r="F178" s="2206"/>
      <c r="G178" s="2206"/>
      <c r="H178" s="2206"/>
      <c r="I178" s="2206"/>
      <c r="J178" s="2206"/>
      <c r="K178" s="2206"/>
      <c r="L178" s="2206"/>
      <c r="M178" s="2206"/>
      <c r="N178" s="2206"/>
      <c r="O178" s="2206"/>
      <c r="P178" s="2206"/>
      <c r="Q178" s="2206"/>
      <c r="R178" s="2206"/>
      <c r="S178" s="2206"/>
      <c r="T178" s="2206"/>
      <c r="U178" s="2206"/>
      <c r="V178" s="2206"/>
      <c r="W178" s="2206"/>
      <c r="X178" s="2206"/>
      <c r="Y178" s="2206"/>
      <c r="Z178" s="2206"/>
      <c r="AA178" s="2206"/>
      <c r="AB178" s="2206"/>
      <c r="AC178" s="2206"/>
      <c r="AD178" s="2206"/>
      <c r="AE178" s="2207"/>
      <c r="AF178" s="1202"/>
      <c r="AG178" s="1202"/>
      <c r="AH178" s="2212"/>
      <c r="AI178" s="2212"/>
      <c r="AJ178" s="2212"/>
      <c r="AK178" s="2212"/>
      <c r="AL178" s="2212"/>
      <c r="AM178" s="2212"/>
      <c r="AN178" s="2212"/>
      <c r="AO178" s="2212"/>
      <c r="AP178" s="2212"/>
      <c r="AQ178" s="2212"/>
      <c r="AR178" s="2212"/>
      <c r="AS178" s="2212"/>
      <c r="AT178" s="2212"/>
      <c r="AU178" s="2212"/>
      <c r="AV178" s="2212"/>
      <c r="AW178" s="2212"/>
      <c r="AX178" s="2212"/>
      <c r="AY178" s="2212"/>
      <c r="AZ178" s="2212"/>
      <c r="BA178" s="2212"/>
      <c r="BB178" s="2212"/>
      <c r="BC178" s="2212"/>
      <c r="BD178" s="2212"/>
      <c r="BE178" s="2212"/>
    </row>
    <row r="179" spans="1:57" ht="15.75" customHeight="1">
      <c r="A179" s="1202"/>
      <c r="B179" s="1202"/>
      <c r="C179" s="2087" t="s">
        <v>2263</v>
      </c>
      <c r="D179" s="2088"/>
      <c r="E179" s="2088"/>
      <c r="F179" s="2088"/>
      <c r="G179" s="2088"/>
      <c r="H179" s="2088"/>
      <c r="I179" s="2088"/>
      <c r="J179" s="2088"/>
      <c r="K179" s="2088"/>
      <c r="L179" s="2088"/>
      <c r="M179" s="2088"/>
      <c r="N179" s="2088" t="s">
        <v>2264</v>
      </c>
      <c r="O179" s="2088"/>
      <c r="P179" s="2088"/>
      <c r="Q179" s="2088"/>
      <c r="R179" s="2088"/>
      <c r="S179" s="2088"/>
      <c r="T179" s="2088"/>
      <c r="U179" s="2041" t="s">
        <v>2263</v>
      </c>
      <c r="V179" s="2041"/>
      <c r="W179" s="2041"/>
      <c r="X179" s="2041"/>
      <c r="Y179" s="2041"/>
      <c r="Z179" s="2041"/>
      <c r="AA179" s="2041"/>
      <c r="AB179" s="2041"/>
      <c r="AC179" s="2041"/>
      <c r="AD179" s="2041"/>
      <c r="AE179" s="2042"/>
      <c r="AF179" s="1202"/>
      <c r="AG179" s="1202"/>
      <c r="AH179" s="2212"/>
      <c r="AI179" s="2212"/>
      <c r="AJ179" s="2212"/>
      <c r="AK179" s="2212"/>
      <c r="AL179" s="2212"/>
      <c r="AM179" s="2212"/>
      <c r="AN179" s="2212"/>
      <c r="AO179" s="2212"/>
      <c r="AP179" s="2212"/>
      <c r="AQ179" s="2212"/>
      <c r="AR179" s="2212"/>
      <c r="AS179" s="2212"/>
      <c r="AT179" s="2212"/>
      <c r="AU179" s="2212"/>
      <c r="AV179" s="2212"/>
      <c r="AW179" s="2212"/>
      <c r="AX179" s="2212"/>
      <c r="AY179" s="2212"/>
      <c r="AZ179" s="2212"/>
      <c r="BA179" s="2212"/>
      <c r="BB179" s="2212"/>
      <c r="BC179" s="2212"/>
      <c r="BD179" s="2212"/>
      <c r="BE179" s="2212"/>
    </row>
    <row r="180" spans="1:57" ht="15.75" customHeight="1">
      <c r="A180" s="1202"/>
      <c r="B180" s="1202"/>
      <c r="C180" s="2199" t="s">
        <v>2262</v>
      </c>
      <c r="D180" s="2200"/>
      <c r="E180" s="2200"/>
      <c r="F180" s="2200"/>
      <c r="G180" s="2200"/>
      <c r="H180" s="2200"/>
      <c r="I180" s="2200"/>
      <c r="J180" s="2200"/>
      <c r="K180" s="2200"/>
      <c r="L180" s="2200"/>
      <c r="M180" s="2200"/>
      <c r="N180" s="2201">
        <f>'Sources and Uses Budget'!B105</f>
        <v>104198532</v>
      </c>
      <c r="O180" s="2201"/>
      <c r="P180" s="2201"/>
      <c r="Q180" s="2201"/>
      <c r="R180" s="2201"/>
      <c r="S180" s="2201"/>
      <c r="T180" s="2201"/>
      <c r="U180" s="2213"/>
      <c r="V180" s="2213"/>
      <c r="W180" s="2213"/>
      <c r="X180" s="2213"/>
      <c r="Y180" s="2213"/>
      <c r="Z180" s="2213"/>
      <c r="AA180" s="2213"/>
      <c r="AB180" s="2213"/>
      <c r="AC180" s="2213"/>
      <c r="AD180" s="2213"/>
      <c r="AE180" s="2214"/>
      <c r="AF180" s="1202"/>
      <c r="AG180" s="1202"/>
      <c r="AH180" s="2212"/>
      <c r="AI180" s="2212"/>
      <c r="AJ180" s="2212"/>
      <c r="AK180" s="2212"/>
      <c r="AL180" s="2212"/>
      <c r="AM180" s="2212"/>
      <c r="AN180" s="2212"/>
      <c r="AO180" s="2212"/>
      <c r="AP180" s="2212"/>
      <c r="AQ180" s="2212"/>
      <c r="AR180" s="2212"/>
      <c r="AS180" s="2212"/>
      <c r="AT180" s="2212"/>
      <c r="AU180" s="2212"/>
      <c r="AV180" s="2212"/>
      <c r="AW180" s="2212"/>
      <c r="AX180" s="2212"/>
      <c r="AY180" s="2212"/>
      <c r="AZ180" s="2212"/>
      <c r="BA180" s="2212"/>
      <c r="BB180" s="2212"/>
      <c r="BC180" s="2212"/>
      <c r="BD180" s="2212"/>
      <c r="BE180" s="2212"/>
    </row>
    <row r="181" spans="1:57" ht="15.75" customHeight="1">
      <c r="A181" s="1202"/>
      <c r="B181" s="1202"/>
      <c r="C181" s="2199" t="s">
        <v>2261</v>
      </c>
      <c r="D181" s="2200"/>
      <c r="E181" s="2200"/>
      <c r="F181" s="2200"/>
      <c r="G181" s="2200"/>
      <c r="H181" s="2200"/>
      <c r="I181" s="2200"/>
      <c r="J181" s="2200"/>
      <c r="K181" s="2200"/>
      <c r="L181" s="2200"/>
      <c r="M181" s="2200"/>
      <c r="N181" s="2201">
        <f>N180/J29</f>
        <v>566296.36956521741</v>
      </c>
      <c r="O181" s="2201"/>
      <c r="P181" s="2201"/>
      <c r="Q181" s="2201"/>
      <c r="R181" s="2201"/>
      <c r="S181" s="2201"/>
      <c r="T181" s="2201"/>
      <c r="U181" s="1242"/>
      <c r="V181" s="1242"/>
      <c r="W181" s="1242"/>
      <c r="X181" s="1242"/>
      <c r="Y181" s="1242"/>
      <c r="Z181" s="1242"/>
      <c r="AA181" s="1242"/>
      <c r="AB181" s="1242"/>
      <c r="AC181" s="1242"/>
      <c r="AD181" s="1242"/>
      <c r="AE181" s="1243"/>
      <c r="AF181" s="1202"/>
      <c r="AG181" s="1202"/>
      <c r="AH181" s="2212"/>
      <c r="AI181" s="2212"/>
      <c r="AJ181" s="2212"/>
      <c r="AK181" s="2212"/>
      <c r="AL181" s="2212"/>
      <c r="AM181" s="2212"/>
      <c r="AN181" s="2212"/>
      <c r="AO181" s="2212"/>
      <c r="AP181" s="2212"/>
      <c r="AQ181" s="2212"/>
      <c r="AR181" s="2212"/>
      <c r="AS181" s="2212"/>
      <c r="AT181" s="2212"/>
      <c r="AU181" s="2212"/>
      <c r="AV181" s="2212"/>
      <c r="AW181" s="2212"/>
      <c r="AX181" s="2212"/>
      <c r="AY181" s="2212"/>
      <c r="AZ181" s="2212"/>
      <c r="BA181" s="2212"/>
      <c r="BB181" s="2212"/>
      <c r="BC181" s="2212"/>
      <c r="BD181" s="2212"/>
      <c r="BE181" s="2212"/>
    </row>
    <row r="182" spans="1:57" ht="15.75" customHeight="1">
      <c r="A182" s="1202"/>
      <c r="B182" s="1202"/>
      <c r="C182" s="2215" t="s">
        <v>2260</v>
      </c>
      <c r="D182" s="2216"/>
      <c r="E182" s="2216"/>
      <c r="F182" s="2216"/>
      <c r="G182" s="2216"/>
      <c r="H182" s="2216"/>
      <c r="I182" s="2216"/>
      <c r="J182" s="2216"/>
      <c r="K182" s="2216"/>
      <c r="L182" s="2216"/>
      <c r="M182" s="2216"/>
      <c r="N182" s="2081">
        <v>0</v>
      </c>
      <c r="O182" s="2081"/>
      <c r="P182" s="2081"/>
      <c r="Q182" s="2081"/>
      <c r="R182" s="2081"/>
      <c r="S182" s="2081"/>
      <c r="T182" s="2081"/>
      <c r="U182" s="2059"/>
      <c r="V182" s="2059"/>
      <c r="W182" s="2059"/>
      <c r="X182" s="2059"/>
      <c r="Y182" s="2059"/>
      <c r="Z182" s="2059"/>
      <c r="AA182" s="2059"/>
      <c r="AB182" s="2059"/>
      <c r="AC182" s="2059"/>
      <c r="AD182" s="2059"/>
      <c r="AE182" s="2060"/>
      <c r="AF182" s="1202"/>
      <c r="AG182" s="1202"/>
      <c r="AH182" s="2212"/>
      <c r="AI182" s="2212"/>
      <c r="AJ182" s="2212"/>
      <c r="AK182" s="2212"/>
      <c r="AL182" s="2212"/>
      <c r="AM182" s="2212"/>
      <c r="AN182" s="2212"/>
      <c r="AO182" s="2212"/>
      <c r="AP182" s="2212"/>
      <c r="AQ182" s="2212"/>
      <c r="AR182" s="2212"/>
      <c r="AS182" s="2212"/>
      <c r="AT182" s="2212"/>
      <c r="AU182" s="2212"/>
      <c r="AV182" s="2212"/>
      <c r="AW182" s="2212"/>
      <c r="AX182" s="2212"/>
      <c r="AY182" s="2212"/>
      <c r="AZ182" s="2212"/>
      <c r="BA182" s="2212"/>
      <c r="BB182" s="2212"/>
      <c r="BC182" s="2212"/>
      <c r="BD182" s="2212"/>
      <c r="BE182" s="2212"/>
    </row>
    <row r="183" spans="1:57" ht="15.75" customHeight="1" thickBot="1">
      <c r="A183" s="1202"/>
      <c r="B183" s="1202"/>
      <c r="C183" s="2199" t="s">
        <v>2259</v>
      </c>
      <c r="D183" s="2200"/>
      <c r="E183" s="2200"/>
      <c r="F183" s="2200"/>
      <c r="G183" s="2200"/>
      <c r="H183" s="2200"/>
      <c r="I183" s="2200"/>
      <c r="J183" s="2200"/>
      <c r="K183" s="2200"/>
      <c r="L183" s="2200"/>
      <c r="M183" s="2200"/>
      <c r="N183" s="2217">
        <f>SUM('Sources and Uses Budget'!B85:B86)</f>
        <v>3000000</v>
      </c>
      <c r="O183" s="2217"/>
      <c r="P183" s="2217"/>
      <c r="Q183" s="2217"/>
      <c r="R183" s="2217"/>
      <c r="S183" s="2217"/>
      <c r="T183" s="2217"/>
      <c r="U183" s="2059"/>
      <c r="V183" s="2059"/>
      <c r="W183" s="2059"/>
      <c r="X183" s="2059"/>
      <c r="Y183" s="2059"/>
      <c r="Z183" s="2059"/>
      <c r="AA183" s="2059"/>
      <c r="AB183" s="2059"/>
      <c r="AC183" s="2059"/>
      <c r="AD183" s="2059"/>
      <c r="AE183" s="2060"/>
      <c r="AF183" s="1202"/>
      <c r="AG183" s="1202"/>
      <c r="AH183" s="2212"/>
      <c r="AI183" s="2212"/>
      <c r="AJ183" s="2212"/>
      <c r="AK183" s="2212"/>
      <c r="AL183" s="2212"/>
      <c r="AM183" s="2212"/>
      <c r="AN183" s="2212"/>
      <c r="AO183" s="2212"/>
      <c r="AP183" s="2212"/>
      <c r="AQ183" s="2212"/>
      <c r="AR183" s="2212"/>
      <c r="AS183" s="2212"/>
      <c r="AT183" s="2212"/>
      <c r="AU183" s="2212"/>
      <c r="AV183" s="2212"/>
      <c r="AW183" s="2212"/>
      <c r="AX183" s="2212"/>
      <c r="AY183" s="2212"/>
      <c r="AZ183" s="2212"/>
      <c r="BA183" s="2212"/>
      <c r="BB183" s="2212"/>
      <c r="BC183" s="2212"/>
      <c r="BD183" s="2212"/>
      <c r="BE183" s="2212"/>
    </row>
    <row r="184" spans="1:57" ht="15.75" customHeight="1" thickBot="1">
      <c r="A184" s="1202"/>
      <c r="B184" s="1202"/>
      <c r="C184" s="2199" t="s">
        <v>2258</v>
      </c>
      <c r="D184" s="2200"/>
      <c r="E184" s="2200"/>
      <c r="F184" s="2200"/>
      <c r="G184" s="2200"/>
      <c r="H184" s="2200"/>
      <c r="I184" s="2200"/>
      <c r="J184" s="2200"/>
      <c r="K184" s="2200"/>
      <c r="L184" s="2200"/>
      <c r="M184" s="2200"/>
      <c r="N184" s="2217">
        <f>'Sources and Uses Budget'!B8</f>
        <v>2000000</v>
      </c>
      <c r="O184" s="2217"/>
      <c r="P184" s="2217"/>
      <c r="Q184" s="2217"/>
      <c r="R184" s="2217"/>
      <c r="S184" s="2217"/>
      <c r="T184" s="2217"/>
      <c r="U184" s="2059"/>
      <c r="V184" s="2059"/>
      <c r="W184" s="2059"/>
      <c r="X184" s="2059"/>
      <c r="Y184" s="2059"/>
      <c r="Z184" s="2059"/>
      <c r="AA184" s="2059"/>
      <c r="AB184" s="2059"/>
      <c r="AC184" s="2059"/>
      <c r="AD184" s="2059"/>
      <c r="AE184" s="2060"/>
      <c r="AF184" s="1202"/>
      <c r="AG184" s="1202"/>
      <c r="AH184" s="2221" t="s">
        <v>2256</v>
      </c>
      <c r="AI184" s="2222"/>
      <c r="AJ184" s="2222"/>
      <c r="AK184" s="2222"/>
      <c r="AL184" s="2222"/>
      <c r="AM184" s="2222"/>
      <c r="AN184" s="2222"/>
      <c r="AO184" s="2222"/>
      <c r="AP184" s="2222"/>
      <c r="AQ184" s="2222"/>
      <c r="AR184" s="2222"/>
      <c r="AS184" s="2222"/>
      <c r="AT184" s="2222"/>
      <c r="AU184" s="2222"/>
      <c r="AV184" s="2222"/>
      <c r="AW184" s="2222"/>
      <c r="AX184" s="2222"/>
      <c r="AY184" s="2222"/>
      <c r="AZ184" s="2222"/>
      <c r="BA184" s="2222"/>
      <c r="BB184" s="2222"/>
      <c r="BC184" s="2222"/>
      <c r="BD184" s="2222"/>
      <c r="BE184" s="2223"/>
    </row>
    <row r="185" spans="1:57" ht="15.75" customHeight="1">
      <c r="A185" s="1202"/>
      <c r="B185" s="1202"/>
      <c r="C185" s="2199" t="s">
        <v>2257</v>
      </c>
      <c r="D185" s="2200"/>
      <c r="E185" s="2200"/>
      <c r="F185" s="2200"/>
      <c r="G185" s="2200"/>
      <c r="H185" s="2200"/>
      <c r="I185" s="2200"/>
      <c r="J185" s="2200"/>
      <c r="K185" s="2200"/>
      <c r="L185" s="2200"/>
      <c r="M185" s="2200"/>
      <c r="N185" s="2208">
        <v>0</v>
      </c>
      <c r="O185" s="2208"/>
      <c r="P185" s="2208"/>
      <c r="Q185" s="2208"/>
      <c r="R185" s="2208"/>
      <c r="S185" s="2208"/>
      <c r="T185" s="2208"/>
      <c r="U185" s="2059"/>
      <c r="V185" s="2059"/>
      <c r="W185" s="2059"/>
      <c r="X185" s="2059"/>
      <c r="Y185" s="2059"/>
      <c r="Z185" s="2059"/>
      <c r="AA185" s="2059"/>
      <c r="AB185" s="2059"/>
      <c r="AC185" s="2059"/>
      <c r="AD185" s="2059"/>
      <c r="AE185" s="2060"/>
      <c r="AF185" s="1202"/>
      <c r="AG185" s="1202"/>
      <c r="AH185" s="2224" t="s">
        <v>2256</v>
      </c>
      <c r="AI185" s="2225"/>
      <c r="AJ185" s="2225"/>
      <c r="AK185" s="2225"/>
      <c r="AL185" s="2225"/>
      <c r="AM185" s="2225"/>
      <c r="AN185" s="2225"/>
      <c r="AO185" s="2225"/>
      <c r="AP185" s="2225"/>
      <c r="AQ185" s="2225"/>
      <c r="AR185" s="2225"/>
      <c r="AS185" s="2225"/>
      <c r="AT185" s="2225"/>
      <c r="AU185" s="2226">
        <v>0</v>
      </c>
      <c r="AV185" s="2226"/>
      <c r="AW185" s="2226"/>
      <c r="AX185" s="2226"/>
      <c r="AY185" s="2226"/>
      <c r="AZ185" s="2226"/>
      <c r="BA185" s="2226"/>
      <c r="BB185" s="2226"/>
      <c r="BC185" s="2227"/>
      <c r="BD185" s="2228"/>
      <c r="BE185" s="2229"/>
    </row>
    <row r="186" spans="1:57" ht="15.75" customHeight="1">
      <c r="A186" s="1202"/>
      <c r="B186" s="1202"/>
      <c r="C186" s="2199" t="s">
        <v>2255</v>
      </c>
      <c r="D186" s="2200"/>
      <c r="E186" s="2200"/>
      <c r="F186" s="2200"/>
      <c r="G186" s="2200"/>
      <c r="H186" s="2200"/>
      <c r="I186" s="2200"/>
      <c r="J186" s="2200"/>
      <c r="K186" s="2200"/>
      <c r="L186" s="2200"/>
      <c r="M186" s="2200"/>
      <c r="N186" s="2208">
        <v>0</v>
      </c>
      <c r="O186" s="2208"/>
      <c r="P186" s="2208"/>
      <c r="Q186" s="2208"/>
      <c r="R186" s="2208"/>
      <c r="S186" s="2208"/>
      <c r="T186" s="2208"/>
      <c r="U186" s="2059"/>
      <c r="V186" s="2059"/>
      <c r="W186" s="2059"/>
      <c r="X186" s="2059"/>
      <c r="Y186" s="2059"/>
      <c r="Z186" s="2059"/>
      <c r="AA186" s="2059"/>
      <c r="AB186" s="2059"/>
      <c r="AC186" s="2059"/>
      <c r="AD186" s="2059"/>
      <c r="AE186" s="2060"/>
      <c r="AF186" s="1202"/>
      <c r="AG186" s="1202"/>
      <c r="AH186" s="2209" t="s">
        <v>2254</v>
      </c>
      <c r="AI186" s="2210"/>
      <c r="AJ186" s="2210"/>
      <c r="AK186" s="2210"/>
      <c r="AL186" s="2210"/>
      <c r="AM186" s="2210"/>
      <c r="AN186" s="2210"/>
      <c r="AO186" s="2210"/>
      <c r="AP186" s="2210"/>
      <c r="AQ186" s="2210"/>
      <c r="AR186" s="2210"/>
      <c r="AS186" s="2210"/>
      <c r="AT186" s="2210"/>
      <c r="AU186" s="2211"/>
      <c r="AV186" s="2211"/>
      <c r="AW186" s="2211"/>
      <c r="AX186" s="2211"/>
      <c r="AY186" s="2211"/>
      <c r="AZ186" s="2211"/>
      <c r="BA186" s="2211"/>
      <c r="BB186" s="2211"/>
      <c r="BC186" s="2218"/>
      <c r="BD186" s="2219"/>
      <c r="BE186" s="2220"/>
    </row>
    <row r="187" spans="1:57" ht="15.75" customHeight="1">
      <c r="A187" s="1202"/>
      <c r="B187" s="1202"/>
      <c r="C187" s="2234" t="s">
        <v>300</v>
      </c>
      <c r="D187" s="2177"/>
      <c r="E187" s="2230" t="s">
        <v>2252</v>
      </c>
      <c r="F187" s="2230"/>
      <c r="G187" s="2230"/>
      <c r="H187" s="2230"/>
      <c r="I187" s="2230"/>
      <c r="J187" s="2230"/>
      <c r="K187" s="2230"/>
      <c r="L187" s="2230"/>
      <c r="M187" s="2230"/>
      <c r="N187" s="2208">
        <v>0</v>
      </c>
      <c r="O187" s="2208"/>
      <c r="P187" s="2208"/>
      <c r="Q187" s="2208"/>
      <c r="R187" s="2208"/>
      <c r="S187" s="2208"/>
      <c r="T187" s="2208"/>
      <c r="U187" s="2059"/>
      <c r="V187" s="2059"/>
      <c r="W187" s="2059"/>
      <c r="X187" s="2059"/>
      <c r="Y187" s="2059"/>
      <c r="Z187" s="2059"/>
      <c r="AA187" s="2059"/>
      <c r="AB187" s="2059"/>
      <c r="AC187" s="2059"/>
      <c r="AD187" s="2059"/>
      <c r="AE187" s="2060"/>
      <c r="AF187" s="1202"/>
      <c r="AG187" s="1202"/>
      <c r="AH187" s="2235" t="s">
        <v>2253</v>
      </c>
      <c r="AI187" s="2236"/>
      <c r="AJ187" s="2236"/>
      <c r="AK187" s="2236"/>
      <c r="AL187" s="2236"/>
      <c r="AM187" s="2236"/>
      <c r="AN187" s="2236"/>
      <c r="AO187" s="2236"/>
      <c r="AP187" s="2236"/>
      <c r="AQ187" s="2236"/>
      <c r="AR187" s="2236"/>
      <c r="AS187" s="2236"/>
      <c r="AT187" s="2236"/>
      <c r="AU187" s="2237">
        <f>SUM(AU185:BB186)</f>
        <v>0</v>
      </c>
      <c r="AV187" s="2237"/>
      <c r="AW187" s="2237"/>
      <c r="AX187" s="2237"/>
      <c r="AY187" s="2237"/>
      <c r="AZ187" s="2237"/>
      <c r="BA187" s="2237"/>
      <c r="BB187" s="2237"/>
      <c r="BC187" s="2218"/>
      <c r="BD187" s="2219"/>
      <c r="BE187" s="2220"/>
    </row>
    <row r="188" spans="1:57" ht="15.75" customHeight="1" thickBot="1">
      <c r="A188" s="1202"/>
      <c r="B188" s="1202"/>
      <c r="C188" s="2097" t="s">
        <v>300</v>
      </c>
      <c r="D188" s="2047"/>
      <c r="E188" s="2230" t="s">
        <v>2252</v>
      </c>
      <c r="F188" s="2230"/>
      <c r="G188" s="2230"/>
      <c r="H188" s="2230"/>
      <c r="I188" s="2230"/>
      <c r="J188" s="2230"/>
      <c r="K188" s="2230"/>
      <c r="L188" s="2230"/>
      <c r="M188" s="2230"/>
      <c r="N188" s="2208">
        <v>0</v>
      </c>
      <c r="O188" s="2208"/>
      <c r="P188" s="2208"/>
      <c r="Q188" s="2208"/>
      <c r="R188" s="2208"/>
      <c r="S188" s="2208"/>
      <c r="T188" s="2208"/>
      <c r="U188" s="2059"/>
      <c r="V188" s="2059"/>
      <c r="W188" s="2059"/>
      <c r="X188" s="2059"/>
      <c r="Y188" s="2059"/>
      <c r="Z188" s="2059"/>
      <c r="AA188" s="2059"/>
      <c r="AB188" s="2059"/>
      <c r="AC188" s="2059"/>
      <c r="AD188" s="2059"/>
      <c r="AE188" s="206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1"/>
      <c r="BD188" s="2232"/>
      <c r="BE188" s="2233"/>
    </row>
    <row r="189" spans="1:57" ht="15.75" customHeight="1" thickBot="1">
      <c r="A189" s="1202"/>
      <c r="B189" s="1202"/>
      <c r="C189" s="2255" t="s">
        <v>300</v>
      </c>
      <c r="D189" s="2256"/>
      <c r="E189" s="2257" t="s">
        <v>2252</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2251</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2250</v>
      </c>
      <c r="D190" s="2239"/>
      <c r="E190" s="2239"/>
      <c r="F190" s="2239"/>
      <c r="G190" s="2239"/>
      <c r="H190" s="2239"/>
      <c r="I190" s="2239"/>
      <c r="J190" s="2239"/>
      <c r="K190" s="2239"/>
      <c r="L190" s="2239"/>
      <c r="M190" s="2239"/>
      <c r="N190" s="2240">
        <f>SUM(N182:T189)</f>
        <v>5000000</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2249</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2248</v>
      </c>
      <c r="D191" s="2249"/>
      <c r="E191" s="2249"/>
      <c r="F191" s="2249"/>
      <c r="G191" s="2249"/>
      <c r="H191" s="2249"/>
      <c r="I191" s="2249"/>
      <c r="J191" s="2249"/>
      <c r="K191" s="2249"/>
      <c r="L191" s="2249"/>
      <c r="M191" s="2249"/>
      <c r="N191" s="2250">
        <f>(N180-N190)/J29</f>
        <v>539122.45652173914</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2" t="s">
        <v>2247</v>
      </c>
      <c r="D194" s="2273"/>
      <c r="E194" s="2273"/>
      <c r="F194" s="2273"/>
      <c r="G194" s="2273"/>
      <c r="H194" s="2273"/>
      <c r="I194" s="2273"/>
      <c r="J194" s="2273"/>
      <c r="K194" s="2273"/>
      <c r="L194" s="2273"/>
      <c r="M194" s="2273"/>
      <c r="N194" s="2273"/>
      <c r="O194" s="2273"/>
      <c r="P194" s="2273"/>
      <c r="Q194" s="2273"/>
      <c r="R194" s="2273"/>
      <c r="S194" s="2273"/>
      <c r="T194" s="2273"/>
      <c r="U194" s="2273"/>
      <c r="V194" s="2273"/>
      <c r="W194" s="2273"/>
      <c r="X194" s="2273"/>
      <c r="Y194" s="2273"/>
      <c r="Z194" s="2273"/>
      <c r="AA194" s="2273"/>
      <c r="AB194" s="2273"/>
      <c r="AC194" s="2273"/>
      <c r="AD194" s="2273"/>
      <c r="AE194" s="227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5" t="s">
        <v>2246</v>
      </c>
      <c r="D195" s="2275"/>
      <c r="E195" s="2275"/>
      <c r="F195" s="2275"/>
      <c r="G195" s="2275"/>
      <c r="H195" s="2275"/>
      <c r="I195" s="2275"/>
      <c r="J195" s="2275"/>
      <c r="K195" s="2275"/>
      <c r="L195" s="2275"/>
      <c r="M195" s="2275"/>
      <c r="N195" s="2275"/>
      <c r="O195" s="2276" t="s">
        <v>2245</v>
      </c>
      <c r="P195" s="2276"/>
      <c r="Q195" s="2276"/>
      <c r="R195" s="2276"/>
      <c r="S195" s="2276"/>
      <c r="T195" s="2276"/>
      <c r="U195" s="2276"/>
      <c r="V195" s="2276"/>
      <c r="W195" s="2276"/>
      <c r="X195" s="2276" t="s">
        <v>2244</v>
      </c>
      <c r="Y195" s="2276"/>
      <c r="Z195" s="2276"/>
      <c r="AA195" s="2276"/>
      <c r="AB195" s="2276"/>
      <c r="AC195" s="2276"/>
      <c r="AD195" s="2276"/>
      <c r="AE195" s="227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7" t="s">
        <v>2243</v>
      </c>
      <c r="D196" s="2267"/>
      <c r="E196" s="2267"/>
      <c r="F196" s="2267"/>
      <c r="G196" s="2267"/>
      <c r="H196" s="2267"/>
      <c r="I196" s="2267"/>
      <c r="J196" s="2267"/>
      <c r="K196" s="2267"/>
      <c r="L196" s="2267"/>
      <c r="M196" s="2267"/>
      <c r="N196" s="2267"/>
      <c r="O196" s="2268" t="s">
        <v>2242</v>
      </c>
      <c r="P196" s="2268"/>
      <c r="Q196" s="2268"/>
      <c r="R196" s="2268"/>
      <c r="S196" s="2268"/>
      <c r="T196" s="2268"/>
      <c r="U196" s="2268"/>
      <c r="V196" s="2268"/>
      <c r="W196" s="2268"/>
      <c r="X196" s="2269">
        <v>0.03</v>
      </c>
      <c r="Y196" s="2269"/>
      <c r="Z196" s="2269"/>
      <c r="AA196" s="2269"/>
      <c r="AB196" s="2269"/>
      <c r="AC196" s="2269"/>
      <c r="AD196" s="2269"/>
      <c r="AE196" s="226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7" t="s">
        <v>854</v>
      </c>
      <c r="D197" s="2267"/>
      <c r="E197" s="2267"/>
      <c r="F197" s="2267"/>
      <c r="G197" s="2267"/>
      <c r="H197" s="2267"/>
      <c r="I197" s="2267"/>
      <c r="J197" s="2267"/>
      <c r="K197" s="2267"/>
      <c r="L197" s="2267"/>
      <c r="M197" s="2267"/>
      <c r="N197" s="2267"/>
      <c r="O197" s="2268" t="s">
        <v>2242</v>
      </c>
      <c r="P197" s="2268"/>
      <c r="Q197" s="2268"/>
      <c r="R197" s="2268"/>
      <c r="S197" s="2268"/>
      <c r="T197" s="2268"/>
      <c r="U197" s="2268"/>
      <c r="V197" s="2268"/>
      <c r="W197" s="2268"/>
      <c r="X197" s="2269">
        <v>0.03</v>
      </c>
      <c r="Y197" s="2269"/>
      <c r="Z197" s="2269"/>
      <c r="AA197" s="2269"/>
      <c r="AB197" s="2269"/>
      <c r="AC197" s="2269"/>
      <c r="AD197" s="2269"/>
      <c r="AE197" s="226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7" t="s">
        <v>2241</v>
      </c>
      <c r="D198" s="2267"/>
      <c r="E198" s="2267"/>
      <c r="F198" s="2267"/>
      <c r="G198" s="2267"/>
      <c r="H198" s="2267"/>
      <c r="I198" s="2267"/>
      <c r="J198" s="2267"/>
      <c r="K198" s="2267"/>
      <c r="L198" s="2267"/>
      <c r="M198" s="2267"/>
      <c r="N198" s="2267"/>
      <c r="O198" s="2270">
        <f>SUM(O196:W197)</f>
        <v>0</v>
      </c>
      <c r="P198" s="2271"/>
      <c r="Q198" s="2271"/>
      <c r="R198" s="2271"/>
      <c r="S198" s="2271"/>
      <c r="T198" s="2271"/>
      <c r="U198" s="2271"/>
      <c r="V198" s="2271"/>
      <c r="W198" s="2271"/>
      <c r="X198" s="2271" t="s">
        <v>2240</v>
      </c>
      <c r="Y198" s="2271"/>
      <c r="Z198" s="2271"/>
      <c r="AA198" s="2271"/>
      <c r="AB198" s="2271"/>
      <c r="AC198" s="2271"/>
      <c r="AD198" s="2271"/>
      <c r="AE198" s="227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7" t="s">
        <v>2239</v>
      </c>
      <c r="D199" s="2277"/>
      <c r="E199" s="2277"/>
      <c r="F199" s="2277"/>
      <c r="G199" s="2277"/>
      <c r="H199" s="2277"/>
      <c r="I199" s="2277"/>
      <c r="J199" s="2277"/>
      <c r="K199" s="2277"/>
      <c r="L199" s="2277"/>
      <c r="M199" s="2277"/>
      <c r="N199" s="2277"/>
      <c r="O199" s="2277"/>
      <c r="P199" s="2277"/>
      <c r="Q199" s="2277"/>
      <c r="R199" s="2277"/>
      <c r="S199" s="2277"/>
      <c r="T199" s="2277"/>
      <c r="U199" s="2277"/>
      <c r="V199" s="2277"/>
      <c r="W199" s="2277"/>
      <c r="X199" s="2277"/>
      <c r="Y199" s="2277"/>
      <c r="Z199" s="2277"/>
      <c r="AA199" s="2277"/>
      <c r="AB199" s="2277"/>
      <c r="AC199" s="2277"/>
      <c r="AD199" s="2277"/>
      <c r="AE199" s="227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8" t="s">
        <v>2238</v>
      </c>
      <c r="D201" s="2279"/>
      <c r="E201" s="2279"/>
      <c r="F201" s="2279"/>
      <c r="G201" s="2279"/>
      <c r="H201" s="2279"/>
      <c r="I201" s="2279"/>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8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1" t="s">
        <v>2237</v>
      </c>
      <c r="D202" s="2282"/>
      <c r="E202" s="2282"/>
      <c r="F202" s="2283"/>
      <c r="G202" s="2287" t="s">
        <v>2236</v>
      </c>
      <c r="H202" s="2282"/>
      <c r="I202" s="2282"/>
      <c r="J202" s="2282"/>
      <c r="K202" s="2282"/>
      <c r="L202" s="2282"/>
      <c r="M202" s="2282"/>
      <c r="N202" s="2282"/>
      <c r="O202" s="2283"/>
      <c r="P202" s="2289" t="s">
        <v>2235</v>
      </c>
      <c r="Q202" s="2290"/>
      <c r="R202" s="2290"/>
      <c r="S202" s="2290"/>
      <c r="T202" s="2291"/>
      <c r="U202" s="2295" t="s">
        <v>2234</v>
      </c>
      <c r="V202" s="2296"/>
      <c r="W202" s="2296"/>
      <c r="X202" s="2297"/>
      <c r="Y202" s="2295" t="s">
        <v>2233</v>
      </c>
      <c r="Z202" s="2296"/>
      <c r="AA202" s="2296"/>
      <c r="AB202" s="2297"/>
      <c r="AC202" s="2295" t="s">
        <v>2232</v>
      </c>
      <c r="AD202" s="2296"/>
      <c r="AE202" s="2296"/>
      <c r="AF202" s="2297"/>
      <c r="AG202" s="2287" t="s">
        <v>2231</v>
      </c>
      <c r="AH202" s="2282"/>
      <c r="AI202" s="2282"/>
      <c r="AJ202" s="2282"/>
      <c r="AK202" s="230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4"/>
      <c r="D203" s="2285"/>
      <c r="E203" s="2285"/>
      <c r="F203" s="2286"/>
      <c r="G203" s="2288"/>
      <c r="H203" s="2285"/>
      <c r="I203" s="2285"/>
      <c r="J203" s="2285"/>
      <c r="K203" s="2285"/>
      <c r="L203" s="2285"/>
      <c r="M203" s="2285"/>
      <c r="N203" s="2285"/>
      <c r="O203" s="2286"/>
      <c r="P203" s="2292"/>
      <c r="Q203" s="2293"/>
      <c r="R203" s="2293"/>
      <c r="S203" s="2293"/>
      <c r="T203" s="2294"/>
      <c r="U203" s="2298"/>
      <c r="V203" s="2299"/>
      <c r="W203" s="2299"/>
      <c r="X203" s="2300"/>
      <c r="Y203" s="2298"/>
      <c r="Z203" s="2299"/>
      <c r="AA203" s="2299"/>
      <c r="AB203" s="2300"/>
      <c r="AC203" s="2298"/>
      <c r="AD203" s="2299"/>
      <c r="AE203" s="2299"/>
      <c r="AF203" s="2300"/>
      <c r="AG203" s="2288"/>
      <c r="AH203" s="2285"/>
      <c r="AI203" s="2285"/>
      <c r="AJ203" s="2285"/>
      <c r="AK203" s="230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6">
        <v>1</v>
      </c>
      <c r="D204" s="2307"/>
      <c r="E204" s="2307"/>
      <c r="F204" s="2307"/>
      <c r="G204" s="2308" t="s">
        <v>1853</v>
      </c>
      <c r="H204" s="2308"/>
      <c r="I204" s="2308"/>
      <c r="J204" s="2308"/>
      <c r="K204" s="2308"/>
      <c r="L204" s="2308"/>
      <c r="M204" s="2308"/>
      <c r="N204" s="2308"/>
      <c r="O204" s="2308"/>
      <c r="P204" s="2309"/>
      <c r="Q204" s="2312"/>
      <c r="R204" s="2312"/>
      <c r="S204" s="2312"/>
      <c r="T204" s="2312"/>
      <c r="U204" s="2310" t="s">
        <v>1853</v>
      </c>
      <c r="V204" s="2310"/>
      <c r="W204" s="2310"/>
      <c r="X204" s="2310"/>
      <c r="Y204" s="2310" t="s">
        <v>1853</v>
      </c>
      <c r="Z204" s="2310"/>
      <c r="AA204" s="2310"/>
      <c r="AB204" s="2310"/>
      <c r="AC204" s="2311" t="s">
        <v>1853</v>
      </c>
      <c r="AD204" s="2311"/>
      <c r="AE204" s="2311"/>
      <c r="AF204" s="2311"/>
      <c r="AG204" s="2303"/>
      <c r="AH204" s="2304"/>
      <c r="AI204" s="2304"/>
      <c r="AJ204" s="2304"/>
      <c r="AK204" s="230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6">
        <v>2</v>
      </c>
      <c r="D205" s="2307"/>
      <c r="E205" s="2307"/>
      <c r="F205" s="2307"/>
      <c r="G205" s="2308" t="s">
        <v>1853</v>
      </c>
      <c r="H205" s="2308"/>
      <c r="I205" s="2308"/>
      <c r="J205" s="2308"/>
      <c r="K205" s="2308"/>
      <c r="L205" s="2308"/>
      <c r="M205" s="2308"/>
      <c r="N205" s="2308"/>
      <c r="O205" s="2308"/>
      <c r="P205" s="2309"/>
      <c r="Q205" s="2309"/>
      <c r="R205" s="2309"/>
      <c r="S205" s="2309"/>
      <c r="T205" s="2309"/>
      <c r="U205" s="2310" t="s">
        <v>1853</v>
      </c>
      <c r="V205" s="2310"/>
      <c r="W205" s="2310"/>
      <c r="X205" s="2310"/>
      <c r="Y205" s="2310" t="s">
        <v>1853</v>
      </c>
      <c r="Z205" s="2310"/>
      <c r="AA205" s="2310"/>
      <c r="AB205" s="2310"/>
      <c r="AC205" s="2311" t="s">
        <v>1853</v>
      </c>
      <c r="AD205" s="2311"/>
      <c r="AE205" s="2311"/>
      <c r="AF205" s="2311"/>
      <c r="AG205" s="2303"/>
      <c r="AH205" s="2304"/>
      <c r="AI205" s="2304"/>
      <c r="AJ205" s="2304"/>
      <c r="AK205" s="230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6">
        <v>3</v>
      </c>
      <c r="D206" s="2307"/>
      <c r="E206" s="2307"/>
      <c r="F206" s="2307"/>
      <c r="G206" s="2308" t="s">
        <v>1853</v>
      </c>
      <c r="H206" s="2308"/>
      <c r="I206" s="2308"/>
      <c r="J206" s="2308"/>
      <c r="K206" s="2308"/>
      <c r="L206" s="2308"/>
      <c r="M206" s="2308"/>
      <c r="N206" s="2308"/>
      <c r="O206" s="2308"/>
      <c r="P206" s="2309"/>
      <c r="Q206" s="2309"/>
      <c r="R206" s="2309"/>
      <c r="S206" s="2309"/>
      <c r="T206" s="2309"/>
      <c r="U206" s="2310" t="s">
        <v>1853</v>
      </c>
      <c r="V206" s="2310"/>
      <c r="W206" s="2310"/>
      <c r="X206" s="2310"/>
      <c r="Y206" s="2310" t="s">
        <v>1853</v>
      </c>
      <c r="Z206" s="2310"/>
      <c r="AA206" s="2310"/>
      <c r="AB206" s="2310"/>
      <c r="AC206" s="2311" t="s">
        <v>1853</v>
      </c>
      <c r="AD206" s="2311"/>
      <c r="AE206" s="2311"/>
      <c r="AF206" s="2311"/>
      <c r="AG206" s="2303"/>
      <c r="AH206" s="2304"/>
      <c r="AI206" s="2304"/>
      <c r="AJ206" s="2304"/>
      <c r="AK206" s="230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6">
        <v>4</v>
      </c>
      <c r="D207" s="2307"/>
      <c r="E207" s="2307"/>
      <c r="F207" s="2307"/>
      <c r="G207" s="2308" t="s">
        <v>1853</v>
      </c>
      <c r="H207" s="2308"/>
      <c r="I207" s="2308"/>
      <c r="J207" s="2308"/>
      <c r="K207" s="2308"/>
      <c r="L207" s="2308"/>
      <c r="M207" s="2308"/>
      <c r="N207" s="2308"/>
      <c r="O207" s="2308"/>
      <c r="P207" s="2309"/>
      <c r="Q207" s="2309"/>
      <c r="R207" s="2309"/>
      <c r="S207" s="2309"/>
      <c r="T207" s="2309"/>
      <c r="U207" s="2310" t="s">
        <v>1853</v>
      </c>
      <c r="V207" s="2310"/>
      <c r="W207" s="2310"/>
      <c r="X207" s="2310"/>
      <c r="Y207" s="2310" t="s">
        <v>1853</v>
      </c>
      <c r="Z207" s="2310"/>
      <c r="AA207" s="2310"/>
      <c r="AB207" s="2310"/>
      <c r="AC207" s="2311" t="s">
        <v>1853</v>
      </c>
      <c r="AD207" s="2311"/>
      <c r="AE207" s="2311"/>
      <c r="AF207" s="2311"/>
      <c r="AG207" s="2303"/>
      <c r="AH207" s="2304"/>
      <c r="AI207" s="2304"/>
      <c r="AJ207" s="2304"/>
      <c r="AK207" s="230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6">
        <v>5</v>
      </c>
      <c r="D208" s="2307"/>
      <c r="E208" s="2307"/>
      <c r="F208" s="2307"/>
      <c r="G208" s="2308" t="s">
        <v>1853</v>
      </c>
      <c r="H208" s="2308"/>
      <c r="I208" s="2308"/>
      <c r="J208" s="2308"/>
      <c r="K208" s="2308"/>
      <c r="L208" s="2308"/>
      <c r="M208" s="2308"/>
      <c r="N208" s="2308"/>
      <c r="O208" s="2308"/>
      <c r="P208" s="2309"/>
      <c r="Q208" s="2309"/>
      <c r="R208" s="2309"/>
      <c r="S208" s="2309"/>
      <c r="T208" s="2309"/>
      <c r="U208" s="2310" t="s">
        <v>1853</v>
      </c>
      <c r="V208" s="2310"/>
      <c r="W208" s="2310"/>
      <c r="X208" s="2310"/>
      <c r="Y208" s="2310" t="s">
        <v>1853</v>
      </c>
      <c r="Z208" s="2310"/>
      <c r="AA208" s="2310"/>
      <c r="AB208" s="2310"/>
      <c r="AC208" s="2311" t="s">
        <v>1853</v>
      </c>
      <c r="AD208" s="2311"/>
      <c r="AE208" s="2311"/>
      <c r="AF208" s="2311"/>
      <c r="AG208" s="2303"/>
      <c r="AH208" s="2304"/>
      <c r="AI208" s="2304"/>
      <c r="AJ208" s="2304"/>
      <c r="AK208" s="230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6">
        <v>6</v>
      </c>
      <c r="D209" s="2307"/>
      <c r="E209" s="2307"/>
      <c r="F209" s="2307"/>
      <c r="G209" s="2308" t="s">
        <v>1853</v>
      </c>
      <c r="H209" s="2308"/>
      <c r="I209" s="2308"/>
      <c r="J209" s="2308"/>
      <c r="K209" s="2308"/>
      <c r="L209" s="2308"/>
      <c r="M209" s="2308"/>
      <c r="N209" s="2308"/>
      <c r="O209" s="2308"/>
      <c r="P209" s="2309"/>
      <c r="Q209" s="2309"/>
      <c r="R209" s="2309"/>
      <c r="S209" s="2309"/>
      <c r="T209" s="2309"/>
      <c r="U209" s="2310"/>
      <c r="V209" s="2310"/>
      <c r="W209" s="2310"/>
      <c r="X209" s="2310"/>
      <c r="Y209" s="2310"/>
      <c r="Z209" s="2310"/>
      <c r="AA209" s="2310"/>
      <c r="AB209" s="2310"/>
      <c r="AC209" s="2311" t="s">
        <v>1853</v>
      </c>
      <c r="AD209" s="2311"/>
      <c r="AE209" s="2311"/>
      <c r="AF209" s="2311"/>
      <c r="AG209" s="2303"/>
      <c r="AH209" s="2304"/>
      <c r="AI209" s="2304"/>
      <c r="AJ209" s="2304"/>
      <c r="AK209" s="230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6">
        <v>7</v>
      </c>
      <c r="D210" s="2307"/>
      <c r="E210" s="2307"/>
      <c r="F210" s="2307"/>
      <c r="G210" s="2308"/>
      <c r="H210" s="2308"/>
      <c r="I210" s="2308"/>
      <c r="J210" s="2308"/>
      <c r="K210" s="2308"/>
      <c r="L210" s="2308"/>
      <c r="M210" s="2308"/>
      <c r="N210" s="2308"/>
      <c r="O210" s="2308"/>
      <c r="P210" s="2309"/>
      <c r="Q210" s="2309"/>
      <c r="R210" s="2309"/>
      <c r="S210" s="2309"/>
      <c r="T210" s="2309"/>
      <c r="U210" s="2310"/>
      <c r="V210" s="2310"/>
      <c r="W210" s="2310"/>
      <c r="X210" s="2310"/>
      <c r="Y210" s="2310"/>
      <c r="Z210" s="2310"/>
      <c r="AA210" s="2310"/>
      <c r="AB210" s="2310"/>
      <c r="AC210" s="2311" t="s">
        <v>1853</v>
      </c>
      <c r="AD210" s="2311"/>
      <c r="AE210" s="2311"/>
      <c r="AF210" s="2311"/>
      <c r="AG210" s="2303"/>
      <c r="AH210" s="2304"/>
      <c r="AI210" s="2304"/>
      <c r="AJ210" s="2304"/>
      <c r="AK210" s="230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5" t="s">
        <v>2230</v>
      </c>
      <c r="D211" s="2326"/>
      <c r="E211" s="2326"/>
      <c r="F211" s="2326"/>
      <c r="G211" s="2326"/>
      <c r="H211" s="2326"/>
      <c r="I211" s="2326"/>
      <c r="J211" s="2326"/>
      <c r="K211" s="2326"/>
      <c r="L211" s="2326"/>
      <c r="M211" s="2326"/>
      <c r="N211" s="2326"/>
      <c r="O211" s="2326"/>
      <c r="P211" s="2327"/>
      <c r="Q211" s="2327"/>
      <c r="R211" s="2327"/>
      <c r="S211" s="2327"/>
      <c r="T211" s="2327"/>
      <c r="U211" s="2328">
        <f>-SUM(U204:U210)</f>
        <v>0</v>
      </c>
      <c r="V211" s="2328"/>
      <c r="W211" s="2328"/>
      <c r="X211" s="2328"/>
      <c r="Y211" s="2328">
        <f>-SUM(Y204:Y210)</f>
        <v>0</v>
      </c>
      <c r="Z211" s="2328"/>
      <c r="AA211" s="2328"/>
      <c r="AB211" s="2328"/>
      <c r="AC211" s="2329">
        <f>-SUM(AC204:AC210)</f>
        <v>0</v>
      </c>
      <c r="AD211" s="2329"/>
      <c r="AE211" s="2329"/>
      <c r="AF211" s="2329"/>
      <c r="AG211" s="2330"/>
      <c r="AH211" s="2331"/>
      <c r="AI211" s="2331"/>
      <c r="AJ211" s="2331"/>
      <c r="AK211" s="233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3" t="s">
        <v>2228</v>
      </c>
      <c r="C216" s="2314"/>
      <c r="D216" s="2314"/>
      <c r="E216" s="2314"/>
      <c r="F216" s="2314"/>
      <c r="G216" s="2314"/>
      <c r="H216" s="2314"/>
      <c r="I216" s="2314"/>
      <c r="J216" s="2314"/>
      <c r="K216" s="2314"/>
      <c r="L216" s="2314"/>
      <c r="M216" s="2314"/>
      <c r="N216" s="2314"/>
      <c r="O216" s="2314"/>
      <c r="P216" s="2314"/>
      <c r="Q216" s="2314"/>
      <c r="R216" s="2314"/>
      <c r="S216" s="2314"/>
      <c r="T216" s="2314"/>
      <c r="U216" s="2314"/>
      <c r="V216" s="2314"/>
      <c r="W216" s="2314"/>
      <c r="X216" s="2314"/>
      <c r="Y216" s="2314"/>
      <c r="Z216" s="2314"/>
      <c r="AA216" s="2314"/>
      <c r="AB216" s="2314"/>
      <c r="AC216" s="2314"/>
      <c r="AD216" s="2314"/>
      <c r="AE216" s="2314"/>
      <c r="AF216" s="2314"/>
      <c r="AG216" s="2314"/>
      <c r="AH216" s="2314"/>
      <c r="AI216" s="2314"/>
      <c r="AJ216" s="2314"/>
      <c r="AK216" s="2314"/>
      <c r="AL216" s="2314"/>
      <c r="AM216" s="2314"/>
      <c r="AN216" s="2314"/>
      <c r="AO216" s="2314"/>
      <c r="AP216" s="2314"/>
      <c r="AQ216" s="2314"/>
      <c r="AR216" s="2314"/>
      <c r="AS216" s="2314"/>
      <c r="AT216" s="2314"/>
      <c r="AU216" s="2314"/>
      <c r="AV216" s="2314"/>
      <c r="AW216" s="2314"/>
      <c r="AX216" s="2314"/>
      <c r="AY216" s="2314"/>
      <c r="AZ216" s="2314"/>
      <c r="BA216" s="2314"/>
      <c r="BB216" s="2314"/>
      <c r="BC216" s="2314"/>
      <c r="BD216" s="2315"/>
      <c r="BE216" s="1209"/>
    </row>
    <row r="217" spans="1:57" ht="15.75" customHeight="1">
      <c r="A217" s="1202"/>
      <c r="B217" s="2316"/>
      <c r="C217" s="2317"/>
      <c r="D217" s="2317"/>
      <c r="E217" s="2317"/>
      <c r="F217" s="2317"/>
      <c r="G217" s="2317"/>
      <c r="H217" s="2317"/>
      <c r="I217" s="2317"/>
      <c r="J217" s="2317"/>
      <c r="K217" s="2317"/>
      <c r="L217" s="2317"/>
      <c r="M217" s="2317"/>
      <c r="N217" s="2317"/>
      <c r="O217" s="2317"/>
      <c r="P217" s="2317"/>
      <c r="Q217" s="2317"/>
      <c r="R217" s="2317"/>
      <c r="S217" s="2317"/>
      <c r="T217" s="2317"/>
      <c r="U217" s="2317"/>
      <c r="V217" s="2317"/>
      <c r="W217" s="2317"/>
      <c r="X217" s="2317"/>
      <c r="Y217" s="2317"/>
      <c r="Z217" s="2317"/>
      <c r="AA217" s="2317"/>
      <c r="AB217" s="2317"/>
      <c r="AC217" s="2317"/>
      <c r="AD217" s="2317"/>
      <c r="AE217" s="2317"/>
      <c r="AF217" s="2317"/>
      <c r="AG217" s="2317"/>
      <c r="AH217" s="2317"/>
      <c r="AI217" s="2317"/>
      <c r="AJ217" s="2317"/>
      <c r="AK217" s="2317"/>
      <c r="AL217" s="2317"/>
      <c r="AM217" s="2317"/>
      <c r="AN217" s="2317"/>
      <c r="AO217" s="2317"/>
      <c r="AP217" s="2317"/>
      <c r="AQ217" s="2317"/>
      <c r="AR217" s="2317"/>
      <c r="AS217" s="2317"/>
      <c r="AT217" s="2317"/>
      <c r="AU217" s="2317"/>
      <c r="AV217" s="2317"/>
      <c r="AW217" s="2317"/>
      <c r="AX217" s="2317"/>
      <c r="AY217" s="2317"/>
      <c r="AZ217" s="2317"/>
      <c r="BA217" s="2317"/>
      <c r="BB217" s="2317"/>
      <c r="BC217" s="2317"/>
      <c r="BD217" s="2318"/>
      <c r="BE217" s="1209"/>
    </row>
    <row r="218" spans="1:57" ht="15.75" customHeight="1">
      <c r="A218" s="1202"/>
      <c r="B218" s="2319" t="s">
        <v>2227</v>
      </c>
      <c r="C218" s="2320"/>
      <c r="D218" s="2320"/>
      <c r="E218" s="2320"/>
      <c r="F218" s="2320"/>
      <c r="G218" s="2320"/>
      <c r="H218" s="2320"/>
      <c r="I218" s="2320"/>
      <c r="J218" s="2320"/>
      <c r="K218" s="2320"/>
      <c r="L218" s="2320"/>
      <c r="M218" s="2320"/>
      <c r="N218" s="2320"/>
      <c r="O218" s="2320"/>
      <c r="P218" s="2320"/>
      <c r="Q218" s="2320"/>
      <c r="R218" s="2320"/>
      <c r="S218" s="2320"/>
      <c r="T218" s="2320"/>
      <c r="U218" s="2320"/>
      <c r="V218" s="2320"/>
      <c r="W218" s="2320"/>
      <c r="X218" s="2320"/>
      <c r="Y218" s="2320"/>
      <c r="Z218" s="2320"/>
      <c r="AA218" s="2320"/>
      <c r="AB218" s="2320"/>
      <c r="AC218" s="2320"/>
      <c r="AD218" s="2320"/>
      <c r="AE218" s="2320"/>
      <c r="AF218" s="2320"/>
      <c r="AG218" s="2320"/>
      <c r="AH218" s="2320"/>
      <c r="AI218" s="2320"/>
      <c r="AJ218" s="2320"/>
      <c r="AK218" s="2320"/>
      <c r="AL218" s="2320"/>
      <c r="AM218" s="2320"/>
      <c r="AN218" s="2320"/>
      <c r="AO218" s="2320"/>
      <c r="AP218" s="2320"/>
      <c r="AQ218" s="2320"/>
      <c r="AR218" s="2320"/>
      <c r="AS218" s="2320"/>
      <c r="AT218" s="2320"/>
      <c r="AU218" s="2320"/>
      <c r="AV218" s="2320"/>
      <c r="AW218" s="2320"/>
      <c r="AX218" s="2320"/>
      <c r="AY218" s="2320"/>
      <c r="AZ218" s="2320"/>
      <c r="BA218" s="2320"/>
      <c r="BB218" s="2320"/>
      <c r="BC218" s="2320"/>
      <c r="BD218" s="2321"/>
      <c r="BE218" s="1209"/>
    </row>
    <row r="219" spans="1:57" ht="15.75" customHeight="1">
      <c r="A219" s="1202"/>
      <c r="B219" s="2319" t="s">
        <v>2226</v>
      </c>
      <c r="C219" s="2320"/>
      <c r="D219" s="2320"/>
      <c r="E219" s="2320"/>
      <c r="F219" s="2320"/>
      <c r="G219" s="2320"/>
      <c r="H219" s="2320"/>
      <c r="I219" s="2320"/>
      <c r="J219" s="2320"/>
      <c r="K219" s="2320"/>
      <c r="L219" s="2320"/>
      <c r="M219" s="2320"/>
      <c r="N219" s="2320"/>
      <c r="O219" s="2320"/>
      <c r="P219" s="2320"/>
      <c r="Q219" s="2320"/>
      <c r="R219" s="2320"/>
      <c r="S219" s="2320"/>
      <c r="T219" s="2320"/>
      <c r="U219" s="2320"/>
      <c r="V219" s="2320"/>
      <c r="W219" s="2320"/>
      <c r="X219" s="2320"/>
      <c r="Y219" s="2320"/>
      <c r="Z219" s="2320"/>
      <c r="AA219" s="2320"/>
      <c r="AB219" s="2320"/>
      <c r="AC219" s="2320"/>
      <c r="AD219" s="2320"/>
      <c r="AE219" s="2320"/>
      <c r="AF219" s="2320"/>
      <c r="AG219" s="2320"/>
      <c r="AH219" s="2320"/>
      <c r="AI219" s="2320"/>
      <c r="AJ219" s="2320"/>
      <c r="AK219" s="2320"/>
      <c r="AL219" s="2320"/>
      <c r="AM219" s="2320"/>
      <c r="AN219" s="2320"/>
      <c r="AO219" s="2320"/>
      <c r="AP219" s="2320"/>
      <c r="AQ219" s="2320"/>
      <c r="AR219" s="2320"/>
      <c r="AS219" s="2320"/>
      <c r="AT219" s="2320"/>
      <c r="AU219" s="2320"/>
      <c r="AV219" s="2320"/>
      <c r="AW219" s="2320"/>
      <c r="AX219" s="2320"/>
      <c r="AY219" s="2320"/>
      <c r="AZ219" s="2320"/>
      <c r="BA219" s="2320"/>
      <c r="BB219" s="2320"/>
      <c r="BC219" s="2320"/>
      <c r="BD219" s="23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2" t="s">
        <v>2225</v>
      </c>
      <c r="C221" s="2212"/>
      <c r="D221" s="2212"/>
      <c r="E221" s="2212"/>
      <c r="F221" s="2212"/>
      <c r="G221" s="2212"/>
      <c r="H221" s="2212"/>
      <c r="I221" s="2212"/>
      <c r="J221" s="2212"/>
      <c r="K221" s="2212"/>
      <c r="L221" s="2212"/>
      <c r="M221" s="2212"/>
      <c r="N221" s="2212"/>
      <c r="O221" s="2212"/>
      <c r="P221" s="2212"/>
      <c r="Q221" s="2212"/>
      <c r="R221" s="2212"/>
      <c r="S221" s="2212"/>
      <c r="T221" s="2212"/>
      <c r="U221" s="2212"/>
      <c r="V221" s="2212"/>
      <c r="W221" s="2212"/>
      <c r="X221" s="2212"/>
      <c r="Y221" s="2212"/>
      <c r="Z221" s="2212"/>
      <c r="AA221" s="2212"/>
      <c r="AB221" s="2212"/>
      <c r="AC221" s="2212"/>
      <c r="AD221" s="2212"/>
      <c r="AE221" s="2212"/>
      <c r="AF221" s="2212"/>
      <c r="AG221" s="2212"/>
      <c r="AH221" s="2212"/>
      <c r="AI221" s="2212"/>
      <c r="AJ221" s="2212"/>
      <c r="AK221" s="2212"/>
      <c r="AL221" s="2212"/>
      <c r="AM221" s="2212"/>
      <c r="AN221" s="2212"/>
      <c r="AO221" s="2212"/>
      <c r="AP221" s="2212"/>
      <c r="AQ221" s="2212"/>
      <c r="AR221" s="2212"/>
      <c r="AS221" s="2212"/>
      <c r="AT221" s="2212"/>
      <c r="AU221" s="2212"/>
      <c r="AV221" s="2212"/>
      <c r="AW221" s="2212"/>
      <c r="AX221" s="2212"/>
      <c r="AY221" s="2212"/>
      <c r="AZ221" s="2212"/>
      <c r="BA221" s="2212"/>
      <c r="BB221" s="2212"/>
      <c r="BC221" s="2212"/>
      <c r="BD221" s="232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4" t="s">
        <v>2223</v>
      </c>
      <c r="I225" s="2324"/>
      <c r="J225" s="2324"/>
      <c r="K225" s="2324"/>
      <c r="L225" s="2324"/>
      <c r="M225" s="2324"/>
      <c r="N225" s="2324"/>
      <c r="O225" s="2324"/>
      <c r="P225" s="2324"/>
      <c r="Q225" s="2324"/>
      <c r="R225" s="2324"/>
      <c r="S225" s="2324"/>
      <c r="T225" s="2324"/>
      <c r="U225" s="2324"/>
      <c r="V225" s="2324"/>
      <c r="W225" s="2324"/>
      <c r="X225" s="2324"/>
      <c r="Y225" s="2324"/>
      <c r="Z225" s="2324"/>
      <c r="AA225" s="2324"/>
      <c r="AB225" s="2324"/>
      <c r="AC225" s="2324"/>
      <c r="AD225" s="2324"/>
      <c r="AE225" s="2324"/>
      <c r="AF225" s="2324"/>
      <c r="AG225" s="2324"/>
      <c r="AH225" s="2324"/>
      <c r="AI225" s="2324"/>
      <c r="AJ225" s="2324"/>
      <c r="AK225" s="2324"/>
      <c r="AL225" s="2324"/>
      <c r="AM225" s="2324"/>
      <c r="AN225" s="2324"/>
      <c r="AO225" s="2324"/>
      <c r="AP225" s="2324"/>
      <c r="AQ225" s="2324"/>
      <c r="AR225" s="2324"/>
      <c r="AS225" s="2324"/>
      <c r="AT225" s="2324"/>
      <c r="AU225" s="2324"/>
      <c r="AV225" s="2324"/>
      <c r="AW225" s="2324"/>
      <c r="AX225" s="2324"/>
      <c r="AY225" s="232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2" t="s">
        <v>2222</v>
      </c>
      <c r="I227" s="2342"/>
      <c r="J227" s="2342"/>
      <c r="K227" s="2342"/>
      <c r="L227" s="2342"/>
      <c r="M227" s="2342"/>
      <c r="N227" s="2342"/>
      <c r="O227" s="2342"/>
      <c r="P227" s="2342"/>
      <c r="Q227" s="2342"/>
      <c r="R227" s="2342"/>
      <c r="S227" s="2342"/>
      <c r="T227" s="2342"/>
      <c r="U227" s="2342"/>
      <c r="V227" s="2342"/>
      <c r="W227" s="2342"/>
      <c r="X227" s="2342"/>
      <c r="Y227" s="2342"/>
      <c r="Z227" s="2342"/>
      <c r="AA227" s="2342"/>
      <c r="AB227" s="2342"/>
      <c r="AC227" s="2342"/>
      <c r="AD227" s="2342"/>
      <c r="AE227" s="2342"/>
      <c r="AF227" s="2342"/>
      <c r="AG227" s="2342"/>
      <c r="AH227" s="2342"/>
      <c r="AI227" s="2342"/>
      <c r="AJ227" s="2342"/>
      <c r="AK227" s="2342"/>
      <c r="AL227" s="2342"/>
      <c r="AM227" s="2342"/>
      <c r="AN227" s="2342"/>
      <c r="AO227" s="2342"/>
      <c r="AP227" s="2342"/>
      <c r="AQ227" s="2342"/>
      <c r="AR227" s="2342"/>
      <c r="AS227" s="2342"/>
      <c r="AT227" s="2342"/>
      <c r="AU227" s="2342"/>
      <c r="AV227" s="2342"/>
      <c r="AW227" s="2342"/>
      <c r="AX227" s="2342"/>
      <c r="AY227" s="2342"/>
      <c r="AZ227" s="2342"/>
      <c r="BA227" s="1202"/>
      <c r="BB227" s="1202"/>
      <c r="BC227" s="1202"/>
      <c r="BD227" s="1209"/>
      <c r="BE227" s="1209"/>
    </row>
    <row r="228" spans="1:57" ht="15.75" customHeight="1">
      <c r="A228" s="1202"/>
      <c r="B228" s="1201"/>
      <c r="C228" s="1202"/>
      <c r="D228" s="1202"/>
      <c r="E228" s="1202"/>
      <c r="F228" s="1202"/>
      <c r="G228" s="1202"/>
      <c r="H228" s="2342"/>
      <c r="I228" s="2342"/>
      <c r="J228" s="2342"/>
      <c r="K228" s="2342"/>
      <c r="L228" s="2342"/>
      <c r="M228" s="2342"/>
      <c r="N228" s="2342"/>
      <c r="O228" s="2342"/>
      <c r="P228" s="2342"/>
      <c r="Q228" s="2342"/>
      <c r="R228" s="2342"/>
      <c r="S228" s="2342"/>
      <c r="T228" s="2342"/>
      <c r="U228" s="2342"/>
      <c r="V228" s="2342"/>
      <c r="W228" s="2342"/>
      <c r="X228" s="2342"/>
      <c r="Y228" s="2342"/>
      <c r="Z228" s="2342"/>
      <c r="AA228" s="2342"/>
      <c r="AB228" s="2342"/>
      <c r="AC228" s="2342"/>
      <c r="AD228" s="2342"/>
      <c r="AE228" s="2342"/>
      <c r="AF228" s="2342"/>
      <c r="AG228" s="2342"/>
      <c r="AH228" s="2342"/>
      <c r="AI228" s="2342"/>
      <c r="AJ228" s="2342"/>
      <c r="AK228" s="2342"/>
      <c r="AL228" s="2342"/>
      <c r="AM228" s="2342"/>
      <c r="AN228" s="2342"/>
      <c r="AO228" s="2342"/>
      <c r="AP228" s="2342"/>
      <c r="AQ228" s="2342"/>
      <c r="AR228" s="2342"/>
      <c r="AS228" s="2342"/>
      <c r="AT228" s="2342"/>
      <c r="AU228" s="2342"/>
      <c r="AV228" s="2342"/>
      <c r="AW228" s="2342"/>
      <c r="AX228" s="2342"/>
      <c r="AY228" s="2342"/>
      <c r="AZ228" s="2342"/>
      <c r="BA228" s="1202"/>
      <c r="BB228" s="1202"/>
      <c r="BC228" s="1202"/>
      <c r="BD228" s="1209"/>
      <c r="BE228" s="1209"/>
    </row>
    <row r="229" spans="1:57" ht="15.75" customHeight="1">
      <c r="A229" s="1202"/>
      <c r="B229" s="1201"/>
      <c r="C229" s="1202"/>
      <c r="D229" s="1202"/>
      <c r="E229" s="1202"/>
      <c r="F229" s="1202"/>
      <c r="G229" s="1202"/>
      <c r="H229" s="2342"/>
      <c r="I229" s="2342"/>
      <c r="J229" s="2342"/>
      <c r="K229" s="2342"/>
      <c r="L229" s="2342"/>
      <c r="M229" s="2342"/>
      <c r="N229" s="2342"/>
      <c r="O229" s="2342"/>
      <c r="P229" s="2342"/>
      <c r="Q229" s="2342"/>
      <c r="R229" s="2342"/>
      <c r="S229" s="2342"/>
      <c r="T229" s="2342"/>
      <c r="U229" s="2342"/>
      <c r="V229" s="2342"/>
      <c r="W229" s="2342"/>
      <c r="X229" s="2342"/>
      <c r="Y229" s="2342"/>
      <c r="Z229" s="2342"/>
      <c r="AA229" s="2342"/>
      <c r="AB229" s="2342"/>
      <c r="AC229" s="2342"/>
      <c r="AD229" s="2342"/>
      <c r="AE229" s="2342"/>
      <c r="AF229" s="2342"/>
      <c r="AG229" s="2342"/>
      <c r="AH229" s="2342"/>
      <c r="AI229" s="2342"/>
      <c r="AJ229" s="2342"/>
      <c r="AK229" s="2342"/>
      <c r="AL229" s="2342"/>
      <c r="AM229" s="2342"/>
      <c r="AN229" s="2342"/>
      <c r="AO229" s="2342"/>
      <c r="AP229" s="2342"/>
      <c r="AQ229" s="2342"/>
      <c r="AR229" s="2342"/>
      <c r="AS229" s="2342"/>
      <c r="AT229" s="2342"/>
      <c r="AU229" s="2342"/>
      <c r="AV229" s="2342"/>
      <c r="AW229" s="2342"/>
      <c r="AX229" s="2342"/>
      <c r="AY229" s="2342"/>
      <c r="AZ229" s="2342"/>
      <c r="BA229" s="1202"/>
      <c r="BB229" s="1202"/>
      <c r="BC229" s="1202"/>
      <c r="BD229" s="1209"/>
      <c r="BE229" s="1209"/>
    </row>
    <row r="230" spans="1:57" ht="15.75" customHeight="1">
      <c r="A230" s="1202"/>
      <c r="B230" s="1201"/>
      <c r="C230" s="1202"/>
      <c r="D230" s="1202"/>
      <c r="E230" s="1202"/>
      <c r="F230" s="1202"/>
      <c r="G230" s="1202"/>
      <c r="H230" s="2342"/>
      <c r="I230" s="2342"/>
      <c r="J230" s="2342"/>
      <c r="K230" s="2342"/>
      <c r="L230" s="2342"/>
      <c r="M230" s="2342"/>
      <c r="N230" s="2342"/>
      <c r="O230" s="2342"/>
      <c r="P230" s="2342"/>
      <c r="Q230" s="2342"/>
      <c r="R230" s="2342"/>
      <c r="S230" s="2342"/>
      <c r="T230" s="2342"/>
      <c r="U230" s="2342"/>
      <c r="V230" s="2342"/>
      <c r="W230" s="2342"/>
      <c r="X230" s="2342"/>
      <c r="Y230" s="2342"/>
      <c r="Z230" s="2342"/>
      <c r="AA230" s="2342"/>
      <c r="AB230" s="2342"/>
      <c r="AC230" s="2342"/>
      <c r="AD230" s="2342"/>
      <c r="AE230" s="2342"/>
      <c r="AF230" s="2342"/>
      <c r="AG230" s="2342"/>
      <c r="AH230" s="2342"/>
      <c r="AI230" s="2342"/>
      <c r="AJ230" s="2342"/>
      <c r="AK230" s="2342"/>
      <c r="AL230" s="2342"/>
      <c r="AM230" s="2342"/>
      <c r="AN230" s="2342"/>
      <c r="AO230" s="2342"/>
      <c r="AP230" s="2342"/>
      <c r="AQ230" s="2342"/>
      <c r="AR230" s="2342"/>
      <c r="AS230" s="2342"/>
      <c r="AT230" s="2342"/>
      <c r="AU230" s="2342"/>
      <c r="AV230" s="2342"/>
      <c r="AW230" s="2342"/>
      <c r="AX230" s="2342"/>
      <c r="AY230" s="2342"/>
      <c r="AZ230" s="234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3" t="s">
        <v>2221</v>
      </c>
      <c r="I232" s="2343"/>
      <c r="J232" s="2343"/>
      <c r="K232" s="2343"/>
      <c r="L232" s="2343"/>
      <c r="M232" s="2343"/>
      <c r="N232" s="2343"/>
      <c r="O232" s="2343"/>
      <c r="P232" s="2343"/>
      <c r="Q232" s="2343"/>
      <c r="R232" s="2343"/>
      <c r="S232" s="2343"/>
      <c r="T232" s="2343"/>
      <c r="U232" s="2343"/>
      <c r="V232" s="2343"/>
      <c r="W232" s="2343"/>
      <c r="X232" s="2343"/>
      <c r="Y232" s="2343"/>
      <c r="Z232" s="2343"/>
      <c r="AA232" s="2343"/>
      <c r="AB232" s="2343"/>
      <c r="AC232" s="2343"/>
      <c r="AD232" s="2343"/>
      <c r="AE232" s="2343"/>
      <c r="AF232" s="2343"/>
      <c r="AG232" s="2343"/>
      <c r="AH232" s="2343"/>
      <c r="AI232" s="2343"/>
      <c r="AJ232" s="2343"/>
      <c r="AK232" s="2343"/>
      <c r="AL232" s="2343"/>
      <c r="AM232" s="2343"/>
      <c r="AN232" s="2343"/>
      <c r="AO232" s="2343"/>
      <c r="AP232" s="2343"/>
      <c r="AQ232" s="2343"/>
      <c r="AR232" s="2343"/>
      <c r="AS232" s="2343"/>
      <c r="AT232" s="2343"/>
      <c r="AU232" s="2343"/>
      <c r="AV232" s="234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3" t="s">
        <v>2220</v>
      </c>
      <c r="I234" s="2333"/>
      <c r="J234" s="2333"/>
      <c r="K234" s="2333"/>
      <c r="L234" s="1253"/>
      <c r="M234" s="1253"/>
      <c r="N234" s="1253"/>
      <c r="O234" s="1253"/>
      <c r="P234" s="1253"/>
      <c r="Q234" s="1253"/>
      <c r="R234" s="1253"/>
      <c r="S234" s="2344"/>
      <c r="T234" s="2345"/>
      <c r="U234" s="2345"/>
      <c r="V234" s="2345"/>
      <c r="W234" s="2345"/>
      <c r="X234" s="2345"/>
      <c r="Y234" s="2345"/>
      <c r="Z234" s="2345"/>
      <c r="AA234" s="2345"/>
      <c r="AB234" s="2345"/>
      <c r="AC234" s="2345"/>
      <c r="AD234" s="2345"/>
      <c r="AE234" s="2345"/>
      <c r="AF234" s="2345"/>
      <c r="AG234" s="2345"/>
      <c r="AH234" s="2345"/>
      <c r="AI234" s="2345"/>
      <c r="AJ234" s="234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3" t="s">
        <v>2219</v>
      </c>
      <c r="I236" s="2333"/>
      <c r="J236" s="2333"/>
      <c r="K236" s="1255"/>
      <c r="L236" s="1253"/>
      <c r="M236" s="1253"/>
      <c r="N236" s="1253"/>
      <c r="O236" s="1253"/>
      <c r="P236" s="1253"/>
      <c r="Q236" s="1253"/>
      <c r="R236" s="1253"/>
      <c r="S236" s="2334"/>
      <c r="T236" s="2335"/>
      <c r="U236" s="2335"/>
      <c r="V236" s="2335"/>
      <c r="W236" s="2335"/>
      <c r="X236" s="2335"/>
      <c r="Y236" s="2335"/>
      <c r="Z236" s="2335"/>
      <c r="AA236" s="2335"/>
      <c r="AB236" s="2335"/>
      <c r="AC236" s="2335"/>
      <c r="AD236" s="2335"/>
      <c r="AE236" s="2335"/>
      <c r="AF236" s="2335"/>
      <c r="AG236" s="2335"/>
      <c r="AH236" s="2335"/>
      <c r="AI236" s="2335"/>
      <c r="AJ236" s="233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3" t="s">
        <v>441</v>
      </c>
      <c r="I238" s="2333"/>
      <c r="J238" s="1255"/>
      <c r="K238" s="1255"/>
      <c r="L238" s="1253"/>
      <c r="M238" s="1253"/>
      <c r="N238" s="1253"/>
      <c r="O238" s="1253"/>
      <c r="P238" s="1253"/>
      <c r="Q238" s="1253"/>
      <c r="R238" s="1253"/>
      <c r="S238" s="2334"/>
      <c r="T238" s="2335"/>
      <c r="U238" s="2335"/>
      <c r="V238" s="2335"/>
      <c r="W238" s="2335"/>
      <c r="X238" s="2335"/>
      <c r="Y238" s="2335"/>
      <c r="Z238" s="2335"/>
      <c r="AA238" s="2335"/>
      <c r="AB238" s="2335"/>
      <c r="AC238" s="2335"/>
      <c r="AD238" s="2335"/>
      <c r="AE238" s="2335"/>
      <c r="AF238" s="2335"/>
      <c r="AG238" s="2335"/>
      <c r="AH238" s="2335"/>
      <c r="AI238" s="2335"/>
      <c r="AJ238" s="233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7" t="s">
        <v>2218</v>
      </c>
      <c r="I240" s="2337"/>
      <c r="J240" s="2337"/>
      <c r="K240" s="2337"/>
      <c r="L240" s="2337"/>
      <c r="M240" s="2337"/>
      <c r="N240" s="2337"/>
      <c r="O240" s="2337"/>
      <c r="P240" s="1253"/>
      <c r="Q240" s="1253"/>
      <c r="R240" s="1253"/>
      <c r="S240" s="2334"/>
      <c r="T240" s="2335"/>
      <c r="U240" s="2335"/>
      <c r="V240" s="2335"/>
      <c r="W240" s="2335"/>
      <c r="X240" s="2335"/>
      <c r="Y240" s="2335"/>
      <c r="Z240" s="2335"/>
      <c r="AA240" s="2335"/>
      <c r="AB240" s="2335"/>
      <c r="AC240" s="2335"/>
      <c r="AD240" s="2335"/>
      <c r="AE240" s="2335"/>
      <c r="AF240" s="2335"/>
      <c r="AG240" s="2335"/>
      <c r="AH240" s="2335"/>
      <c r="AI240" s="2335"/>
      <c r="AJ240" s="233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8" t="s">
        <v>2217</v>
      </c>
      <c r="I242" s="2338"/>
      <c r="J242" s="1253"/>
      <c r="K242" s="1253"/>
      <c r="L242" s="1253"/>
      <c r="M242" s="1253"/>
      <c r="N242" s="1253"/>
      <c r="O242" s="1253"/>
      <c r="P242" s="1253"/>
      <c r="Q242" s="1253"/>
      <c r="R242" s="1253"/>
      <c r="S242" s="2339"/>
      <c r="T242" s="2340"/>
      <c r="U242" s="2340"/>
      <c r="V242" s="2340"/>
      <c r="W242" s="2340"/>
      <c r="X242" s="2340"/>
      <c r="Y242" s="2340"/>
      <c r="Z242" s="2340"/>
      <c r="AA242" s="2340"/>
      <c r="AB242" s="2340"/>
      <c r="AC242" s="2340"/>
      <c r="AD242" s="2340"/>
      <c r="AE242" s="2340"/>
      <c r="AF242" s="2340"/>
      <c r="AG242" s="2340"/>
      <c r="AH242" s="2340"/>
      <c r="AI242" s="2340"/>
      <c r="AJ242" s="234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3" workbookViewId="0">
      <selection activeCell="AB51" sqref="AB51"/>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2.9" customHeight="1">
      <c r="A1" s="2394" t="s">
        <v>1279</v>
      </c>
      <c r="B1" s="2394"/>
      <c r="C1" s="2394"/>
      <c r="D1" s="2394"/>
      <c r="E1" s="2394"/>
      <c r="F1" s="2394"/>
      <c r="G1" s="2394"/>
      <c r="H1" s="2394"/>
      <c r="I1" s="2394"/>
      <c r="J1" s="2394"/>
      <c r="K1" s="2394"/>
      <c r="L1" s="2394"/>
      <c r="M1" s="2394"/>
      <c r="N1" s="2394"/>
      <c r="O1" s="2394"/>
      <c r="P1" s="2394"/>
      <c r="Q1" s="2394"/>
      <c r="R1" s="2394"/>
      <c r="S1" s="2394"/>
      <c r="T1" s="2394"/>
      <c r="U1" s="2394"/>
      <c r="V1" s="2394"/>
      <c r="W1" s="2394"/>
      <c r="X1" s="2394"/>
      <c r="Y1" s="2394"/>
      <c r="Z1" s="2394"/>
      <c r="AA1" s="2394"/>
      <c r="AB1" s="2394"/>
      <c r="AC1" s="2394"/>
      <c r="AD1" s="2394"/>
      <c r="AE1" s="2394"/>
      <c r="AF1" s="2394"/>
      <c r="AG1" s="2394"/>
      <c r="AH1" s="2394"/>
      <c r="AI1" s="2394"/>
      <c r="AJ1" s="2394"/>
      <c r="AK1" s="2394"/>
      <c r="AL1" s="2394"/>
      <c r="AM1" s="2394"/>
      <c r="AN1" s="2394"/>
    </row>
    <row r="2" spans="1:40" ht="12.9" customHeight="1" thickBot="1">
      <c r="A2" s="2395"/>
      <c r="B2" s="2395"/>
      <c r="C2" s="2395"/>
      <c r="D2" s="2395"/>
      <c r="E2" s="2395"/>
      <c r="F2" s="2395"/>
      <c r="G2" s="2395"/>
      <c r="H2" s="2395"/>
      <c r="I2" s="2395"/>
      <c r="J2" s="2395"/>
      <c r="K2" s="2395"/>
      <c r="L2" s="2395"/>
      <c r="M2" s="2395"/>
      <c r="N2" s="2395"/>
      <c r="O2" s="2395"/>
      <c r="P2" s="2395"/>
      <c r="Q2" s="2395"/>
      <c r="R2" s="2395"/>
      <c r="S2" s="2395"/>
      <c r="T2" s="2395"/>
      <c r="U2" s="2395"/>
      <c r="V2" s="2395"/>
      <c r="W2" s="2395"/>
      <c r="X2" s="2395"/>
      <c r="Y2" s="2395"/>
      <c r="Z2" s="2395"/>
      <c r="AA2" s="2395"/>
      <c r="AB2" s="2395"/>
      <c r="AC2" s="2395"/>
      <c r="AD2" s="2395"/>
      <c r="AE2" s="2395"/>
      <c r="AF2" s="2395"/>
      <c r="AG2" s="2395"/>
      <c r="AH2" s="2395"/>
      <c r="AI2" s="2395"/>
      <c r="AJ2" s="2395"/>
      <c r="AK2" s="2395"/>
      <c r="AL2" s="2395"/>
      <c r="AM2" s="2395"/>
      <c r="AN2" s="2395"/>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319</v>
      </c>
      <c r="C5" s="400" t="s">
        <v>122</v>
      </c>
      <c r="F5" s="400"/>
    </row>
    <row r="6" spans="1:40" ht="12.9" customHeight="1">
      <c r="A6" s="400"/>
      <c r="C6" s="398" t="s">
        <v>1237</v>
      </c>
    </row>
    <row r="7" spans="1:40" ht="12.9" customHeight="1">
      <c r="B7" s="401"/>
      <c r="C7" s="402"/>
      <c r="D7" s="402"/>
      <c r="E7" s="402"/>
      <c r="F7" s="402"/>
      <c r="G7" s="402"/>
      <c r="H7" s="402"/>
      <c r="I7" s="402"/>
      <c r="J7" s="402"/>
      <c r="K7" s="402"/>
      <c r="L7" s="402"/>
      <c r="M7" s="402"/>
      <c r="N7" s="402"/>
      <c r="O7" s="402"/>
      <c r="P7" s="402"/>
      <c r="Q7" s="402"/>
      <c r="R7" s="402"/>
      <c r="S7" s="402"/>
      <c r="T7" s="2374" t="str">
        <f xml:space="preserve"> IF(T25=100%,'Sources and Basis Breakdown'!G2,'Sources and Basis Breakdown'!F2)</f>
        <v>30% PVC for New Const/
Rehabilitation
DDA/QCT
Building(s)</v>
      </c>
      <c r="U7" s="2374"/>
      <c r="V7" s="2374"/>
      <c r="W7" s="2374"/>
      <c r="X7" s="2374"/>
      <c r="Y7" s="2374" t="str">
        <f>IF(T25=100%,"",'Sources and Basis Breakdown'!G2)</f>
        <v>30% PVC for New Const/
Rehabilitation
NON-DDA/
NON-QCT Building(s)</v>
      </c>
      <c r="Z7" s="2374"/>
      <c r="AA7" s="2374"/>
      <c r="AB7" s="2374"/>
      <c r="AC7" s="2374"/>
      <c r="AD7" s="2374" t="str">
        <f xml:space="preserve"> IF(T25=100%, 'Sources and Basis Breakdown'!J2,'Sources and Basis Breakdown'!I2)</f>
        <v>30% PVC for Acquisition
DDA/QCT Building(s)</v>
      </c>
      <c r="AE7" s="2374"/>
      <c r="AF7" s="2374"/>
      <c r="AG7" s="2374"/>
      <c r="AH7" s="2374"/>
      <c r="AI7" s="2374" t="str">
        <f>IF(T25=100%,"",'Sources and Basis Breakdown'!J2)</f>
        <v>30% PVC for Acquisition
NON-DDA/
NON-QCT Building(s)</v>
      </c>
      <c r="AJ7" s="2374"/>
      <c r="AK7" s="2374"/>
      <c r="AL7" s="2374"/>
      <c r="AM7" s="2374"/>
    </row>
    <row r="8" spans="1:40" ht="12.9" customHeight="1">
      <c r="B8" s="403"/>
      <c r="T8" s="2374"/>
      <c r="U8" s="2374"/>
      <c r="V8" s="2374"/>
      <c r="W8" s="2374"/>
      <c r="X8" s="2374"/>
      <c r="Y8" s="2374"/>
      <c r="Z8" s="2374"/>
      <c r="AA8" s="2374"/>
      <c r="AB8" s="2374"/>
      <c r="AC8" s="2374"/>
      <c r="AD8" s="2374"/>
      <c r="AE8" s="2374"/>
      <c r="AF8" s="2374"/>
      <c r="AG8" s="2374"/>
      <c r="AH8" s="2374"/>
      <c r="AI8" s="2374"/>
      <c r="AJ8" s="2374"/>
      <c r="AK8" s="2374"/>
      <c r="AL8" s="2374"/>
      <c r="AM8" s="2374"/>
    </row>
    <row r="9" spans="1:40" ht="12.9" customHeight="1">
      <c r="B9" s="403"/>
      <c r="T9" s="2374"/>
      <c r="U9" s="2374"/>
      <c r="V9" s="2374"/>
      <c r="W9" s="2374"/>
      <c r="X9" s="2374"/>
      <c r="Y9" s="2374"/>
      <c r="Z9" s="2374"/>
      <c r="AA9" s="2374"/>
      <c r="AB9" s="2374"/>
      <c r="AC9" s="2374"/>
      <c r="AD9" s="2374"/>
      <c r="AE9" s="2374"/>
      <c r="AF9" s="2374"/>
      <c r="AG9" s="2374"/>
      <c r="AH9" s="2374"/>
      <c r="AI9" s="2374"/>
      <c r="AJ9" s="2374"/>
      <c r="AK9" s="2374"/>
      <c r="AL9" s="2374"/>
      <c r="AM9" s="2374"/>
    </row>
    <row r="10" spans="1:40" ht="12.9" customHeight="1">
      <c r="B10" s="404"/>
      <c r="C10" s="405"/>
      <c r="D10" s="405"/>
      <c r="E10" s="405"/>
      <c r="F10" s="405"/>
      <c r="G10" s="405"/>
      <c r="H10" s="405"/>
      <c r="I10" s="405"/>
      <c r="J10" s="405"/>
      <c r="K10" s="405"/>
      <c r="L10" s="405"/>
      <c r="M10" s="405"/>
      <c r="N10" s="405"/>
      <c r="O10" s="405"/>
      <c r="P10" s="405"/>
      <c r="Q10" s="405"/>
      <c r="R10" s="405"/>
      <c r="S10" s="405"/>
      <c r="T10" s="2374"/>
      <c r="U10" s="2374"/>
      <c r="V10" s="2374"/>
      <c r="W10" s="2374"/>
      <c r="X10" s="2374"/>
      <c r="Y10" s="2374"/>
      <c r="Z10" s="2374"/>
      <c r="AA10" s="2374"/>
      <c r="AB10" s="2374"/>
      <c r="AC10" s="2374"/>
      <c r="AD10" s="2374"/>
      <c r="AE10" s="2374"/>
      <c r="AF10" s="2374"/>
      <c r="AG10" s="2374"/>
      <c r="AH10" s="2374"/>
      <c r="AI10" s="2374"/>
      <c r="AJ10" s="2374"/>
      <c r="AK10" s="2374"/>
      <c r="AL10" s="2374"/>
      <c r="AM10" s="2374"/>
    </row>
    <row r="11" spans="1:40" ht="12.9" customHeight="1">
      <c r="B11" s="2360" t="s">
        <v>375</v>
      </c>
      <c r="C11" s="2361"/>
      <c r="D11" s="2361"/>
      <c r="E11" s="2361"/>
      <c r="F11" s="2361"/>
      <c r="G11" s="2361"/>
      <c r="H11" s="2361"/>
      <c r="I11" s="2361"/>
      <c r="J11" s="2361"/>
      <c r="K11" s="2361"/>
      <c r="L11" s="2361"/>
      <c r="M11" s="2361"/>
      <c r="N11" s="2361"/>
      <c r="O11" s="2361"/>
      <c r="P11" s="2361"/>
      <c r="Q11" s="2361"/>
      <c r="R11" s="2361"/>
      <c r="S11" s="2362"/>
      <c r="T11" s="2396">
        <f>IF('Sources and Basis Breakdown'!F107=0,'Sources and Basis Breakdown'!E107,'Sources and Basis Breakdown'!F107)</f>
        <v>68158964</v>
      </c>
      <c r="U11" s="2397"/>
      <c r="V11" s="2397"/>
      <c r="W11" s="2397"/>
      <c r="X11" s="2397"/>
      <c r="Y11" s="2396">
        <f>IF(Y7="",0,IF('Sources and Basis Breakdown'!G107+'Sources and Basis Breakdown'!F107='Sources and Basis Breakdown'!E107,'Sources and Basis Breakdown'!G107,0))</f>
        <v>0</v>
      </c>
      <c r="Z11" s="2397"/>
      <c r="AA11" s="2397"/>
      <c r="AB11" s="2397"/>
      <c r="AC11" s="2397"/>
      <c r="AD11" s="2397">
        <f>IF('Sources and Basis Breakdown'!I107=0,'Sources and Basis Breakdown'!H107,'Sources and Basis Breakdown'!I107)</f>
        <v>27600000</v>
      </c>
      <c r="AE11" s="2397"/>
      <c r="AF11" s="2397"/>
      <c r="AG11" s="2397"/>
      <c r="AH11" s="2397"/>
      <c r="AI11" s="2397">
        <f>IF(Y7="",0,IF('Sources and Basis Breakdown'!I107+'Sources and Basis Breakdown'!J107='Sources and Basis Breakdown'!H107,'Sources and Basis Breakdown'!J107,0))</f>
        <v>0</v>
      </c>
      <c r="AJ11" s="2397"/>
      <c r="AK11" s="2397"/>
      <c r="AL11" s="2397"/>
      <c r="AM11" s="2397"/>
    </row>
    <row r="12" spans="1:40" ht="12.9" customHeight="1">
      <c r="B12" s="2398" t="s">
        <v>497</v>
      </c>
      <c r="C12" s="1858"/>
      <c r="D12" s="1858"/>
      <c r="E12" s="1858"/>
      <c r="F12" s="1858"/>
      <c r="G12" s="1858"/>
      <c r="H12" s="1858"/>
      <c r="I12" s="1858"/>
      <c r="J12" s="1858"/>
      <c r="K12" s="1858"/>
      <c r="L12" s="1858"/>
      <c r="M12" s="1858"/>
      <c r="N12" s="1858"/>
      <c r="O12" s="1858"/>
      <c r="P12" s="1858"/>
      <c r="Q12" s="1858"/>
      <c r="R12" s="1858"/>
      <c r="S12" s="2399"/>
      <c r="T12" s="2389"/>
      <c r="U12" s="2390"/>
      <c r="V12" s="2390"/>
      <c r="W12" s="2390"/>
      <c r="X12" s="2391"/>
      <c r="Y12" s="2389"/>
      <c r="Z12" s="2390"/>
      <c r="AA12" s="2390"/>
      <c r="AB12" s="2390"/>
      <c r="AC12" s="2391"/>
      <c r="AD12" s="2389"/>
      <c r="AE12" s="2390"/>
      <c r="AF12" s="2390"/>
      <c r="AG12" s="2390"/>
      <c r="AH12" s="2391"/>
      <c r="AI12" s="2389"/>
      <c r="AJ12" s="2390"/>
      <c r="AK12" s="2390"/>
      <c r="AL12" s="2390"/>
      <c r="AM12" s="2391"/>
    </row>
    <row r="13" spans="1:40" ht="12.9" customHeight="1">
      <c r="B13" s="431"/>
      <c r="C13" s="2400" t="s">
        <v>498</v>
      </c>
      <c r="D13" s="2400"/>
      <c r="E13" s="2400"/>
      <c r="F13" s="2400"/>
      <c r="G13" s="2400"/>
      <c r="H13" s="2400"/>
      <c r="I13" s="2400"/>
      <c r="J13" s="2400"/>
      <c r="K13" s="2400"/>
      <c r="L13" s="2400"/>
      <c r="M13" s="2400"/>
      <c r="N13" s="2400"/>
      <c r="O13" s="2400"/>
      <c r="P13" s="2400"/>
      <c r="Q13" s="2400"/>
      <c r="R13" s="2400"/>
      <c r="S13" s="2401"/>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2.9" customHeight="1">
      <c r="B14" s="431"/>
      <c r="C14" s="2400" t="s">
        <v>499</v>
      </c>
      <c r="D14" s="2400"/>
      <c r="E14" s="2400"/>
      <c r="F14" s="2400"/>
      <c r="G14" s="2400"/>
      <c r="H14" s="2400"/>
      <c r="I14" s="2400"/>
      <c r="J14" s="2400"/>
      <c r="K14" s="2400"/>
      <c r="L14" s="2400"/>
      <c r="M14" s="2400"/>
      <c r="N14" s="2400"/>
      <c r="O14" s="2400"/>
      <c r="P14" s="2400"/>
      <c r="Q14" s="2400"/>
      <c r="R14" s="2400"/>
      <c r="S14" s="2401"/>
      <c r="T14" s="2382"/>
      <c r="U14" s="2383"/>
      <c r="V14" s="2383"/>
      <c r="W14" s="2383"/>
      <c r="X14" s="2383"/>
      <c r="Y14" s="2382"/>
      <c r="Z14" s="2383"/>
      <c r="AA14" s="2383"/>
      <c r="AB14" s="2383"/>
      <c r="AC14" s="2383"/>
      <c r="AD14" s="2383"/>
      <c r="AE14" s="2383"/>
      <c r="AF14" s="2383"/>
      <c r="AG14" s="2383"/>
      <c r="AH14" s="2383"/>
      <c r="AI14" s="2383"/>
      <c r="AJ14" s="2383"/>
      <c r="AK14" s="2383"/>
      <c r="AL14" s="2383"/>
      <c r="AM14" s="2383"/>
    </row>
    <row r="15" spans="1:40" ht="12.9" customHeight="1">
      <c r="B15" s="431"/>
      <c r="C15" s="2400" t="s">
        <v>500</v>
      </c>
      <c r="D15" s="2400"/>
      <c r="E15" s="2400"/>
      <c r="F15" s="2400"/>
      <c r="G15" s="2400"/>
      <c r="H15" s="2400"/>
      <c r="I15" s="2400"/>
      <c r="J15" s="2400"/>
      <c r="K15" s="2400"/>
      <c r="L15" s="2400"/>
      <c r="M15" s="2400"/>
      <c r="N15" s="2400"/>
      <c r="O15" s="2400"/>
      <c r="P15" s="2400"/>
      <c r="Q15" s="2400"/>
      <c r="R15" s="2400"/>
      <c r="S15" s="2401"/>
      <c r="T15" s="2382"/>
      <c r="U15" s="2383"/>
      <c r="V15" s="2383"/>
      <c r="W15" s="2383"/>
      <c r="X15" s="2383"/>
      <c r="Y15" s="2382"/>
      <c r="Z15" s="2383"/>
      <c r="AA15" s="2383"/>
      <c r="AB15" s="2383"/>
      <c r="AC15" s="2383"/>
      <c r="AD15" s="2383"/>
      <c r="AE15" s="2383"/>
      <c r="AF15" s="2383"/>
      <c r="AG15" s="2383"/>
      <c r="AH15" s="2383"/>
      <c r="AI15" s="2383"/>
      <c r="AJ15" s="2383"/>
      <c r="AK15" s="2383"/>
      <c r="AL15" s="2383"/>
      <c r="AM15" s="2383"/>
    </row>
    <row r="16" spans="1:40" ht="12.9" customHeight="1">
      <c r="B16" s="431"/>
      <c r="C16" s="2400" t="s">
        <v>805</v>
      </c>
      <c r="D16" s="2400"/>
      <c r="E16" s="2400"/>
      <c r="F16" s="2400"/>
      <c r="G16" s="2400"/>
      <c r="H16" s="2400"/>
      <c r="I16" s="2400"/>
      <c r="J16" s="2400"/>
      <c r="K16" s="2400"/>
      <c r="L16" s="2400"/>
      <c r="M16" s="2400"/>
      <c r="N16" s="2400"/>
      <c r="O16" s="2400"/>
      <c r="P16" s="2400"/>
      <c r="Q16" s="2400"/>
      <c r="R16" s="2400"/>
      <c r="S16" s="2401"/>
      <c r="T16" s="2382"/>
      <c r="U16" s="2383"/>
      <c r="V16" s="2383"/>
      <c r="W16" s="2383"/>
      <c r="X16" s="2383"/>
      <c r="Y16" s="2382"/>
      <c r="Z16" s="2383"/>
      <c r="AA16" s="2383"/>
      <c r="AB16" s="2383"/>
      <c r="AC16" s="2383"/>
      <c r="AD16" s="2383"/>
      <c r="AE16" s="2383"/>
      <c r="AF16" s="2383"/>
      <c r="AG16" s="2383"/>
      <c r="AH16" s="2383"/>
      <c r="AI16" s="2383"/>
      <c r="AJ16" s="2383"/>
      <c r="AK16" s="2383"/>
      <c r="AL16" s="2383"/>
      <c r="AM16" s="2383"/>
    </row>
    <row r="17" spans="1:40" ht="12.9" customHeight="1">
      <c r="B17" s="431"/>
      <c r="C17" s="2400" t="s">
        <v>501</v>
      </c>
      <c r="D17" s="2400"/>
      <c r="E17" s="2400"/>
      <c r="F17" s="2400"/>
      <c r="G17" s="2400"/>
      <c r="H17" s="2400"/>
      <c r="I17" s="2400"/>
      <c r="J17" s="2400"/>
      <c r="K17" s="2400"/>
      <c r="L17" s="2400"/>
      <c r="M17" s="2400"/>
      <c r="N17" s="2400"/>
      <c r="O17" s="2400"/>
      <c r="P17" s="2400"/>
      <c r="Q17" s="2400"/>
      <c r="R17" s="2400"/>
      <c r="S17" s="2401"/>
      <c r="T17" s="2382"/>
      <c r="U17" s="2383"/>
      <c r="V17" s="2383"/>
      <c r="W17" s="2383"/>
      <c r="X17" s="2383"/>
      <c r="Y17" s="2382"/>
      <c r="Z17" s="2383"/>
      <c r="AA17" s="2383"/>
      <c r="AB17" s="2383"/>
      <c r="AC17" s="2383"/>
      <c r="AD17" s="2383"/>
      <c r="AE17" s="2383"/>
      <c r="AF17" s="2383"/>
      <c r="AG17" s="2383"/>
      <c r="AH17" s="2383"/>
      <c r="AI17" s="2383"/>
      <c r="AJ17" s="2383"/>
      <c r="AK17" s="2383"/>
      <c r="AL17" s="2383"/>
      <c r="AM17" s="2383"/>
    </row>
    <row r="18" spans="1:40" ht="12.9" customHeight="1">
      <c r="A18"/>
      <c r="B18" s="1139"/>
      <c r="C18" s="1561" t="s">
        <v>960</v>
      </c>
      <c r="D18" s="1561"/>
      <c r="E18" s="1561"/>
      <c r="F18" s="1561"/>
      <c r="G18" s="1561"/>
      <c r="H18" s="1561"/>
      <c r="I18" s="1561"/>
      <c r="J18" s="1561"/>
      <c r="K18" s="1561"/>
      <c r="L18" s="1561"/>
      <c r="M18" s="1561"/>
      <c r="N18" s="1561"/>
      <c r="O18" s="1561"/>
      <c r="P18" s="1561"/>
      <c r="Q18" s="1561"/>
      <c r="R18" s="1561"/>
      <c r="S18" s="1562"/>
      <c r="T18" s="2382"/>
      <c r="U18" s="2383"/>
      <c r="V18" s="2383"/>
      <c r="W18" s="2383"/>
      <c r="X18" s="2383"/>
      <c r="Y18" s="2382"/>
      <c r="Z18" s="2383"/>
      <c r="AA18" s="2383"/>
      <c r="AB18" s="2383"/>
      <c r="AC18" s="2383"/>
      <c r="AD18" s="2383"/>
      <c r="AE18" s="2383"/>
      <c r="AF18" s="2383"/>
      <c r="AG18" s="2383"/>
      <c r="AH18" s="2383"/>
      <c r="AI18" s="2383"/>
      <c r="AJ18" s="2383"/>
      <c r="AK18" s="2383"/>
      <c r="AL18" s="2383"/>
      <c r="AM18" s="2383"/>
    </row>
    <row r="19" spans="1:40" ht="12.9" customHeight="1">
      <c r="B19" s="1139"/>
      <c r="C19" s="1561" t="s">
        <v>960</v>
      </c>
      <c r="D19" s="1561"/>
      <c r="E19" s="1561"/>
      <c r="F19" s="1561"/>
      <c r="G19" s="1561"/>
      <c r="H19" s="1561"/>
      <c r="I19" s="1561"/>
      <c r="J19" s="1561"/>
      <c r="K19" s="1561"/>
      <c r="L19" s="1561"/>
      <c r="M19" s="1561"/>
      <c r="N19" s="1561"/>
      <c r="O19" s="1561"/>
      <c r="P19" s="1561"/>
      <c r="Q19" s="1561"/>
      <c r="R19" s="1561"/>
      <c r="S19" s="1562"/>
      <c r="T19" s="2382"/>
      <c r="U19" s="2383"/>
      <c r="V19" s="2383"/>
      <c r="W19" s="2383"/>
      <c r="X19" s="2383"/>
      <c r="Y19" s="2382"/>
      <c r="Z19" s="2383"/>
      <c r="AA19" s="2383"/>
      <c r="AB19" s="2383"/>
      <c r="AC19" s="2383"/>
      <c r="AD19" s="2383"/>
      <c r="AE19" s="2383"/>
      <c r="AF19" s="2383"/>
      <c r="AG19" s="2383"/>
      <c r="AH19" s="2383"/>
      <c r="AI19" s="2383"/>
      <c r="AJ19" s="2383"/>
      <c r="AK19" s="2383"/>
      <c r="AL19" s="2383"/>
      <c r="AM19" s="2383"/>
    </row>
    <row r="20" spans="1:40" ht="12.9" customHeight="1">
      <c r="B20" s="2360" t="s">
        <v>502</v>
      </c>
      <c r="C20" s="2361"/>
      <c r="D20" s="2361"/>
      <c r="E20" s="2361"/>
      <c r="F20" s="2361"/>
      <c r="G20" s="2361"/>
      <c r="H20" s="2361"/>
      <c r="I20" s="2361"/>
      <c r="J20" s="2361"/>
      <c r="K20" s="2361"/>
      <c r="L20" s="2361"/>
      <c r="M20" s="2361"/>
      <c r="N20" s="2361"/>
      <c r="O20" s="2361"/>
      <c r="P20" s="2361"/>
      <c r="Q20" s="2361"/>
      <c r="R20" s="2361"/>
      <c r="S20" s="2362"/>
      <c r="T20" s="2373">
        <f>SUM(T13:X19)</f>
        <v>0</v>
      </c>
      <c r="U20" s="2354"/>
      <c r="V20" s="2354"/>
      <c r="W20" s="2354"/>
      <c r="X20" s="2354"/>
      <c r="Y20" s="2373">
        <f>SUM(Y13:AC19)</f>
        <v>0</v>
      </c>
      <c r="Z20" s="2354"/>
      <c r="AA20" s="2354"/>
      <c r="AB20" s="2354"/>
      <c r="AC20" s="2354"/>
      <c r="AD20" s="2364">
        <f>SUM(AD13:AH19)</f>
        <v>0</v>
      </c>
      <c r="AE20" s="2372"/>
      <c r="AF20" s="2372"/>
      <c r="AG20" s="2372"/>
      <c r="AH20" s="2373"/>
      <c r="AI20" s="2364">
        <f>SUM(AI13:AM19)</f>
        <v>0</v>
      </c>
      <c r="AJ20" s="2372"/>
      <c r="AK20" s="2372"/>
      <c r="AL20" s="2372"/>
      <c r="AM20" s="2373"/>
    </row>
    <row r="21" spans="1:40" ht="12.9" customHeight="1">
      <c r="B21" s="2360" t="s">
        <v>1262</v>
      </c>
      <c r="C21" s="2361"/>
      <c r="D21" s="2361"/>
      <c r="E21" s="2361"/>
      <c r="F21" s="2361"/>
      <c r="G21" s="2361"/>
      <c r="H21" s="2361"/>
      <c r="I21" s="2361"/>
      <c r="J21" s="2361"/>
      <c r="K21" s="2361"/>
      <c r="L21" s="2361"/>
      <c r="M21" s="2361"/>
      <c r="N21" s="2361"/>
      <c r="O21" s="2361"/>
      <c r="P21" s="2361"/>
      <c r="Q21" s="2361"/>
      <c r="R21" s="2361"/>
      <c r="S21" s="2362"/>
      <c r="T21" s="2382"/>
      <c r="U21" s="2383"/>
      <c r="V21" s="2383"/>
      <c r="W21" s="2383"/>
      <c r="X21" s="2383"/>
      <c r="Y21" s="2382"/>
      <c r="Z21" s="2383"/>
      <c r="AA21" s="2383"/>
      <c r="AB21" s="2383"/>
      <c r="AC21" s="2383"/>
      <c r="AD21" s="2389"/>
      <c r="AE21" s="2390"/>
      <c r="AF21" s="2390"/>
      <c r="AG21" s="2390"/>
      <c r="AH21" s="2391"/>
      <c r="AI21" s="2389"/>
      <c r="AJ21" s="2390"/>
      <c r="AK21" s="2390"/>
      <c r="AL21" s="2390"/>
      <c r="AM21" s="2391"/>
    </row>
    <row r="22" spans="1:40" ht="12.9" customHeight="1">
      <c r="B22" s="2360" t="s">
        <v>503</v>
      </c>
      <c r="C22" s="2361"/>
      <c r="D22" s="2361"/>
      <c r="E22" s="2361"/>
      <c r="F22" s="2361"/>
      <c r="G22" s="2361"/>
      <c r="H22" s="2361"/>
      <c r="I22" s="2361"/>
      <c r="J22" s="2361"/>
      <c r="K22" s="2361"/>
      <c r="L22" s="2361"/>
      <c r="M22" s="2361"/>
      <c r="N22" s="2361"/>
      <c r="O22" s="2361"/>
      <c r="P22" s="2361"/>
      <c r="Q22" s="2361"/>
      <c r="R22" s="2361"/>
      <c r="S22" s="2362"/>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2.9" customHeight="1">
      <c r="B23" s="2360" t="s">
        <v>504</v>
      </c>
      <c r="C23" s="2361"/>
      <c r="D23" s="2361"/>
      <c r="E23" s="2361"/>
      <c r="F23" s="2361"/>
      <c r="G23" s="2361"/>
      <c r="H23" s="2361"/>
      <c r="I23" s="2361"/>
      <c r="J23" s="2361"/>
      <c r="K23" s="2361"/>
      <c r="L23" s="2361"/>
      <c r="M23" s="2361"/>
      <c r="N23" s="2361"/>
      <c r="O23" s="2361"/>
      <c r="P23" s="2361"/>
      <c r="Q23" s="2361"/>
      <c r="R23" s="2361"/>
      <c r="S23" s="2362"/>
      <c r="T23" s="2373">
        <f>T11+T22</f>
        <v>68158964</v>
      </c>
      <c r="U23" s="2354"/>
      <c r="V23" s="2354"/>
      <c r="W23" s="2354"/>
      <c r="X23" s="2354"/>
      <c r="Y23" s="2373">
        <f>Y11+Y22</f>
        <v>0</v>
      </c>
      <c r="Z23" s="2354"/>
      <c r="AA23" s="2354"/>
      <c r="AB23" s="2354"/>
      <c r="AC23" s="2354"/>
      <c r="AD23" s="2373">
        <f>AD11+AD22</f>
        <v>27600000</v>
      </c>
      <c r="AE23" s="2354"/>
      <c r="AF23" s="2354"/>
      <c r="AG23" s="2354"/>
      <c r="AH23" s="2354"/>
      <c r="AI23" s="2373">
        <f>AI11+AI22</f>
        <v>0</v>
      </c>
      <c r="AJ23" s="2354"/>
      <c r="AK23" s="2354"/>
      <c r="AL23" s="2354"/>
      <c r="AM23" s="2354"/>
    </row>
    <row r="24" spans="1:40" ht="12.9" customHeight="1">
      <c r="B24" s="2360" t="s">
        <v>961</v>
      </c>
      <c r="C24" s="2361"/>
      <c r="D24" s="2361"/>
      <c r="E24" s="2361"/>
      <c r="F24" s="2361"/>
      <c r="G24" s="2361"/>
      <c r="H24" s="2361"/>
      <c r="I24" s="2361"/>
      <c r="J24" s="2361"/>
      <c r="K24" s="2361"/>
      <c r="L24" s="2361"/>
      <c r="M24" s="2361"/>
      <c r="N24" s="2361"/>
      <c r="O24" s="2361"/>
      <c r="P24" s="2361"/>
      <c r="Q24" s="2361"/>
      <c r="R24" s="2361"/>
      <c r="S24" s="2362"/>
      <c r="T24" s="2364">
        <f>Application!AJ1062</f>
        <v>122550135.24000001</v>
      </c>
      <c r="U24" s="2372"/>
      <c r="V24" s="2372"/>
      <c r="W24" s="2372"/>
      <c r="X24" s="2372"/>
      <c r="Y24" s="2372"/>
      <c r="Z24" s="2372"/>
      <c r="AA24" s="2372"/>
      <c r="AB24" s="2372"/>
      <c r="AC24" s="2372"/>
      <c r="AD24" s="2372"/>
      <c r="AE24" s="2372"/>
      <c r="AF24" s="2372"/>
      <c r="AG24" s="2372"/>
      <c r="AH24" s="2372"/>
      <c r="AI24" s="2372"/>
      <c r="AJ24" s="2372"/>
      <c r="AK24" s="2372"/>
      <c r="AL24" s="2372"/>
      <c r="AM24" s="2373"/>
    </row>
    <row r="25" spans="1:40" ht="12.9" customHeight="1">
      <c r="B25" s="2404" t="s">
        <v>1263</v>
      </c>
      <c r="C25" s="2405"/>
      <c r="D25" s="2405"/>
      <c r="E25" s="2405"/>
      <c r="F25" s="2405"/>
      <c r="G25" s="2405"/>
      <c r="H25" s="2405"/>
      <c r="I25" s="2405"/>
      <c r="J25" s="2405"/>
      <c r="K25" s="2405"/>
      <c r="L25" s="2405"/>
      <c r="M25" s="2405"/>
      <c r="N25" s="2405"/>
      <c r="O25" s="2405"/>
      <c r="P25" s="2405"/>
      <c r="Q25" s="2405"/>
      <c r="R25" s="2405"/>
      <c r="S25" s="2406"/>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2.9" customHeight="1">
      <c r="B26" s="2360" t="s">
        <v>505</v>
      </c>
      <c r="C26" s="2361"/>
      <c r="D26" s="2361"/>
      <c r="E26" s="2361"/>
      <c r="F26" s="2361"/>
      <c r="G26" s="2361"/>
      <c r="H26" s="2361"/>
      <c r="I26" s="2361"/>
      <c r="J26" s="2361"/>
      <c r="K26" s="2361"/>
      <c r="L26" s="2361"/>
      <c r="M26" s="2361"/>
      <c r="N26" s="2361"/>
      <c r="O26" s="2361"/>
      <c r="P26" s="2361"/>
      <c r="Q26" s="2361"/>
      <c r="R26" s="2361"/>
      <c r="S26" s="2362"/>
      <c r="T26" s="2373">
        <f>T23*T25</f>
        <v>88606653.200000003</v>
      </c>
      <c r="U26" s="2354"/>
      <c r="V26" s="2354"/>
      <c r="W26" s="2354"/>
      <c r="X26" s="2354"/>
      <c r="Y26" s="2373">
        <f>Y23*Y25</f>
        <v>0</v>
      </c>
      <c r="Z26" s="2354"/>
      <c r="AA26" s="2354"/>
      <c r="AB26" s="2354"/>
      <c r="AC26" s="2354"/>
      <c r="AD26" s="2373">
        <f>AD23*AD25</f>
        <v>27600000</v>
      </c>
      <c r="AE26" s="2354"/>
      <c r="AF26" s="2354"/>
      <c r="AG26" s="2354"/>
      <c r="AH26" s="2354"/>
      <c r="AI26" s="2373">
        <f>AI23*AI25</f>
        <v>0</v>
      </c>
      <c r="AJ26" s="2354"/>
      <c r="AK26" s="2354"/>
      <c r="AL26" s="2354"/>
      <c r="AM26" s="2354"/>
    </row>
    <row r="27" spans="1:40" ht="12.9" customHeight="1">
      <c r="A27" s="406"/>
      <c r="B27" s="2407" t="s">
        <v>426</v>
      </c>
      <c r="C27" s="2408"/>
      <c r="D27" s="2408"/>
      <c r="E27" s="2408"/>
      <c r="F27" s="2408"/>
      <c r="G27" s="2408"/>
      <c r="H27" s="2408"/>
      <c r="I27" s="2408"/>
      <c r="J27" s="2408"/>
      <c r="K27" s="2408"/>
      <c r="L27" s="2408"/>
      <c r="M27" s="2408"/>
      <c r="N27" s="2408"/>
      <c r="O27" s="2408"/>
      <c r="P27" s="2408"/>
      <c r="Q27" s="2408"/>
      <c r="R27" s="2408"/>
      <c r="S27" s="2409"/>
      <c r="T27" s="2384">
        <f>Application!$AG$454</f>
        <v>1</v>
      </c>
      <c r="U27" s="2385"/>
      <c r="V27" s="2385"/>
      <c r="W27" s="2385"/>
      <c r="X27" s="2385"/>
      <c r="Y27" s="2384">
        <f>Application!$AG$454</f>
        <v>1</v>
      </c>
      <c r="Z27" s="2385"/>
      <c r="AA27" s="2385"/>
      <c r="AB27" s="2385"/>
      <c r="AC27" s="2385"/>
      <c r="AD27" s="2384">
        <f>Application!$AG$454</f>
        <v>1</v>
      </c>
      <c r="AE27" s="2385"/>
      <c r="AF27" s="2385"/>
      <c r="AG27" s="2385"/>
      <c r="AH27" s="2385"/>
      <c r="AI27" s="2384">
        <f>Application!$AG$454</f>
        <v>1</v>
      </c>
      <c r="AJ27" s="2385"/>
      <c r="AK27" s="2385"/>
      <c r="AL27" s="2385"/>
      <c r="AM27" s="2385"/>
    </row>
    <row r="28" spans="1:40" ht="12.9" customHeight="1">
      <c r="A28" s="400"/>
      <c r="B28" s="2360" t="s">
        <v>506</v>
      </c>
      <c r="C28" s="2361"/>
      <c r="D28" s="2361"/>
      <c r="E28" s="2361"/>
      <c r="F28" s="2361"/>
      <c r="G28" s="2361"/>
      <c r="H28" s="2361"/>
      <c r="I28" s="2361"/>
      <c r="J28" s="2361"/>
      <c r="K28" s="2361"/>
      <c r="L28" s="2361"/>
      <c r="M28" s="2361"/>
      <c r="N28" s="2361"/>
      <c r="O28" s="2361"/>
      <c r="P28" s="2361"/>
      <c r="Q28" s="2361"/>
      <c r="R28" s="2361"/>
      <c r="S28" s="2362"/>
      <c r="T28" s="2373">
        <f>IF(ISERROR((T26*T27)),0,(T26*T27))</f>
        <v>88606653.200000003</v>
      </c>
      <c r="U28" s="2354"/>
      <c r="V28" s="2354"/>
      <c r="W28" s="2354"/>
      <c r="X28" s="2354"/>
      <c r="Y28" s="2373">
        <f>IF(ISERROR((Y26*Y27)),0,(Y26*Y27))</f>
        <v>0</v>
      </c>
      <c r="Z28" s="2354"/>
      <c r="AA28" s="2354"/>
      <c r="AB28" s="2354"/>
      <c r="AC28" s="2354"/>
      <c r="AD28" s="2373">
        <f>IF(ISERROR((AD26*AD27)),0,(AD26*AD27))</f>
        <v>27600000</v>
      </c>
      <c r="AE28" s="2354"/>
      <c r="AF28" s="2354"/>
      <c r="AG28" s="2354"/>
      <c r="AH28" s="2354"/>
      <c r="AI28" s="2373">
        <f>IF(ISERROR((AI26*AI27)),0,(AI26*AI27))</f>
        <v>0</v>
      </c>
      <c r="AJ28" s="2354"/>
      <c r="AK28" s="2354"/>
      <c r="AL28" s="2354"/>
      <c r="AM28" s="2354"/>
    </row>
    <row r="29" spans="1:40" ht="12.9" customHeight="1">
      <c r="B29" s="2360" t="s">
        <v>523</v>
      </c>
      <c r="C29" s="2361"/>
      <c r="D29" s="2361"/>
      <c r="E29" s="2361"/>
      <c r="F29" s="2361"/>
      <c r="G29" s="2361"/>
      <c r="H29" s="2361"/>
      <c r="I29" s="2361"/>
      <c r="J29" s="2361"/>
      <c r="K29" s="2361"/>
      <c r="L29" s="2361"/>
      <c r="M29" s="2361"/>
      <c r="N29" s="2361"/>
      <c r="O29" s="2361"/>
      <c r="P29" s="2361"/>
      <c r="Q29" s="2361"/>
      <c r="R29" s="2361"/>
      <c r="S29" s="2362"/>
      <c r="T29" s="2364">
        <f>T28+Y28+AD28+AI28</f>
        <v>116206653.2</v>
      </c>
      <c r="U29" s="2372"/>
      <c r="V29" s="2372"/>
      <c r="W29" s="2372"/>
      <c r="X29" s="2372"/>
      <c r="Y29" s="2372"/>
      <c r="Z29" s="2372"/>
      <c r="AA29" s="2372"/>
      <c r="AB29" s="2372"/>
      <c r="AC29" s="2372"/>
      <c r="AD29" s="2372"/>
      <c r="AE29" s="2372"/>
      <c r="AF29" s="2372"/>
      <c r="AG29" s="2372"/>
      <c r="AH29" s="2372"/>
      <c r="AI29" s="2372"/>
      <c r="AJ29" s="2372"/>
      <c r="AK29" s="2372"/>
      <c r="AL29" s="2372"/>
      <c r="AM29" s="2373"/>
    </row>
    <row r="30" spans="1:40" ht="12.9" customHeight="1">
      <c r="B30" s="2377" t="s">
        <v>1265</v>
      </c>
      <c r="C30" s="2377"/>
      <c r="D30" s="2377"/>
      <c r="E30" s="2377"/>
      <c r="F30" s="2377"/>
      <c r="G30" s="2377"/>
      <c r="H30" s="2377"/>
      <c r="I30" s="2377"/>
      <c r="J30" s="2377"/>
      <c r="K30" s="2377"/>
      <c r="L30" s="2377"/>
      <c r="M30" s="2377"/>
      <c r="N30" s="2377"/>
      <c r="O30" s="2377"/>
      <c r="P30" s="2377"/>
      <c r="Q30" s="2377"/>
      <c r="R30" s="2377"/>
      <c r="S30" s="2377"/>
      <c r="T30" s="2377"/>
      <c r="U30" s="2377"/>
      <c r="V30" s="2377"/>
      <c r="W30" s="2377"/>
      <c r="X30" s="2377"/>
      <c r="Y30" s="2377"/>
      <c r="Z30" s="2377"/>
      <c r="AA30" s="2377"/>
      <c r="AB30" s="2377"/>
      <c r="AC30" s="2377"/>
      <c r="AD30" s="2377"/>
      <c r="AE30" s="2377"/>
      <c r="AF30" s="2377"/>
      <c r="AG30" s="2377"/>
      <c r="AH30" s="2377"/>
      <c r="AI30" s="2377"/>
      <c r="AJ30" s="2377"/>
      <c r="AK30" s="2377"/>
      <c r="AL30" s="2377"/>
      <c r="AM30" s="2377"/>
    </row>
    <row r="31" spans="1:40" ht="12.9" customHeight="1">
      <c r="B31" s="2377" t="s">
        <v>1264</v>
      </c>
      <c r="C31" s="2377"/>
      <c r="D31" s="2377"/>
      <c r="E31" s="2377"/>
      <c r="F31" s="2377"/>
      <c r="G31" s="2377"/>
      <c r="H31" s="2377"/>
      <c r="I31" s="2377"/>
      <c r="J31" s="2377"/>
      <c r="K31" s="2377"/>
      <c r="L31" s="2377"/>
      <c r="M31" s="2377"/>
      <c r="N31" s="2377"/>
      <c r="O31" s="2377"/>
      <c r="P31" s="2377"/>
      <c r="Q31" s="2377"/>
      <c r="R31" s="2377"/>
      <c r="S31" s="2377"/>
      <c r="T31" s="2377"/>
      <c r="U31" s="2377"/>
      <c r="V31" s="2377"/>
      <c r="W31" s="2377"/>
      <c r="X31" s="2377"/>
      <c r="Y31" s="2377"/>
      <c r="Z31" s="2377"/>
      <c r="AA31" s="2377"/>
      <c r="AB31" s="2377"/>
      <c r="AC31" s="2377"/>
      <c r="AD31" s="2377"/>
      <c r="AE31" s="2377"/>
      <c r="AF31" s="2377"/>
      <c r="AG31" s="2377"/>
      <c r="AH31" s="2377"/>
      <c r="AI31" s="2377"/>
      <c r="AJ31" s="2377"/>
      <c r="AK31" s="2377"/>
      <c r="AL31" s="2377"/>
      <c r="AM31" s="2377"/>
      <c r="AN31" s="514"/>
    </row>
    <row r="32" spans="1:40" ht="12.9"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576</v>
      </c>
      <c r="C34" s="400" t="s">
        <v>568</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4" t="s">
        <v>1153</v>
      </c>
      <c r="Z35" s="2374"/>
      <c r="AA35" s="2374"/>
      <c r="AB35" s="2374"/>
      <c r="AC35" s="2374"/>
      <c r="AD35" s="2375" t="s">
        <v>369</v>
      </c>
      <c r="AE35" s="2375"/>
      <c r="AF35" s="2375"/>
      <c r="AG35" s="2375"/>
      <c r="AH35" s="2375"/>
    </row>
    <row r="36" spans="1:76" ht="12.9" customHeight="1">
      <c r="B36" s="403"/>
      <c r="X36" s="408"/>
      <c r="Y36" s="2374"/>
      <c r="Z36" s="2374"/>
      <c r="AA36" s="2374"/>
      <c r="AB36" s="2374"/>
      <c r="AC36" s="2374"/>
      <c r="AD36" s="2375"/>
      <c r="AE36" s="2375"/>
      <c r="AF36" s="2375"/>
      <c r="AG36" s="2375"/>
      <c r="AH36" s="2375"/>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4"/>
      <c r="Z37" s="2374"/>
      <c r="AA37" s="2374"/>
      <c r="AB37" s="2374"/>
      <c r="AC37" s="2374"/>
      <c r="AD37" s="2375"/>
      <c r="AE37" s="2375"/>
      <c r="AF37" s="2375"/>
      <c r="AG37" s="2375"/>
      <c r="AH37" s="2375"/>
    </row>
    <row r="38" spans="1:76" ht="12.9" customHeight="1">
      <c r="A38" s="400"/>
      <c r="B38" s="2360" t="s">
        <v>506</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88606653.200000003</v>
      </c>
      <c r="Z38" s="2354"/>
      <c r="AA38" s="2354"/>
      <c r="AB38" s="2354"/>
      <c r="AC38" s="2354"/>
      <c r="AD38" s="2354">
        <f>IF(T24&gt;=(T23+Y23+AD23+AI23),AD28+AI28,0)</f>
        <v>27600000</v>
      </c>
      <c r="AE38" s="2354"/>
      <c r="AF38" s="2354"/>
      <c r="AG38" s="2354"/>
      <c r="AH38" s="2354"/>
    </row>
    <row r="39" spans="1:76" ht="12.9" customHeight="1">
      <c r="B39" s="2360" t="s">
        <v>1679</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376">
        <v>0.04</v>
      </c>
      <c r="Z39" s="2376"/>
      <c r="AA39" s="2376"/>
      <c r="AB39" s="2376"/>
      <c r="AC39" s="2376"/>
      <c r="AD39" s="2376">
        <v>0.04</v>
      </c>
      <c r="AE39" s="2376"/>
      <c r="AF39" s="2376"/>
      <c r="AG39" s="2376"/>
      <c r="AH39" s="2376"/>
    </row>
    <row r="40" spans="1:76" ht="12.9" customHeight="1">
      <c r="A40" s="400"/>
      <c r="B40" s="2360" t="s">
        <v>642</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3544266</v>
      </c>
      <c r="Z40" s="2354"/>
      <c r="AA40" s="2354"/>
      <c r="AB40" s="2354"/>
      <c r="AC40" s="2354"/>
      <c r="AD40" s="2373">
        <f>ROUND(AD38*AD39,0)</f>
        <v>1104000</v>
      </c>
      <c r="AE40" s="2354"/>
      <c r="AF40" s="2354"/>
      <c r="AG40" s="2354"/>
      <c r="AH40" s="2354"/>
    </row>
    <row r="41" spans="1:76" ht="12.9" customHeight="1">
      <c r="B41" s="2360" t="s">
        <v>643</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64">
        <f>Y40+AD40</f>
        <v>4648266</v>
      </c>
      <c r="Z41" s="2372"/>
      <c r="AA41" s="2372"/>
      <c r="AB41" s="2372"/>
      <c r="AC41" s="2372"/>
      <c r="AD41" s="2372"/>
      <c r="AE41" s="2372"/>
      <c r="AF41" s="2372"/>
      <c r="AG41" s="2372"/>
      <c r="AH41" s="2373"/>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2371" t="s">
        <v>1275</v>
      </c>
      <c r="B44" s="2371"/>
      <c r="C44" s="2371"/>
      <c r="D44" s="2371"/>
      <c r="E44" s="2371"/>
      <c r="F44" s="2371"/>
      <c r="G44" s="2371"/>
      <c r="H44" s="2371"/>
      <c r="I44" s="2371"/>
      <c r="J44" s="2371"/>
      <c r="K44" s="2371"/>
      <c r="L44" s="2371"/>
      <c r="M44" s="2371"/>
      <c r="N44" s="2371"/>
      <c r="O44" s="2371"/>
      <c r="P44" s="2371"/>
      <c r="Q44" s="2371"/>
      <c r="R44" s="2371"/>
      <c r="S44" s="2371"/>
      <c r="T44" s="2371"/>
      <c r="U44" s="2371"/>
      <c r="V44" s="2371"/>
      <c r="W44" s="2371"/>
      <c r="X44" s="2371"/>
      <c r="Y44" s="2371"/>
      <c r="Z44" s="2371"/>
      <c r="AA44" s="2371"/>
      <c r="AB44" s="2371"/>
      <c r="AC44" s="2371"/>
      <c r="AD44" s="2371"/>
      <c r="AE44" s="2371"/>
      <c r="AF44" s="2371"/>
      <c r="AG44" s="2371"/>
      <c r="AH44" s="2371"/>
      <c r="AI44" s="2371"/>
      <c r="AJ44" s="2371"/>
      <c r="AK44" s="2371"/>
      <c r="AL44" s="2371"/>
      <c r="AM44" s="2371"/>
      <c r="AN44" s="2371"/>
      <c r="AO44" s="2371"/>
      <c r="AP44" s="2371"/>
      <c r="AQ44" s="2371"/>
      <c r="AR44" s="2371"/>
      <c r="AS44" s="2371"/>
      <c r="AT44" s="2371"/>
      <c r="AU44" s="2371"/>
      <c r="AV44" s="2371"/>
      <c r="AW44" s="2371"/>
      <c r="AX44" s="2371"/>
      <c r="AY44" s="2371"/>
      <c r="AZ44" s="2371"/>
      <c r="BA44" s="2371"/>
      <c r="BB44" s="2371"/>
      <c r="BC44" s="2371"/>
      <c r="BD44" s="2371"/>
      <c r="BE44" s="2371"/>
      <c r="BF44" s="2371"/>
      <c r="BG44" s="2371"/>
      <c r="BH44" s="2371"/>
      <c r="BI44" s="2371"/>
      <c r="BJ44" s="2371"/>
      <c r="BK44" s="2371"/>
      <c r="BL44" s="2371"/>
      <c r="BM44" s="2371"/>
      <c r="BN44" s="2371"/>
      <c r="BO44" s="2371"/>
      <c r="BP44" s="2371"/>
      <c r="BQ44" s="2371"/>
      <c r="BR44" s="2371"/>
      <c r="BS44" s="2371"/>
      <c r="BT44" s="2371"/>
      <c r="BU44" s="2371"/>
      <c r="BV44" s="2371"/>
      <c r="BW44" s="2371"/>
      <c r="BX44" s="2371"/>
    </row>
    <row r="45" spans="1:76" s="204" customFormat="1" ht="12.9" customHeight="1" thickTop="1"/>
    <row r="46" spans="1:76" ht="12.9" customHeight="1">
      <c r="A46" s="400" t="s">
        <v>586</v>
      </c>
      <c r="C46" s="400" t="s">
        <v>282</v>
      </c>
    </row>
    <row r="47" spans="1:76" ht="12.9" customHeight="1">
      <c r="D47" s="400" t="s">
        <v>283</v>
      </c>
      <c r="AB47" s="2368">
        <f>'Sources and Uses Budget'!B105-MAX(IF('Sources and Uses Budget'!B15="",0,'Sources and Uses Budget'!B15),IF(Application!AG403="",0,Application!AG403))</f>
        <v>104198532</v>
      </c>
      <c r="AC47" s="2369"/>
      <c r="AD47" s="2369"/>
      <c r="AE47" s="2369"/>
      <c r="AF47" s="2370"/>
    </row>
    <row r="48" spans="1:76" ht="12.9" customHeight="1">
      <c r="D48" s="400" t="s">
        <v>21</v>
      </c>
      <c r="AB48" s="2368">
        <f>Application!AO647-MAX(IF('Sources and Uses Budget'!B15="",0,'Sources and Uses Budget'!B15),IF(Application!AG403="",0,Application!AG403))</f>
        <v>67012404</v>
      </c>
      <c r="AC48" s="2369"/>
      <c r="AD48" s="2369"/>
      <c r="AE48" s="2369"/>
      <c r="AF48" s="2370"/>
    </row>
    <row r="49" spans="1:76" ht="12.9" customHeight="1">
      <c r="D49" s="400" t="s">
        <v>91</v>
      </c>
      <c r="AB49" s="2368">
        <f>AB47-AB48</f>
        <v>37186128</v>
      </c>
      <c r="AC49" s="2369"/>
      <c r="AD49" s="2369"/>
      <c r="AE49" s="2369"/>
      <c r="AF49" s="2370"/>
    </row>
    <row r="50" spans="1:76" ht="12.9" customHeight="1">
      <c r="D50" s="400" t="s">
        <v>681</v>
      </c>
      <c r="AA50" s="411"/>
      <c r="AB50" s="2356">
        <v>0.8</v>
      </c>
      <c r="AC50" s="2357"/>
      <c r="AD50" s="2357"/>
      <c r="AE50" s="2357"/>
      <c r="AF50" s="2358"/>
    </row>
    <row r="51" spans="1:76" s="413" customFormat="1" ht="12.9" customHeight="1">
      <c r="A51" s="398"/>
      <c r="B51" s="398"/>
      <c r="C51" s="398"/>
      <c r="D51" s="398"/>
      <c r="E51" s="2367" t="s">
        <v>2527</v>
      </c>
      <c r="F51" s="2367"/>
      <c r="G51" s="2367"/>
      <c r="H51" s="2367"/>
      <c r="I51" s="2367"/>
      <c r="J51" s="2367"/>
      <c r="K51" s="2367"/>
      <c r="L51" s="2367"/>
      <c r="M51" s="2367"/>
      <c r="N51" s="2367"/>
      <c r="O51" s="2367"/>
      <c r="P51" s="2367"/>
      <c r="Q51" s="2367"/>
      <c r="R51" s="2367"/>
      <c r="S51" s="2367"/>
      <c r="T51" s="2367"/>
      <c r="U51" s="2367"/>
      <c r="V51" s="2367"/>
      <c r="W51" s="2367"/>
      <c r="X51" s="2367"/>
      <c r="Y51" s="2367"/>
      <c r="Z51" s="2367"/>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2367"/>
      <c r="F52" s="2367"/>
      <c r="G52" s="2367"/>
      <c r="H52" s="2367"/>
      <c r="I52" s="2367"/>
      <c r="J52" s="2367"/>
      <c r="K52" s="2367"/>
      <c r="L52" s="2367"/>
      <c r="M52" s="2367"/>
      <c r="N52" s="2367"/>
      <c r="O52" s="2367"/>
      <c r="P52" s="2367"/>
      <c r="Q52" s="2367"/>
      <c r="R52" s="2367"/>
      <c r="S52" s="2367"/>
      <c r="T52" s="2367"/>
      <c r="U52" s="2367"/>
      <c r="V52" s="2367"/>
      <c r="W52" s="2367"/>
      <c r="X52" s="2367"/>
      <c r="Y52" s="2367"/>
      <c r="Z52" s="2367"/>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332</v>
      </c>
      <c r="AB54" s="2368">
        <f>ROUND(IF(ISERROR((AB49/AB50)),0,(AB49/AB50)),0)</f>
        <v>46482660</v>
      </c>
      <c r="AC54" s="2369"/>
      <c r="AD54" s="2369"/>
      <c r="AE54" s="2369"/>
      <c r="AF54" s="2370"/>
    </row>
    <row r="55" spans="1:76" ht="12.9" customHeight="1">
      <c r="D55" s="400" t="s">
        <v>333</v>
      </c>
      <c r="AB55" s="2368">
        <f>(AB54/10)</f>
        <v>4648266</v>
      </c>
      <c r="AC55" s="2369"/>
      <c r="AD55" s="2369"/>
      <c r="AE55" s="2369"/>
      <c r="AF55" s="2370"/>
    </row>
    <row r="56" spans="1:76" ht="12.9" customHeight="1">
      <c r="D56" s="400" t="s">
        <v>756</v>
      </c>
      <c r="AB56" s="2368">
        <f>ROUND((IF((Y41&lt;AB55),Y41,AB55)),0)</f>
        <v>4648266</v>
      </c>
      <c r="AC56" s="2369"/>
      <c r="AD56" s="2369"/>
      <c r="AE56" s="2369"/>
      <c r="AF56" s="2370"/>
    </row>
    <row r="57" spans="1:76" ht="12.9" customHeight="1">
      <c r="D57" s="400" t="s">
        <v>755</v>
      </c>
      <c r="AB57" s="2368">
        <f>ROUND((10*AB56*AB50),0)</f>
        <v>37186128</v>
      </c>
      <c r="AC57" s="2369"/>
      <c r="AD57" s="2369"/>
      <c r="AE57" s="2369"/>
      <c r="AF57" s="2370"/>
    </row>
    <row r="58" spans="1:76" ht="12.9" customHeight="1">
      <c r="D58" s="400"/>
      <c r="AB58" s="419"/>
      <c r="AC58" s="419"/>
      <c r="AD58" s="419"/>
      <c r="AE58" s="419"/>
      <c r="AF58" s="419"/>
    </row>
    <row r="59" spans="1:76" ht="12.9" customHeight="1">
      <c r="D59" s="400" t="s">
        <v>754</v>
      </c>
      <c r="AB59" s="2352">
        <f>AB49-AB57</f>
        <v>0</v>
      </c>
      <c r="AC59" s="2352"/>
      <c r="AD59" s="2352"/>
      <c r="AE59" s="2352"/>
      <c r="AF59" s="2352"/>
    </row>
    <row r="60" spans="1:76" ht="12.9" customHeight="1">
      <c r="D60" s="400"/>
      <c r="AB60" s="419"/>
      <c r="AC60" s="419"/>
      <c r="AD60" s="419"/>
      <c r="AE60" s="419"/>
      <c r="AF60" s="419"/>
    </row>
    <row r="61" spans="1:76" s="204" customFormat="1" ht="12.9" customHeight="1" thickBot="1">
      <c r="A61" s="2371" t="str">
        <f>IF(Application!AP205="yes","Farmworker State Credit", "State Credit" )</f>
        <v>State Credit</v>
      </c>
      <c r="B61" s="2371"/>
      <c r="C61" s="2371"/>
      <c r="D61" s="2371"/>
      <c r="E61" s="2371"/>
      <c r="F61" s="2371"/>
      <c r="G61" s="2371"/>
      <c r="H61" s="2371"/>
      <c r="I61" s="2371"/>
      <c r="J61" s="2371"/>
      <c r="K61" s="2371"/>
      <c r="L61" s="2371"/>
      <c r="M61" s="2371"/>
      <c r="N61" s="2371"/>
      <c r="O61" s="2371"/>
      <c r="P61" s="2371"/>
      <c r="Q61" s="2371"/>
      <c r="R61" s="2371"/>
      <c r="S61" s="2371"/>
      <c r="T61" s="2371"/>
      <c r="U61" s="2371"/>
      <c r="V61" s="2371"/>
      <c r="W61" s="2371"/>
      <c r="X61" s="2371"/>
      <c r="Y61" s="2371"/>
      <c r="Z61" s="2371"/>
      <c r="AA61" s="2371"/>
      <c r="AB61" s="2371"/>
      <c r="AC61" s="2371"/>
      <c r="AD61" s="2371"/>
      <c r="AE61" s="2371"/>
      <c r="AF61" s="2371"/>
      <c r="AG61" s="2371"/>
      <c r="AH61" s="2371"/>
      <c r="AI61" s="2371"/>
      <c r="AJ61" s="2371"/>
      <c r="AK61" s="2371"/>
      <c r="AL61" s="2371"/>
      <c r="AM61" s="2371"/>
      <c r="AN61" s="2371"/>
      <c r="AO61" s="2371"/>
      <c r="AP61" s="2371"/>
      <c r="AQ61" s="2371"/>
      <c r="AR61" s="2371"/>
      <c r="AS61" s="2371"/>
      <c r="AT61" s="2371"/>
      <c r="AU61" s="2371"/>
      <c r="AV61" s="2371"/>
      <c r="AW61" s="2371"/>
      <c r="AX61" s="2371"/>
      <c r="AY61" s="2371"/>
      <c r="AZ61" s="2371"/>
      <c r="BA61" s="2371"/>
      <c r="BB61" s="2371"/>
      <c r="BC61" s="2371"/>
      <c r="BD61" s="2371"/>
      <c r="BE61" s="2371"/>
      <c r="BF61" s="2371"/>
      <c r="BG61" s="2371"/>
      <c r="BH61" s="2371"/>
      <c r="BI61" s="2371"/>
      <c r="BJ61" s="2371"/>
      <c r="BK61" s="2371"/>
      <c r="BL61" s="2371"/>
      <c r="BM61" s="2371"/>
      <c r="BN61" s="2371"/>
      <c r="BO61" s="2371"/>
      <c r="BP61" s="2371"/>
      <c r="BQ61" s="2371"/>
      <c r="BR61" s="2371"/>
      <c r="BS61" s="2371"/>
      <c r="BT61" s="2371"/>
      <c r="BU61" s="2371"/>
      <c r="BV61" s="2371"/>
      <c r="BW61" s="2371"/>
      <c r="BX61" s="2371"/>
    </row>
    <row r="62" spans="1:76" s="204" customFormat="1" ht="12.9" customHeight="1" thickTop="1"/>
    <row r="63" spans="1:76" ht="12.9" customHeight="1">
      <c r="A63" s="400" t="s">
        <v>589</v>
      </c>
      <c r="C63" s="205" t="s">
        <v>1247</v>
      </c>
      <c r="Y63" s="2363" t="s">
        <v>984</v>
      </c>
      <c r="Z63" s="2363"/>
      <c r="AA63" s="2363"/>
      <c r="AB63" s="2363"/>
      <c r="AC63" s="2363"/>
      <c r="AD63" s="2363" t="s">
        <v>369</v>
      </c>
      <c r="AE63" s="2363"/>
      <c r="AF63" s="2363"/>
      <c r="AG63" s="2363"/>
      <c r="AH63" s="2363"/>
    </row>
    <row r="64" spans="1:76" ht="12.9"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4">
        <f>IF(Application!$Z$205="(select)",0,((T23*T27)+Y28))</f>
        <v>0</v>
      </c>
      <c r="Z64" s="2365"/>
      <c r="AA64" s="2365"/>
      <c r="AB64" s="2365"/>
      <c r="AC64" s="2366"/>
      <c r="AD64" s="2364">
        <f>IF(AND(OR(Application!D211="At-Risk",Application!D211="At-Risk and Special Needs"),Application!M367="yes"),AD28+AI28,0)</f>
        <v>0</v>
      </c>
      <c r="AE64" s="2365"/>
      <c r="AF64" s="2365"/>
      <c r="AG64" s="2365"/>
      <c r="AH64" s="2366"/>
    </row>
    <row r="65" spans="1:37" ht="12.9"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3">
        <f>IF(OR(Application!Z205="State Farmworker Credit",Application!Z205="$500M (Farmworker Housing)"),0.75,IF(Application!Z205="15% set-aside",0.13,IF(Application!Z205="15% set-aside with qualifying low value rehab",0.95,IF(Application!Z205="$500M",0.3,0))))</f>
        <v>0</v>
      </c>
      <c r="Z67" s="2353"/>
      <c r="AA67" s="2353"/>
      <c r="AB67" s="2353"/>
      <c r="AC67" s="2353"/>
      <c r="AD67" s="2353">
        <f>IF(Application!Z205="15% set-aside with qualifying low value rehab", 0.95,IF(OR(Application!D211="At-Risk",'Points System'!B26="Yes"),0.13,0))</f>
        <v>0</v>
      </c>
      <c r="AE67" s="2353"/>
      <c r="AF67" s="2353"/>
      <c r="AG67" s="2353"/>
      <c r="AH67" s="2353"/>
    </row>
    <row r="68" spans="1:37" ht="12.9" customHeight="1">
      <c r="C68" s="400"/>
      <c r="D68" s="205" t="s">
        <v>2173</v>
      </c>
      <c r="Y68" s="2354">
        <f>IF(AND(T25=1.3,OR(Y67=0.13,Y67=0.95),NOT(Application!T212&gt;=50%)),0,ROUND(Y64*Y67,0))</f>
        <v>0</v>
      </c>
      <c r="Z68" s="2355"/>
      <c r="AA68" s="2355"/>
      <c r="AB68" s="2355"/>
      <c r="AC68" s="2355"/>
      <c r="AD68" s="2354">
        <f>IF(AND(T25=1.3,AD67&gt;0,NOT(Application!T212&gt;=50%)),0,ROUND(AD64*AD67,0))</f>
        <v>0</v>
      </c>
      <c r="AE68" s="2355"/>
      <c r="AF68" s="2355"/>
      <c r="AG68" s="2355"/>
      <c r="AH68" s="2355"/>
      <c r="AK68" s="1187"/>
    </row>
    <row r="69" spans="1:37" ht="12.9" customHeight="1">
      <c r="C69" s="400"/>
      <c r="D69" s="205" t="s">
        <v>2174</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2.9" customHeight="1">
      <c r="C70" s="400"/>
      <c r="E70" s="400"/>
      <c r="AB70" s="418"/>
      <c r="AC70" s="418"/>
      <c r="AD70" s="418"/>
      <c r="AE70" s="418"/>
      <c r="AF70" s="418"/>
    </row>
    <row r="71" spans="1:37" ht="12.9" customHeight="1">
      <c r="A71" s="400" t="s">
        <v>590</v>
      </c>
      <c r="C71" s="205" t="s">
        <v>284</v>
      </c>
    </row>
    <row r="72" spans="1:37" ht="12.9" customHeight="1">
      <c r="A72" s="400"/>
      <c r="C72" s="400"/>
      <c r="D72" s="205" t="s">
        <v>1249</v>
      </c>
      <c r="AB72" s="2356"/>
      <c r="AC72" s="2357"/>
      <c r="AD72" s="2357"/>
      <c r="AE72" s="2357"/>
      <c r="AF72" s="2358"/>
    </row>
    <row r="73" spans="1:37" ht="12.9" customHeight="1">
      <c r="A73" s="400"/>
      <c r="C73" s="400"/>
      <c r="D73" s="400"/>
      <c r="E73" s="2359" t="s">
        <v>1250</v>
      </c>
      <c r="F73" s="2359"/>
      <c r="G73" s="2359"/>
      <c r="H73" s="2359"/>
      <c r="I73" s="2359"/>
      <c r="J73" s="2359"/>
      <c r="K73" s="2359"/>
      <c r="L73" s="2359"/>
      <c r="M73" s="2359"/>
      <c r="N73" s="2359"/>
      <c r="O73" s="2359"/>
      <c r="P73" s="2359"/>
      <c r="Q73" s="2359"/>
      <c r="R73" s="2359"/>
      <c r="S73" s="2359"/>
      <c r="T73" s="2359"/>
      <c r="U73" s="2359"/>
      <c r="V73" s="2359"/>
      <c r="W73" s="2359"/>
      <c r="X73" s="2359"/>
      <c r="Y73" s="2359"/>
      <c r="Z73" s="2359"/>
      <c r="AA73" s="2359"/>
      <c r="AB73" s="434"/>
      <c r="AC73" s="434"/>
    </row>
    <row r="74" spans="1:37" ht="12.9" customHeight="1">
      <c r="A74" s="400"/>
      <c r="C74" s="400"/>
      <c r="D74" s="400"/>
      <c r="E74" s="2359"/>
      <c r="F74" s="2359"/>
      <c r="G74" s="2359"/>
      <c r="H74" s="2359"/>
      <c r="I74" s="2359"/>
      <c r="J74" s="2359"/>
      <c r="K74" s="2359"/>
      <c r="L74" s="2359"/>
      <c r="M74" s="2359"/>
      <c r="N74" s="2359"/>
      <c r="O74" s="2359"/>
      <c r="P74" s="2359"/>
      <c r="Q74" s="2359"/>
      <c r="R74" s="2359"/>
      <c r="S74" s="2359"/>
      <c r="T74" s="2359"/>
      <c r="U74" s="2359"/>
      <c r="V74" s="2359"/>
      <c r="W74" s="2359"/>
      <c r="X74" s="2359"/>
      <c r="Y74" s="2359"/>
      <c r="Z74" s="2359"/>
      <c r="AA74" s="2359"/>
      <c r="AB74" s="434"/>
      <c r="AC74" s="434"/>
    </row>
    <row r="75" spans="1:37" ht="12.9" customHeight="1">
      <c r="A75" s="400"/>
      <c r="C75" s="400"/>
      <c r="D75" s="400"/>
      <c r="E75" s="2359"/>
      <c r="F75" s="2359"/>
      <c r="G75" s="2359"/>
      <c r="H75" s="2359"/>
      <c r="I75" s="2359"/>
      <c r="J75" s="2359"/>
      <c r="K75" s="2359"/>
      <c r="L75" s="2359"/>
      <c r="M75" s="2359"/>
      <c r="N75" s="2359"/>
      <c r="O75" s="2359"/>
      <c r="P75" s="2359"/>
      <c r="Q75" s="2359"/>
      <c r="R75" s="2359"/>
      <c r="S75" s="2359"/>
      <c r="T75" s="2359"/>
      <c r="U75" s="2359"/>
      <c r="V75" s="2359"/>
      <c r="W75" s="2359"/>
      <c r="X75" s="2359"/>
      <c r="Y75" s="2359"/>
      <c r="Z75" s="2359"/>
      <c r="AA75" s="2359"/>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1251</v>
      </c>
      <c r="AB77" s="2347">
        <f>ROUND(IF(ISERROR((AB59/AB72)),0,(AB59/AB72)),0)</f>
        <v>0</v>
      </c>
      <c r="AC77" s="2347"/>
      <c r="AD77" s="2347"/>
      <c r="AE77" s="2347"/>
      <c r="AF77" s="2347"/>
    </row>
    <row r="78" spans="1:37" ht="12.9" customHeight="1">
      <c r="C78" s="400"/>
      <c r="D78" s="205" t="s">
        <v>1252</v>
      </c>
      <c r="AB78" s="2348">
        <f>ROUNDUP(MIN(Y69,AB77),0)</f>
        <v>0</v>
      </c>
      <c r="AC78" s="2349"/>
      <c r="AD78" s="2349"/>
      <c r="AE78" s="2349"/>
      <c r="AF78" s="2350"/>
    </row>
    <row r="79" spans="1:37" ht="12.9" customHeight="1">
      <c r="C79" s="400"/>
      <c r="D79" s="205" t="s">
        <v>1253</v>
      </c>
      <c r="AB79" s="2351">
        <f>AB78*AB72</f>
        <v>0</v>
      </c>
      <c r="AC79" s="2351"/>
      <c r="AD79" s="2351"/>
      <c r="AE79" s="2351"/>
      <c r="AF79" s="2351"/>
    </row>
    <row r="80" spans="1:37" ht="12.9" customHeight="1">
      <c r="C80" s="400"/>
      <c r="D80" s="400"/>
      <c r="AB80" s="421"/>
      <c r="AC80" s="421"/>
      <c r="AD80" s="421"/>
      <c r="AE80" s="421"/>
      <c r="AF80" s="421"/>
    </row>
    <row r="81" spans="1:78" ht="12.9" customHeight="1">
      <c r="D81" s="400" t="s">
        <v>754</v>
      </c>
      <c r="AB81" s="2352">
        <f>AB49-(AB57+AB79)</f>
        <v>0</v>
      </c>
      <c r="AC81" s="2352"/>
      <c r="AD81" s="2352"/>
      <c r="AE81" s="2352"/>
      <c r="AF81" s="2352"/>
    </row>
    <row r="82" spans="1:78" ht="12.9" customHeight="1">
      <c r="F82" s="518"/>
      <c r="J82" s="518" t="str">
        <f>IF(AB81&gt;0,"FUNDING GAP MUST NOT EXCEED ZERO","")</f>
        <v/>
      </c>
    </row>
    <row r="83" spans="1:78" ht="12.9" customHeight="1">
      <c r="D83" s="519"/>
    </row>
    <row r="84" spans="1:78" ht="12.9" customHeight="1" thickBot="1">
      <c r="A84" s="2371"/>
      <c r="B84" s="2371"/>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2371"/>
      <c r="AC84" s="2371"/>
      <c r="AD84" s="2371"/>
      <c r="AE84" s="2371"/>
      <c r="AF84" s="2371"/>
      <c r="AG84" s="2371"/>
      <c r="AH84" s="2371"/>
      <c r="AI84" s="2371"/>
      <c r="AJ84" s="2371"/>
      <c r="AK84" s="2371"/>
      <c r="AL84" s="2371"/>
      <c r="AM84" s="2371"/>
      <c r="AN84" s="2371"/>
      <c r="AO84" s="2371"/>
      <c r="AP84" s="2371"/>
      <c r="AQ84" s="2371"/>
      <c r="AR84" s="2371"/>
      <c r="AS84" s="2371"/>
      <c r="AT84" s="2371"/>
      <c r="AU84" s="2371"/>
      <c r="AV84" s="2371"/>
      <c r="AW84" s="2371"/>
      <c r="AX84" s="2371"/>
      <c r="AY84" s="2371"/>
      <c r="AZ84" s="2371"/>
      <c r="BA84" s="2371"/>
      <c r="BB84" s="2371"/>
      <c r="BC84" s="2371"/>
      <c r="BD84" s="2371"/>
      <c r="BE84" s="2371"/>
      <c r="BF84" s="2371"/>
      <c r="BG84" s="2371"/>
      <c r="BH84" s="2371"/>
      <c r="BI84" s="2371"/>
      <c r="BJ84" s="2371"/>
      <c r="BK84" s="2371"/>
      <c r="BL84" s="2371"/>
      <c r="BM84" s="2371"/>
      <c r="BN84" s="2371"/>
      <c r="BO84" s="2371"/>
      <c r="BP84" s="2371"/>
      <c r="BQ84" s="2371"/>
      <c r="BR84" s="2371"/>
      <c r="BS84" s="2371"/>
      <c r="BT84" s="2371"/>
      <c r="BU84" s="2371"/>
      <c r="BV84" s="2371"/>
      <c r="BW84" s="2371"/>
      <c r="BX84" s="2371"/>
    </row>
    <row r="85" spans="1:78" ht="12.9" customHeight="1" thickTop="1"/>
    <row r="86" spans="1:78" ht="12.9" hidden="1" customHeight="1">
      <c r="A86" s="400"/>
      <c r="C86" s="205"/>
    </row>
    <row r="87" spans="1:78" ht="12.9" hidden="1" customHeight="1">
      <c r="D87" s="205"/>
      <c r="AB87" s="2403"/>
      <c r="AC87" s="2403"/>
      <c r="AD87" s="2403"/>
      <c r="AE87" s="2403"/>
      <c r="AF87" s="2403"/>
    </row>
    <row r="88" spans="1:78" ht="12.9" hidden="1" customHeight="1" thickBot="1">
      <c r="D88" s="205"/>
      <c r="AB88" s="2402"/>
      <c r="AC88" s="2402"/>
      <c r="AD88" s="2402"/>
      <c r="AE88" s="2402"/>
      <c r="AF88" s="240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55" workbookViewId="0">
      <selection activeCell="O127" sqref="O127"/>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447" t="s">
        <v>1298</v>
      </c>
      <c r="B1" s="2447"/>
      <c r="C1" s="2447"/>
      <c r="D1" s="2447"/>
      <c r="E1" s="2447"/>
      <c r="F1" s="2447"/>
      <c r="G1" s="2447"/>
      <c r="H1" s="2447"/>
      <c r="I1" s="2447"/>
      <c r="J1" s="2447"/>
      <c r="K1" s="2447"/>
      <c r="L1" s="2447"/>
      <c r="M1" s="2447"/>
      <c r="N1" s="2447"/>
      <c r="O1" s="2447"/>
      <c r="P1" s="2447"/>
      <c r="Q1" s="2447"/>
      <c r="R1" s="2447"/>
      <c r="S1" s="2447"/>
      <c r="T1" s="2447"/>
      <c r="U1" s="2447"/>
      <c r="V1" s="2447"/>
      <c r="W1" s="2447"/>
      <c r="X1" s="2447"/>
      <c r="Y1" s="2447"/>
      <c r="Z1" s="2447"/>
      <c r="AA1" s="2447"/>
      <c r="AB1" s="2447"/>
      <c r="AC1" s="2447"/>
      <c r="AD1" s="2447"/>
      <c r="AE1" s="2447"/>
      <c r="AF1" s="2447"/>
      <c r="AG1" s="2447"/>
      <c r="AH1" s="2447"/>
      <c r="AI1" s="2447"/>
      <c r="AJ1" s="2447"/>
      <c r="AK1" s="2447"/>
      <c r="AL1" s="2447"/>
      <c r="AM1" s="2447"/>
    </row>
    <row r="2" spans="1:41" s="532" customFormat="1" ht="12.75" customHeight="1" thickBot="1">
      <c r="A2" s="2448"/>
      <c r="B2" s="2448"/>
      <c r="C2" s="2448"/>
      <c r="D2" s="2448"/>
      <c r="E2" s="2448"/>
      <c r="F2" s="2448"/>
      <c r="G2" s="2448"/>
      <c r="H2" s="2448"/>
      <c r="I2" s="2448"/>
      <c r="J2" s="2448"/>
      <c r="K2" s="2448"/>
      <c r="L2" s="2448"/>
      <c r="M2" s="2448"/>
      <c r="N2" s="2448"/>
      <c r="O2" s="2448"/>
      <c r="P2" s="2448"/>
      <c r="Q2" s="2448"/>
      <c r="R2" s="2448"/>
      <c r="S2" s="2448"/>
      <c r="T2" s="2448"/>
      <c r="U2" s="2448"/>
      <c r="V2" s="2448"/>
      <c r="W2" s="2448"/>
      <c r="X2" s="2448"/>
      <c r="Y2" s="2448"/>
      <c r="Z2" s="2448"/>
      <c r="AA2" s="2448"/>
      <c r="AB2" s="2448"/>
      <c r="AC2" s="2448"/>
      <c r="AD2" s="2448"/>
      <c r="AE2" s="2448"/>
      <c r="AF2" s="2448"/>
      <c r="AG2" s="2448"/>
      <c r="AH2" s="2448"/>
      <c r="AI2" s="2448"/>
      <c r="AJ2" s="2448"/>
      <c r="AK2" s="2448"/>
      <c r="AL2" s="2448"/>
      <c r="AM2" s="244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0" t="s">
        <v>1302</v>
      </c>
      <c r="AF7" s="2440"/>
      <c r="AG7" s="2440"/>
      <c r="AH7" s="2440"/>
      <c r="AI7" s="2440"/>
      <c r="AJ7" s="2440"/>
      <c r="AK7" s="244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2" t="s">
        <v>591</v>
      </c>
      <c r="C11" s="2412"/>
      <c r="D11" s="536"/>
      <c r="E11" s="2428" t="s">
        <v>2541</v>
      </c>
      <c r="F11" s="2429"/>
      <c r="G11" s="2429"/>
      <c r="H11" s="2429"/>
      <c r="I11" s="2429"/>
      <c r="J11" s="2429"/>
      <c r="K11" s="2429"/>
      <c r="L11" s="2429"/>
      <c r="M11" s="2429"/>
      <c r="N11" s="2429"/>
      <c r="O11" s="2429"/>
      <c r="P11" s="2429"/>
      <c r="Q11" s="2429"/>
      <c r="R11" s="2429"/>
      <c r="S11" s="2429"/>
      <c r="T11" s="2429"/>
      <c r="U11" s="2429"/>
      <c r="V11" s="2429"/>
      <c r="W11" s="2429"/>
      <c r="X11" s="2429"/>
      <c r="Y11" s="2429"/>
      <c r="Z11" s="2429"/>
      <c r="AA11" s="2429"/>
      <c r="AB11" s="2429"/>
      <c r="AC11" s="2429"/>
      <c r="AD11" s="2429"/>
      <c r="AE11" s="2429"/>
      <c r="AF11" s="2429"/>
      <c r="AG11" s="2429"/>
      <c r="AH11" s="2429"/>
      <c r="AI11" s="2429"/>
      <c r="AJ11" s="2430"/>
      <c r="AK11" s="536"/>
      <c r="AL11" s="536"/>
      <c r="AM11" s="536"/>
      <c r="AN11" s="531"/>
      <c r="AO11" s="552"/>
    </row>
    <row r="12" spans="1:41" s="532" customFormat="1" ht="12.75" customHeight="1">
      <c r="A12" s="536"/>
      <c r="D12" s="541"/>
      <c r="E12" s="2457"/>
      <c r="F12" s="2458"/>
      <c r="G12" s="2458"/>
      <c r="H12" s="2458"/>
      <c r="I12" s="2458"/>
      <c r="J12" s="2458"/>
      <c r="K12" s="2458"/>
      <c r="L12" s="2458"/>
      <c r="M12" s="2458"/>
      <c r="N12" s="2458"/>
      <c r="O12" s="2458"/>
      <c r="P12" s="2458"/>
      <c r="Q12" s="2458"/>
      <c r="R12" s="2458"/>
      <c r="S12" s="2458"/>
      <c r="T12" s="2458"/>
      <c r="U12" s="2458"/>
      <c r="V12" s="2458"/>
      <c r="W12" s="2458"/>
      <c r="X12" s="2458"/>
      <c r="Y12" s="2458"/>
      <c r="Z12" s="2458"/>
      <c r="AA12" s="2458"/>
      <c r="AB12" s="2458"/>
      <c r="AC12" s="2458"/>
      <c r="AD12" s="2458"/>
      <c r="AE12" s="2458"/>
      <c r="AF12" s="2458"/>
      <c r="AG12" s="2458"/>
      <c r="AH12" s="2458"/>
      <c r="AI12" s="2458"/>
      <c r="AJ12" s="2459"/>
      <c r="AK12" s="536"/>
      <c r="AL12" s="536"/>
      <c r="AM12" s="536"/>
      <c r="AN12" s="531"/>
      <c r="AO12" s="552"/>
    </row>
    <row r="13" spans="1:41" s="532" customFormat="1" ht="12.75" customHeight="1">
      <c r="A13" s="536"/>
      <c r="D13" s="536"/>
      <c r="E13" s="2431"/>
      <c r="F13" s="2432"/>
      <c r="G13" s="2432"/>
      <c r="H13" s="2432"/>
      <c r="I13" s="2432"/>
      <c r="J13" s="2432"/>
      <c r="K13" s="2432"/>
      <c r="L13" s="2432"/>
      <c r="M13" s="2432"/>
      <c r="N13" s="2432"/>
      <c r="O13" s="2432"/>
      <c r="P13" s="2432"/>
      <c r="Q13" s="2432"/>
      <c r="R13" s="2432"/>
      <c r="S13" s="2432"/>
      <c r="T13" s="2432"/>
      <c r="U13" s="2432"/>
      <c r="V13" s="2432"/>
      <c r="W13" s="2432"/>
      <c r="X13" s="2432"/>
      <c r="Y13" s="2432"/>
      <c r="Z13" s="2432"/>
      <c r="AA13" s="2432"/>
      <c r="AB13" s="2432"/>
      <c r="AC13" s="2432"/>
      <c r="AD13" s="2432"/>
      <c r="AE13" s="2432"/>
      <c r="AF13" s="2432"/>
      <c r="AG13" s="2432"/>
      <c r="AH13" s="2432"/>
      <c r="AI13" s="2432"/>
      <c r="AJ13" s="243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2" t="s">
        <v>591</v>
      </c>
      <c r="C15" s="2412"/>
      <c r="D15" s="536"/>
      <c r="E15" s="2428" t="s">
        <v>2542</v>
      </c>
      <c r="F15" s="2429"/>
      <c r="G15" s="2429"/>
      <c r="H15" s="2429"/>
      <c r="I15" s="2429"/>
      <c r="J15" s="2429"/>
      <c r="K15" s="2429"/>
      <c r="L15" s="2429"/>
      <c r="M15" s="2429"/>
      <c r="N15" s="2429"/>
      <c r="O15" s="2429"/>
      <c r="P15" s="2429"/>
      <c r="Q15" s="2429"/>
      <c r="R15" s="2429"/>
      <c r="S15" s="2429"/>
      <c r="T15" s="2429"/>
      <c r="U15" s="2429"/>
      <c r="V15" s="2429"/>
      <c r="W15" s="2429"/>
      <c r="X15" s="2429"/>
      <c r="Y15" s="2429"/>
      <c r="Z15" s="2429"/>
      <c r="AA15" s="2429"/>
      <c r="AB15" s="2429"/>
      <c r="AC15" s="2429"/>
      <c r="AD15" s="2429"/>
      <c r="AE15" s="2429"/>
      <c r="AF15" s="2429"/>
      <c r="AG15" s="2429"/>
      <c r="AH15" s="2429"/>
      <c r="AI15" s="2429"/>
      <c r="AJ15" s="2430"/>
      <c r="AK15" s="536"/>
      <c r="AL15" s="536"/>
      <c r="AM15" s="536"/>
      <c r="AN15" s="531"/>
    </row>
    <row r="16" spans="1:41" s="532" customFormat="1" ht="12.75" customHeight="1">
      <c r="A16" s="536"/>
      <c r="B16" s="536"/>
      <c r="C16" s="536"/>
      <c r="D16" s="536"/>
      <c r="E16" s="2457"/>
      <c r="F16" s="2458"/>
      <c r="G16" s="2458"/>
      <c r="H16" s="2458"/>
      <c r="I16" s="2458"/>
      <c r="J16" s="2458"/>
      <c r="K16" s="2458"/>
      <c r="L16" s="2458"/>
      <c r="M16" s="2458"/>
      <c r="N16" s="2458"/>
      <c r="O16" s="2458"/>
      <c r="P16" s="2458"/>
      <c r="Q16" s="2458"/>
      <c r="R16" s="2458"/>
      <c r="S16" s="2458"/>
      <c r="T16" s="2458"/>
      <c r="U16" s="2458"/>
      <c r="V16" s="2458"/>
      <c r="W16" s="2458"/>
      <c r="X16" s="2458"/>
      <c r="Y16" s="2458"/>
      <c r="Z16" s="2458"/>
      <c r="AA16" s="2458"/>
      <c r="AB16" s="2458"/>
      <c r="AC16" s="2458"/>
      <c r="AD16" s="2458"/>
      <c r="AE16" s="2458"/>
      <c r="AF16" s="2458"/>
      <c r="AG16" s="2458"/>
      <c r="AH16" s="2458"/>
      <c r="AI16" s="2458"/>
      <c r="AJ16" s="2459"/>
      <c r="AK16" s="536"/>
      <c r="AL16" s="536"/>
      <c r="AM16" s="536"/>
      <c r="AN16" s="531"/>
    </row>
    <row r="17" spans="1:50" s="532" customFormat="1" ht="12.75" customHeight="1">
      <c r="A17" s="536"/>
      <c r="B17" s="536"/>
      <c r="C17" s="1130"/>
      <c r="D17" s="536"/>
      <c r="E17" s="2431"/>
      <c r="F17" s="2432"/>
      <c r="G17" s="2432"/>
      <c r="H17" s="2432"/>
      <c r="I17" s="2432"/>
      <c r="J17" s="2432"/>
      <c r="K17" s="2432"/>
      <c r="L17" s="2432"/>
      <c r="M17" s="2432"/>
      <c r="N17" s="2432"/>
      <c r="O17" s="2432"/>
      <c r="P17" s="2432"/>
      <c r="Q17" s="2432"/>
      <c r="R17" s="2432"/>
      <c r="S17" s="2432"/>
      <c r="T17" s="2432"/>
      <c r="U17" s="2432"/>
      <c r="V17" s="2432"/>
      <c r="W17" s="2432"/>
      <c r="X17" s="2432"/>
      <c r="Y17" s="2432"/>
      <c r="Z17" s="2432"/>
      <c r="AA17" s="2432"/>
      <c r="AB17" s="2432"/>
      <c r="AC17" s="2432"/>
      <c r="AD17" s="2432"/>
      <c r="AE17" s="2432"/>
      <c r="AF17" s="2432"/>
      <c r="AG17" s="2432"/>
      <c r="AH17" s="2432"/>
      <c r="AI17" s="2432"/>
      <c r="AJ17" s="243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2" t="s">
        <v>591</v>
      </c>
      <c r="C19" s="2412"/>
      <c r="D19" s="536"/>
      <c r="E19" s="2428" t="s">
        <v>1974</v>
      </c>
      <c r="F19" s="2429"/>
      <c r="G19" s="2429"/>
      <c r="H19" s="2429"/>
      <c r="I19" s="2429"/>
      <c r="J19" s="2429"/>
      <c r="K19" s="2429"/>
      <c r="L19" s="2429"/>
      <c r="M19" s="2429"/>
      <c r="N19" s="2429"/>
      <c r="O19" s="2429"/>
      <c r="P19" s="2429"/>
      <c r="Q19" s="2429"/>
      <c r="R19" s="2429"/>
      <c r="S19" s="2429"/>
      <c r="T19" s="2429"/>
      <c r="U19" s="2429"/>
      <c r="V19" s="2429"/>
      <c r="W19" s="2429"/>
      <c r="X19" s="2429"/>
      <c r="Y19" s="2429"/>
      <c r="Z19" s="2429"/>
      <c r="AA19" s="2429"/>
      <c r="AB19" s="2429"/>
      <c r="AC19" s="2429"/>
      <c r="AD19" s="2429"/>
      <c r="AE19" s="2429"/>
      <c r="AF19" s="2429"/>
      <c r="AG19" s="2429"/>
      <c r="AH19" s="2429"/>
      <c r="AI19" s="2429"/>
      <c r="AJ19" s="2430"/>
      <c r="AK19" s="536"/>
      <c r="AL19" s="536"/>
      <c r="AM19" s="536"/>
      <c r="AN19" s="531"/>
    </row>
    <row r="20" spans="1:50" s="532" customFormat="1" ht="12.75" customHeight="1">
      <c r="A20" s="536"/>
      <c r="B20" s="541"/>
      <c r="C20" s="541"/>
      <c r="D20" s="541"/>
      <c r="E20" s="2431"/>
      <c r="F20" s="2432"/>
      <c r="G20" s="2432"/>
      <c r="H20" s="2432"/>
      <c r="I20" s="2432"/>
      <c r="J20" s="2432"/>
      <c r="K20" s="2432"/>
      <c r="L20" s="2432"/>
      <c r="M20" s="2432"/>
      <c r="N20" s="2432"/>
      <c r="O20" s="2432"/>
      <c r="P20" s="2432"/>
      <c r="Q20" s="2432"/>
      <c r="R20" s="2432"/>
      <c r="S20" s="2432"/>
      <c r="T20" s="2432"/>
      <c r="U20" s="2432"/>
      <c r="V20" s="2432"/>
      <c r="W20" s="2432"/>
      <c r="X20" s="2432"/>
      <c r="Y20" s="2432"/>
      <c r="Z20" s="2432"/>
      <c r="AA20" s="2432"/>
      <c r="AB20" s="2432"/>
      <c r="AC20" s="2432"/>
      <c r="AD20" s="2432"/>
      <c r="AE20" s="2432"/>
      <c r="AF20" s="2432"/>
      <c r="AG20" s="2432"/>
      <c r="AH20" s="2432"/>
      <c r="AI20" s="2432"/>
      <c r="AJ20" s="2433"/>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2" t="s">
        <v>591</v>
      </c>
      <c r="C26" s="241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9"/>
      <c r="AH26" s="2449"/>
      <c r="AI26" s="2449"/>
      <c r="AJ26" s="2450"/>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2" t="s">
        <v>591</v>
      </c>
      <c r="C30" s="2412"/>
      <c r="D30" s="541"/>
      <c r="E30" s="2413" t="s">
        <v>2548</v>
      </c>
      <c r="F30" s="2414"/>
      <c r="G30" s="2414"/>
      <c r="H30" s="2414"/>
      <c r="I30" s="2414"/>
      <c r="J30" s="2414"/>
      <c r="K30" s="2414"/>
      <c r="L30" s="2414"/>
      <c r="M30" s="2414"/>
      <c r="N30" s="2414"/>
      <c r="O30" s="2414"/>
      <c r="P30" s="2414"/>
      <c r="Q30" s="2414"/>
      <c r="R30" s="2414"/>
      <c r="S30" s="2414"/>
      <c r="T30" s="2414"/>
      <c r="U30" s="2414"/>
      <c r="V30" s="2414"/>
      <c r="W30" s="2414"/>
      <c r="X30" s="2414"/>
      <c r="Y30" s="2414"/>
      <c r="Z30" s="2414"/>
      <c r="AA30" s="2414"/>
      <c r="AB30" s="2414"/>
      <c r="AC30" s="2414"/>
      <c r="AD30" s="2414"/>
      <c r="AE30" s="2414"/>
      <c r="AF30" s="2414"/>
      <c r="AG30" s="2414"/>
      <c r="AH30" s="2414"/>
      <c r="AI30" s="2414"/>
      <c r="AJ30" s="2415"/>
      <c r="AK30" s="536"/>
      <c r="AL30" s="536"/>
      <c r="AM30" s="536"/>
      <c r="AN30" s="531"/>
      <c r="AO30" s="544">
        <f>IF($B30="yes",9,0)</f>
        <v>0</v>
      </c>
    </row>
    <row r="31" spans="1:50" s="532" customFormat="1" ht="12.75" customHeight="1">
      <c r="A31" s="536"/>
      <c r="B31" s="536"/>
      <c r="C31" s="536"/>
      <c r="E31" s="2416"/>
      <c r="F31" s="2417"/>
      <c r="G31" s="2417"/>
      <c r="H31" s="2417"/>
      <c r="I31" s="2417"/>
      <c r="J31" s="2417"/>
      <c r="K31" s="2417"/>
      <c r="L31" s="2417"/>
      <c r="M31" s="2417"/>
      <c r="N31" s="2417"/>
      <c r="O31" s="2417"/>
      <c r="P31" s="2417"/>
      <c r="Q31" s="2417"/>
      <c r="R31" s="2417"/>
      <c r="S31" s="2417"/>
      <c r="T31" s="2417"/>
      <c r="U31" s="2417"/>
      <c r="V31" s="2417"/>
      <c r="W31" s="2417"/>
      <c r="X31" s="2417"/>
      <c r="Y31" s="2417"/>
      <c r="Z31" s="2417"/>
      <c r="AA31" s="2417"/>
      <c r="AB31" s="2417"/>
      <c r="AC31" s="2417"/>
      <c r="AD31" s="2417"/>
      <c r="AE31" s="2417"/>
      <c r="AF31" s="2417"/>
      <c r="AG31" s="2417"/>
      <c r="AH31" s="2417"/>
      <c r="AI31" s="2417"/>
      <c r="AJ31" s="241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2" t="s">
        <v>591</v>
      </c>
      <c r="C33" s="2412"/>
      <c r="D33" s="541"/>
      <c r="E33" s="2413" t="s">
        <v>2549</v>
      </c>
      <c r="F33" s="2414"/>
      <c r="G33" s="2414"/>
      <c r="H33" s="2414"/>
      <c r="I33" s="2414"/>
      <c r="J33" s="2414"/>
      <c r="K33" s="2414"/>
      <c r="L33" s="2414"/>
      <c r="M33" s="2414"/>
      <c r="N33" s="2414"/>
      <c r="O33" s="2414"/>
      <c r="P33" s="2414"/>
      <c r="Q33" s="2414"/>
      <c r="R33" s="2414"/>
      <c r="S33" s="2414"/>
      <c r="T33" s="2414"/>
      <c r="U33" s="2414"/>
      <c r="V33" s="2414"/>
      <c r="W33" s="2414"/>
      <c r="X33" s="2414"/>
      <c r="Y33" s="2414"/>
      <c r="Z33" s="2414"/>
      <c r="AA33" s="2414"/>
      <c r="AB33" s="2414"/>
      <c r="AC33" s="2414"/>
      <c r="AD33" s="2414"/>
      <c r="AE33" s="2414"/>
      <c r="AF33" s="2414"/>
      <c r="AG33" s="2414"/>
      <c r="AH33" s="2414"/>
      <c r="AI33" s="2414"/>
      <c r="AJ33" s="2415"/>
      <c r="AK33" s="536"/>
      <c r="AL33" s="536"/>
      <c r="AM33" s="536"/>
      <c r="AN33" s="531"/>
      <c r="AO33" s="544">
        <f>IF($B39="yes",9,0)</f>
        <v>0</v>
      </c>
    </row>
    <row r="34" spans="1:43" s="532" customFormat="1" ht="12.75" customHeight="1">
      <c r="A34" s="536"/>
      <c r="B34" s="536"/>
      <c r="C34" s="536"/>
      <c r="D34" s="541"/>
      <c r="E34" s="2454"/>
      <c r="F34" s="2455"/>
      <c r="G34" s="2455"/>
      <c r="H34" s="2455"/>
      <c r="I34" s="2455"/>
      <c r="J34" s="2455"/>
      <c r="K34" s="2455"/>
      <c r="L34" s="2455"/>
      <c r="M34" s="2455"/>
      <c r="N34" s="2455"/>
      <c r="O34" s="2455"/>
      <c r="P34" s="2455"/>
      <c r="Q34" s="2455"/>
      <c r="R34" s="2455"/>
      <c r="S34" s="2455"/>
      <c r="T34" s="2455"/>
      <c r="U34" s="2455"/>
      <c r="V34" s="2455"/>
      <c r="W34" s="2455"/>
      <c r="X34" s="2455"/>
      <c r="Y34" s="2455"/>
      <c r="Z34" s="2455"/>
      <c r="AA34" s="2455"/>
      <c r="AB34" s="2455"/>
      <c r="AC34" s="2455"/>
      <c r="AD34" s="2455"/>
      <c r="AE34" s="2455"/>
      <c r="AF34" s="2455"/>
      <c r="AG34" s="2455"/>
      <c r="AH34" s="2455"/>
      <c r="AI34" s="2455"/>
      <c r="AJ34" s="2456"/>
      <c r="AK34" s="536"/>
      <c r="AL34" s="536"/>
      <c r="AM34" s="536"/>
      <c r="AN34" s="531"/>
      <c r="AO34" s="532">
        <f>MAX(AO30,AO31,AO32,AO33)</f>
        <v>0</v>
      </c>
      <c r="AP34" s="532" t="s">
        <v>1304</v>
      </c>
    </row>
    <row r="35" spans="1:43" s="532" customFormat="1" ht="12.75" customHeight="1">
      <c r="A35" s="536"/>
      <c r="B35" s="536"/>
      <c r="C35" s="536"/>
      <c r="E35" s="2416"/>
      <c r="F35" s="2417"/>
      <c r="G35" s="2417"/>
      <c r="H35" s="2417"/>
      <c r="I35" s="2417"/>
      <c r="J35" s="2417"/>
      <c r="K35" s="2417"/>
      <c r="L35" s="2417"/>
      <c r="M35" s="2417"/>
      <c r="N35" s="2417"/>
      <c r="O35" s="2417"/>
      <c r="P35" s="2417"/>
      <c r="Q35" s="2417"/>
      <c r="R35" s="2417"/>
      <c r="S35" s="2417"/>
      <c r="T35" s="2417"/>
      <c r="U35" s="2417"/>
      <c r="V35" s="2417"/>
      <c r="W35" s="2417"/>
      <c r="X35" s="2417"/>
      <c r="Y35" s="2417"/>
      <c r="Z35" s="2417"/>
      <c r="AA35" s="2417"/>
      <c r="AB35" s="2417"/>
      <c r="AC35" s="2417"/>
      <c r="AD35" s="2417"/>
      <c r="AE35" s="2417"/>
      <c r="AF35" s="2417"/>
      <c r="AG35" s="2417"/>
      <c r="AH35" s="2417"/>
      <c r="AI35" s="2417"/>
      <c r="AJ35" s="241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2" t="s">
        <v>591</v>
      </c>
      <c r="C37" s="2412"/>
      <c r="D37" s="1131"/>
      <c r="E37" s="2419" t="s">
        <v>2553</v>
      </c>
      <c r="F37" s="2420"/>
      <c r="G37" s="2420"/>
      <c r="H37" s="2420"/>
      <c r="I37" s="2420"/>
      <c r="J37" s="2420"/>
      <c r="K37" s="2420"/>
      <c r="L37" s="2420"/>
      <c r="M37" s="2420"/>
      <c r="N37" s="2420"/>
      <c r="O37" s="2420"/>
      <c r="P37" s="2420"/>
      <c r="Q37" s="2420"/>
      <c r="R37" s="2420"/>
      <c r="S37" s="2420"/>
      <c r="T37" s="2420"/>
      <c r="U37" s="2420"/>
      <c r="V37" s="2420"/>
      <c r="W37" s="2420"/>
      <c r="X37" s="2420"/>
      <c r="Y37" s="2420"/>
      <c r="Z37" s="2420"/>
      <c r="AA37" s="2420"/>
      <c r="AB37" s="2420"/>
      <c r="AC37" s="2420"/>
      <c r="AD37" s="2420"/>
      <c r="AE37" s="2420"/>
      <c r="AF37" s="2420"/>
      <c r="AG37" s="2420"/>
      <c r="AH37" s="2420"/>
      <c r="AI37" s="2420"/>
      <c r="AJ37" s="242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2" t="s">
        <v>591</v>
      </c>
      <c r="C39" s="2412"/>
      <c r="D39" s="1131"/>
      <c r="E39" s="2419" t="s">
        <v>2550</v>
      </c>
      <c r="F39" s="2420"/>
      <c r="G39" s="2420"/>
      <c r="H39" s="2420"/>
      <c r="I39" s="2420"/>
      <c r="J39" s="2420"/>
      <c r="K39" s="2420"/>
      <c r="L39" s="2420"/>
      <c r="M39" s="2420"/>
      <c r="N39" s="2420"/>
      <c r="O39" s="2420"/>
      <c r="P39" s="2420"/>
      <c r="Q39" s="2420"/>
      <c r="R39" s="2420"/>
      <c r="S39" s="2420"/>
      <c r="T39" s="2420"/>
      <c r="U39" s="2420"/>
      <c r="V39" s="2420"/>
      <c r="W39" s="2420"/>
      <c r="X39" s="2420"/>
      <c r="Y39" s="2420"/>
      <c r="Z39" s="2420"/>
      <c r="AA39" s="2420"/>
      <c r="AB39" s="2420"/>
      <c r="AC39" s="2420"/>
      <c r="AD39" s="2420"/>
      <c r="AE39" s="2420"/>
      <c r="AF39" s="2420"/>
      <c r="AG39" s="2420"/>
      <c r="AH39" s="2420"/>
      <c r="AI39" s="2420"/>
      <c r="AJ39" s="242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2" t="s">
        <v>591</v>
      </c>
      <c r="C43" s="2412"/>
      <c r="D43" s="541"/>
      <c r="E43" s="2422" t="s">
        <v>2552</v>
      </c>
      <c r="F43" s="2423"/>
      <c r="G43" s="2423"/>
      <c r="H43" s="2423"/>
      <c r="I43" s="2423"/>
      <c r="J43" s="2423"/>
      <c r="K43" s="2423"/>
      <c r="L43" s="2423"/>
      <c r="M43" s="2423"/>
      <c r="N43" s="2423"/>
      <c r="O43" s="2423"/>
      <c r="P43" s="2423"/>
      <c r="Q43" s="2423"/>
      <c r="R43" s="2423"/>
      <c r="S43" s="2423"/>
      <c r="T43" s="2423"/>
      <c r="U43" s="2423"/>
      <c r="V43" s="2423"/>
      <c r="W43" s="2423"/>
      <c r="X43" s="2423"/>
      <c r="Y43" s="2423"/>
      <c r="Z43" s="2423"/>
      <c r="AA43" s="2423"/>
      <c r="AB43" s="2423"/>
      <c r="AC43" s="2423"/>
      <c r="AD43" s="2423"/>
      <c r="AE43" s="2423"/>
      <c r="AF43" s="2423"/>
      <c r="AG43" s="2423"/>
      <c r="AH43" s="2423"/>
      <c r="AI43" s="2423"/>
      <c r="AJ43" s="2424"/>
      <c r="AK43" s="536"/>
      <c r="AL43" s="536"/>
      <c r="AM43" s="536"/>
      <c r="AN43" s="531"/>
      <c r="AO43" s="544">
        <f>IF($B43="yes",8,0)</f>
        <v>0</v>
      </c>
      <c r="AP43" s="14"/>
    </row>
    <row r="44" spans="1:43" s="532" customFormat="1" ht="12.75" customHeight="1">
      <c r="A44" s="536"/>
      <c r="B44" s="536"/>
      <c r="C44" s="536"/>
      <c r="D44" s="545"/>
      <c r="E44" s="2425"/>
      <c r="F44" s="2426"/>
      <c r="G44" s="2426"/>
      <c r="H44" s="2426"/>
      <c r="I44" s="2426"/>
      <c r="J44" s="2426"/>
      <c r="K44" s="2426"/>
      <c r="L44" s="2426"/>
      <c r="M44" s="2426"/>
      <c r="N44" s="2426"/>
      <c r="O44" s="2426"/>
      <c r="P44" s="2426"/>
      <c r="Q44" s="2426"/>
      <c r="R44" s="2426"/>
      <c r="S44" s="2426"/>
      <c r="T44" s="2426"/>
      <c r="U44" s="2426"/>
      <c r="V44" s="2426"/>
      <c r="W44" s="2426"/>
      <c r="X44" s="2426"/>
      <c r="Y44" s="2426"/>
      <c r="Z44" s="2426"/>
      <c r="AA44" s="2426"/>
      <c r="AB44" s="2426"/>
      <c r="AC44" s="2426"/>
      <c r="AD44" s="2426"/>
      <c r="AE44" s="2426"/>
      <c r="AF44" s="2426"/>
      <c r="AG44" s="2426"/>
      <c r="AH44" s="2426"/>
      <c r="AI44" s="2426"/>
      <c r="AJ44" s="242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2" t="s">
        <v>591</v>
      </c>
      <c r="C46" s="2412"/>
      <c r="D46" s="541"/>
      <c r="E46" s="2413" t="s">
        <v>2551</v>
      </c>
      <c r="F46" s="2414"/>
      <c r="G46" s="2414"/>
      <c r="H46" s="2414"/>
      <c r="I46" s="2414"/>
      <c r="J46" s="2414"/>
      <c r="K46" s="2414"/>
      <c r="L46" s="2414"/>
      <c r="M46" s="2414"/>
      <c r="N46" s="2414"/>
      <c r="O46" s="2414"/>
      <c r="P46" s="2414"/>
      <c r="Q46" s="2414"/>
      <c r="R46" s="2414"/>
      <c r="S46" s="2414"/>
      <c r="T46" s="2414"/>
      <c r="U46" s="2414"/>
      <c r="V46" s="2414"/>
      <c r="W46" s="2414"/>
      <c r="X46" s="2414"/>
      <c r="Y46" s="2414"/>
      <c r="Z46" s="2414"/>
      <c r="AA46" s="2414"/>
      <c r="AB46" s="2414"/>
      <c r="AC46" s="2414"/>
      <c r="AD46" s="2414"/>
      <c r="AE46" s="2414"/>
      <c r="AF46" s="2414"/>
      <c r="AG46" s="2414"/>
      <c r="AH46" s="2414"/>
      <c r="AI46" s="2414"/>
      <c r="AJ46" s="2415"/>
      <c r="AK46" s="536"/>
      <c r="AL46" s="536"/>
      <c r="AM46" s="536"/>
      <c r="AN46" s="531"/>
      <c r="AO46" s="544">
        <f>IF($B52="yes",8,0)</f>
        <v>0</v>
      </c>
    </row>
    <row r="47" spans="1:43" s="532" customFormat="1" ht="12.75" customHeight="1">
      <c r="A47" s="536"/>
      <c r="B47" s="536"/>
      <c r="C47" s="536"/>
      <c r="D47" s="544"/>
      <c r="E47" s="2416"/>
      <c r="F47" s="2417"/>
      <c r="G47" s="2417"/>
      <c r="H47" s="2417"/>
      <c r="I47" s="2417"/>
      <c r="J47" s="2417"/>
      <c r="K47" s="2417"/>
      <c r="L47" s="2417"/>
      <c r="M47" s="2417"/>
      <c r="N47" s="2417"/>
      <c r="O47" s="2417"/>
      <c r="P47" s="2417"/>
      <c r="Q47" s="2417"/>
      <c r="R47" s="2417"/>
      <c r="S47" s="2417"/>
      <c r="T47" s="2417"/>
      <c r="U47" s="2417"/>
      <c r="V47" s="2417"/>
      <c r="W47" s="2417"/>
      <c r="X47" s="2417"/>
      <c r="Y47" s="2417"/>
      <c r="Z47" s="2417"/>
      <c r="AA47" s="2417"/>
      <c r="AB47" s="2417"/>
      <c r="AC47" s="2417"/>
      <c r="AD47" s="2417"/>
      <c r="AE47" s="2417"/>
      <c r="AF47" s="2417"/>
      <c r="AG47" s="2417"/>
      <c r="AH47" s="2417"/>
      <c r="AI47" s="2417"/>
      <c r="AJ47" s="2418"/>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2" t="s">
        <v>591</v>
      </c>
      <c r="C49" s="2412"/>
      <c r="D49" s="541"/>
      <c r="E49" s="2428" t="s">
        <v>2630</v>
      </c>
      <c r="F49" s="2429"/>
      <c r="G49" s="2429"/>
      <c r="H49" s="2429"/>
      <c r="I49" s="2429"/>
      <c r="J49" s="2429"/>
      <c r="K49" s="2429"/>
      <c r="L49" s="2429"/>
      <c r="M49" s="2429"/>
      <c r="N49" s="2429"/>
      <c r="O49" s="2429"/>
      <c r="P49" s="2429"/>
      <c r="Q49" s="2429"/>
      <c r="R49" s="2429"/>
      <c r="S49" s="2429"/>
      <c r="T49" s="2429"/>
      <c r="U49" s="2429"/>
      <c r="V49" s="2429"/>
      <c r="W49" s="2429"/>
      <c r="X49" s="2429"/>
      <c r="Y49" s="2429"/>
      <c r="Z49" s="2429"/>
      <c r="AA49" s="2429"/>
      <c r="AB49" s="2429"/>
      <c r="AC49" s="2429"/>
      <c r="AD49" s="2429"/>
      <c r="AE49" s="2429"/>
      <c r="AF49" s="2429"/>
      <c r="AG49" s="2429"/>
      <c r="AH49" s="2429"/>
      <c r="AI49" s="2429"/>
      <c r="AJ49" s="2430"/>
      <c r="AK49" s="536"/>
      <c r="AL49" s="536"/>
      <c r="AM49" s="536"/>
      <c r="AN49" s="531"/>
      <c r="AO49" s="544"/>
    </row>
    <row r="50" spans="1:42" s="532" customFormat="1" ht="12.75" hidden="1" customHeight="1">
      <c r="A50" s="536"/>
      <c r="B50" s="536"/>
      <c r="C50" s="536"/>
      <c r="D50" s="544"/>
      <c r="E50" s="2431"/>
      <c r="F50" s="2432"/>
      <c r="G50" s="2432"/>
      <c r="H50" s="2432"/>
      <c r="I50" s="2432"/>
      <c r="J50" s="2432"/>
      <c r="K50" s="2432"/>
      <c r="L50" s="2432"/>
      <c r="M50" s="2432"/>
      <c r="N50" s="2432"/>
      <c r="O50" s="2432"/>
      <c r="P50" s="2432"/>
      <c r="Q50" s="2432"/>
      <c r="R50" s="2432"/>
      <c r="S50" s="2432"/>
      <c r="T50" s="2432"/>
      <c r="U50" s="2432"/>
      <c r="V50" s="2432"/>
      <c r="W50" s="2432"/>
      <c r="X50" s="2432"/>
      <c r="Y50" s="2432"/>
      <c r="Z50" s="2432"/>
      <c r="AA50" s="2432"/>
      <c r="AB50" s="2432"/>
      <c r="AC50" s="2432"/>
      <c r="AD50" s="2432"/>
      <c r="AE50" s="2432"/>
      <c r="AF50" s="2432"/>
      <c r="AG50" s="2432"/>
      <c r="AH50" s="2432"/>
      <c r="AI50" s="2432"/>
      <c r="AJ50" s="243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2" t="s">
        <v>591</v>
      </c>
      <c r="C52" s="2412"/>
      <c r="D52" s="541"/>
      <c r="E52" s="2419" t="s">
        <v>2631</v>
      </c>
      <c r="F52" s="2420"/>
      <c r="G52" s="2420"/>
      <c r="H52" s="2420"/>
      <c r="I52" s="2420"/>
      <c r="J52" s="2420"/>
      <c r="K52" s="2420"/>
      <c r="L52" s="2420"/>
      <c r="M52" s="2420"/>
      <c r="N52" s="2420"/>
      <c r="O52" s="2420"/>
      <c r="P52" s="2420"/>
      <c r="Q52" s="2420"/>
      <c r="R52" s="2420"/>
      <c r="S52" s="2420"/>
      <c r="T52" s="2420"/>
      <c r="U52" s="2420"/>
      <c r="V52" s="2420"/>
      <c r="W52" s="2420"/>
      <c r="X52" s="2420"/>
      <c r="Y52" s="2420"/>
      <c r="Z52" s="2420"/>
      <c r="AA52" s="2420"/>
      <c r="AB52" s="2420"/>
      <c r="AC52" s="2420"/>
      <c r="AD52" s="2420"/>
      <c r="AE52" s="2420"/>
      <c r="AF52" s="2420"/>
      <c r="AG52" s="2420"/>
      <c r="AH52" s="2420"/>
      <c r="AI52" s="2420"/>
      <c r="AJ52" s="242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2" t="s">
        <v>591</v>
      </c>
      <c r="C56" s="2412"/>
      <c r="D56" s="541"/>
      <c r="E56" s="2428" t="s">
        <v>2554</v>
      </c>
      <c r="F56" s="2429"/>
      <c r="G56" s="2429"/>
      <c r="H56" s="2429"/>
      <c r="I56" s="2429"/>
      <c r="J56" s="2429"/>
      <c r="K56" s="2429"/>
      <c r="L56" s="2429"/>
      <c r="M56" s="2429"/>
      <c r="N56" s="2429"/>
      <c r="O56" s="2429"/>
      <c r="P56" s="2429"/>
      <c r="Q56" s="2429"/>
      <c r="R56" s="2429"/>
      <c r="S56" s="2429"/>
      <c r="T56" s="2429"/>
      <c r="U56" s="2429"/>
      <c r="V56" s="2429"/>
      <c r="W56" s="2429"/>
      <c r="X56" s="2429"/>
      <c r="Y56" s="2429"/>
      <c r="Z56" s="2429"/>
      <c r="AA56" s="2429"/>
      <c r="AB56" s="2429"/>
      <c r="AC56" s="2429"/>
      <c r="AD56" s="2429"/>
      <c r="AE56" s="2429"/>
      <c r="AF56" s="2429"/>
      <c r="AG56" s="2429"/>
      <c r="AH56" s="2429"/>
      <c r="AI56" s="2429"/>
      <c r="AJ56" s="2430"/>
      <c r="AK56" s="536"/>
      <c r="AL56" s="536"/>
      <c r="AM56" s="536"/>
      <c r="AN56" s="531"/>
      <c r="AO56" s="544">
        <f>IF($B59="yes",7,0)</f>
        <v>0</v>
      </c>
    </row>
    <row r="57" spans="1:42" s="532" customFormat="1" ht="12.75" customHeight="1">
      <c r="A57" s="536"/>
      <c r="B57" s="536"/>
      <c r="C57" s="536"/>
      <c r="D57" s="544"/>
      <c r="E57" s="2431"/>
      <c r="F57" s="2432"/>
      <c r="G57" s="2432"/>
      <c r="H57" s="2432"/>
      <c r="I57" s="2432"/>
      <c r="J57" s="2432"/>
      <c r="K57" s="2432"/>
      <c r="L57" s="2432"/>
      <c r="M57" s="2432"/>
      <c r="N57" s="2432"/>
      <c r="O57" s="2432"/>
      <c r="P57" s="2432"/>
      <c r="Q57" s="2432"/>
      <c r="R57" s="2432"/>
      <c r="S57" s="2432"/>
      <c r="T57" s="2432"/>
      <c r="U57" s="2432"/>
      <c r="V57" s="2432"/>
      <c r="W57" s="2432"/>
      <c r="X57" s="2432"/>
      <c r="Y57" s="2432"/>
      <c r="Z57" s="2432"/>
      <c r="AA57" s="2432"/>
      <c r="AB57" s="2432"/>
      <c r="AC57" s="2432"/>
      <c r="AD57" s="2432"/>
      <c r="AE57" s="2432"/>
      <c r="AF57" s="2432"/>
      <c r="AG57" s="2432"/>
      <c r="AH57" s="2432"/>
      <c r="AI57" s="2432"/>
      <c r="AJ57" s="2433"/>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2" t="s">
        <v>591</v>
      </c>
      <c r="C59" s="2412"/>
      <c r="D59" s="541"/>
      <c r="E59" s="2419" t="s">
        <v>2555</v>
      </c>
      <c r="F59" s="2420"/>
      <c r="G59" s="2420"/>
      <c r="H59" s="2420"/>
      <c r="I59" s="2420"/>
      <c r="J59" s="2420"/>
      <c r="K59" s="2420"/>
      <c r="L59" s="2420"/>
      <c r="M59" s="2420"/>
      <c r="N59" s="2420"/>
      <c r="O59" s="2420"/>
      <c r="P59" s="2420"/>
      <c r="Q59" s="2420"/>
      <c r="R59" s="2420"/>
      <c r="S59" s="2420"/>
      <c r="T59" s="2420"/>
      <c r="U59" s="2420"/>
      <c r="V59" s="2420"/>
      <c r="W59" s="2420"/>
      <c r="X59" s="2420"/>
      <c r="Y59" s="2420"/>
      <c r="Z59" s="2420"/>
      <c r="AA59" s="2420"/>
      <c r="AB59" s="2420"/>
      <c r="AC59" s="2420"/>
      <c r="AD59" s="2420"/>
      <c r="AE59" s="2420"/>
      <c r="AF59" s="2420"/>
      <c r="AG59" s="2420"/>
      <c r="AH59" s="2420"/>
      <c r="AI59" s="2420"/>
      <c r="AJ59" s="242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51">
        <f>AO60</f>
        <v>0</v>
      </c>
      <c r="AL61" s="2452"/>
      <c r="AM61" s="245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0" t="s">
        <v>1307</v>
      </c>
      <c r="AF64" s="2440"/>
      <c r="AG64" s="2440"/>
      <c r="AH64" s="2440"/>
      <c r="AI64" s="2440"/>
      <c r="AJ64" s="2440"/>
      <c r="AK64" s="244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2" t="s">
        <v>591</v>
      </c>
      <c r="C67" s="2412"/>
      <c r="D67" s="541" t="s">
        <v>1308</v>
      </c>
      <c r="E67" s="2422" t="s">
        <v>1975</v>
      </c>
      <c r="F67" s="2423"/>
      <c r="G67" s="2423"/>
      <c r="H67" s="2423"/>
      <c r="I67" s="2423"/>
      <c r="J67" s="2423"/>
      <c r="K67" s="2423"/>
      <c r="L67" s="2423"/>
      <c r="M67" s="2423"/>
      <c r="N67" s="2423"/>
      <c r="O67" s="2423"/>
      <c r="P67" s="2423"/>
      <c r="Q67" s="2423"/>
      <c r="R67" s="2423"/>
      <c r="S67" s="2423"/>
      <c r="T67" s="2423"/>
      <c r="U67" s="2423"/>
      <c r="V67" s="2423"/>
      <c r="W67" s="2423"/>
      <c r="X67" s="2423"/>
      <c r="Y67" s="2423"/>
      <c r="Z67" s="2423"/>
      <c r="AA67" s="2423"/>
      <c r="AB67" s="2423"/>
      <c r="AC67" s="2423"/>
      <c r="AD67" s="2423"/>
      <c r="AE67" s="2423"/>
      <c r="AF67" s="2423"/>
      <c r="AG67" s="2423"/>
      <c r="AH67" s="2423"/>
      <c r="AI67" s="2423"/>
      <c r="AJ67" s="2424"/>
      <c r="AK67" s="539"/>
      <c r="AL67" s="536"/>
      <c r="AM67" s="536"/>
      <c r="AN67" s="531"/>
      <c r="AO67" s="544">
        <f>IF($B67="yes",10,0)</f>
        <v>0</v>
      </c>
    </row>
    <row r="68" spans="1:42" s="532" customFormat="1" ht="12.75" customHeight="1">
      <c r="A68" s="534"/>
      <c r="B68" s="536"/>
      <c r="C68" s="536"/>
      <c r="D68" s="545"/>
      <c r="E68" s="2441"/>
      <c r="F68" s="2442"/>
      <c r="G68" s="2442"/>
      <c r="H68" s="2442"/>
      <c r="I68" s="2442"/>
      <c r="J68" s="2442"/>
      <c r="K68" s="2442"/>
      <c r="L68" s="2442"/>
      <c r="M68" s="2442"/>
      <c r="N68" s="2442"/>
      <c r="O68" s="2442"/>
      <c r="P68" s="2442"/>
      <c r="Q68" s="2442"/>
      <c r="R68" s="2442"/>
      <c r="S68" s="2442"/>
      <c r="T68" s="2442"/>
      <c r="U68" s="2442"/>
      <c r="V68" s="2442"/>
      <c r="W68" s="2442"/>
      <c r="X68" s="2442"/>
      <c r="Y68" s="2442"/>
      <c r="Z68" s="2442"/>
      <c r="AA68" s="2442"/>
      <c r="AB68" s="2442"/>
      <c r="AC68" s="2442"/>
      <c r="AD68" s="2442"/>
      <c r="AE68" s="2442"/>
      <c r="AF68" s="2442"/>
      <c r="AG68" s="2442"/>
      <c r="AH68" s="2442"/>
      <c r="AI68" s="2442"/>
      <c r="AJ68" s="2443"/>
      <c r="AK68" s="539"/>
      <c r="AL68" s="536"/>
      <c r="AM68" s="536"/>
      <c r="AN68" s="531"/>
      <c r="AO68" s="544">
        <f>IF(AND($B73="yes",OR(E74="Yes",E75="Yes",E76="Yes")),10,0)</f>
        <v>10</v>
      </c>
    </row>
    <row r="69" spans="1:42" s="532" customFormat="1" ht="12.75" customHeight="1">
      <c r="A69" s="534"/>
      <c r="B69" s="536"/>
      <c r="C69" s="536"/>
      <c r="D69" s="545"/>
      <c r="E69" s="2441"/>
      <c r="F69" s="2442"/>
      <c r="G69" s="2442"/>
      <c r="H69" s="2442"/>
      <c r="I69" s="2442"/>
      <c r="J69" s="2442"/>
      <c r="K69" s="2442"/>
      <c r="L69" s="2442"/>
      <c r="M69" s="2442"/>
      <c r="N69" s="2442"/>
      <c r="O69" s="2442"/>
      <c r="P69" s="2442"/>
      <c r="Q69" s="2442"/>
      <c r="R69" s="2442"/>
      <c r="S69" s="2442"/>
      <c r="T69" s="2442"/>
      <c r="U69" s="2442"/>
      <c r="V69" s="2442"/>
      <c r="W69" s="2442"/>
      <c r="X69" s="2442"/>
      <c r="Y69" s="2442"/>
      <c r="Z69" s="2442"/>
      <c r="AA69" s="2442"/>
      <c r="AB69" s="2442"/>
      <c r="AC69" s="2442"/>
      <c r="AD69" s="2442"/>
      <c r="AE69" s="2442"/>
      <c r="AF69" s="2442"/>
      <c r="AG69" s="2442"/>
      <c r="AH69" s="2442"/>
      <c r="AI69" s="2442"/>
      <c r="AJ69" s="2443"/>
      <c r="AK69" s="539"/>
      <c r="AL69" s="536"/>
      <c r="AM69" s="536"/>
      <c r="AN69" s="531"/>
      <c r="AO69" s="544">
        <f>IF($B78="yes",10,0)</f>
        <v>0</v>
      </c>
    </row>
    <row r="70" spans="1:42" s="532" customFormat="1" ht="12.75" customHeight="1">
      <c r="A70" s="534"/>
      <c r="B70" s="536"/>
      <c r="C70" s="536"/>
      <c r="D70" s="545"/>
      <c r="E70" s="2441"/>
      <c r="F70" s="2442"/>
      <c r="G70" s="2442"/>
      <c r="H70" s="2442"/>
      <c r="I70" s="2442"/>
      <c r="J70" s="2442"/>
      <c r="K70" s="2442"/>
      <c r="L70" s="2442"/>
      <c r="M70" s="2442"/>
      <c r="N70" s="2442"/>
      <c r="O70" s="2442"/>
      <c r="P70" s="2442"/>
      <c r="Q70" s="2442"/>
      <c r="R70" s="2442"/>
      <c r="S70" s="2442"/>
      <c r="T70" s="2442"/>
      <c r="U70" s="2442"/>
      <c r="V70" s="2442"/>
      <c r="W70" s="2442"/>
      <c r="X70" s="2442"/>
      <c r="Y70" s="2442"/>
      <c r="Z70" s="2442"/>
      <c r="AA70" s="2442"/>
      <c r="AB70" s="2442"/>
      <c r="AC70" s="2442"/>
      <c r="AD70" s="2442"/>
      <c r="AE70" s="2442"/>
      <c r="AF70" s="2442"/>
      <c r="AG70" s="2442"/>
      <c r="AH70" s="2442"/>
      <c r="AI70" s="2442"/>
      <c r="AJ70" s="2443"/>
      <c r="AK70" s="539"/>
      <c r="AL70" s="536"/>
      <c r="AM70" s="536"/>
      <c r="AN70" s="531"/>
      <c r="AO70" s="544">
        <f>IF($B81="yes",10,0)</f>
        <v>0</v>
      </c>
    </row>
    <row r="71" spans="1:42" s="532" customFormat="1" ht="12.75" customHeight="1">
      <c r="A71" s="534"/>
      <c r="B71" s="536"/>
      <c r="C71" s="536"/>
      <c r="D71" s="545"/>
      <c r="E71" s="2425"/>
      <c r="F71" s="2426"/>
      <c r="G71" s="2426"/>
      <c r="H71" s="2426"/>
      <c r="I71" s="2426"/>
      <c r="J71" s="2426"/>
      <c r="K71" s="2426"/>
      <c r="L71" s="2426"/>
      <c r="M71" s="2426"/>
      <c r="N71" s="2426"/>
      <c r="O71" s="2426"/>
      <c r="P71" s="2426"/>
      <c r="Q71" s="2426"/>
      <c r="R71" s="2426"/>
      <c r="S71" s="2426"/>
      <c r="T71" s="2426"/>
      <c r="U71" s="2426"/>
      <c r="V71" s="2426"/>
      <c r="W71" s="2426"/>
      <c r="X71" s="2426"/>
      <c r="Y71" s="2426"/>
      <c r="Z71" s="2426"/>
      <c r="AA71" s="2426"/>
      <c r="AB71" s="2426"/>
      <c r="AC71" s="2426"/>
      <c r="AD71" s="2426"/>
      <c r="AE71" s="2426"/>
      <c r="AF71" s="2426"/>
      <c r="AG71" s="2426"/>
      <c r="AH71" s="2426"/>
      <c r="AI71" s="2426"/>
      <c r="AJ71" s="2427"/>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2" t="s">
        <v>545</v>
      </c>
      <c r="C73" s="241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4" t="s">
        <v>545</v>
      </c>
      <c r="F74" s="241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8" t="s">
        <v>591</v>
      </c>
      <c r="F75" s="243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8" t="s">
        <v>591</v>
      </c>
      <c r="F76" s="243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2" t="s">
        <v>591</v>
      </c>
      <c r="C78" s="2412"/>
      <c r="D78" s="541" t="s">
        <v>1313</v>
      </c>
      <c r="E78" s="2428" t="s">
        <v>1727</v>
      </c>
      <c r="F78" s="2429"/>
      <c r="G78" s="2429"/>
      <c r="H78" s="2429"/>
      <c r="I78" s="2429"/>
      <c r="J78" s="2429"/>
      <c r="K78" s="2429"/>
      <c r="L78" s="2429"/>
      <c r="M78" s="2429"/>
      <c r="N78" s="2429"/>
      <c r="O78" s="2429"/>
      <c r="P78" s="2429"/>
      <c r="Q78" s="2429"/>
      <c r="R78" s="2429"/>
      <c r="S78" s="2429"/>
      <c r="T78" s="2429"/>
      <c r="U78" s="2429"/>
      <c r="V78" s="2429"/>
      <c r="W78" s="2429"/>
      <c r="X78" s="2429"/>
      <c r="Y78" s="2429"/>
      <c r="Z78" s="2429"/>
      <c r="AA78" s="2429"/>
      <c r="AB78" s="2429"/>
      <c r="AC78" s="2429"/>
      <c r="AD78" s="2429"/>
      <c r="AE78" s="2429"/>
      <c r="AF78" s="2429"/>
      <c r="AG78" s="2429"/>
      <c r="AH78" s="2429"/>
      <c r="AI78" s="2429"/>
      <c r="AJ78" s="2430"/>
      <c r="AK78" s="539"/>
      <c r="AL78" s="536"/>
      <c r="AM78" s="536"/>
      <c r="AN78" s="531"/>
    </row>
    <row r="79" spans="1:42" s="532" customFormat="1" ht="12.75" customHeight="1">
      <c r="A79" s="534"/>
      <c r="B79" s="536"/>
      <c r="C79" s="536"/>
      <c r="E79" s="2431"/>
      <c r="F79" s="2432"/>
      <c r="G79" s="2432"/>
      <c r="H79" s="2432"/>
      <c r="I79" s="2432"/>
      <c r="J79" s="2432"/>
      <c r="K79" s="2432"/>
      <c r="L79" s="2432"/>
      <c r="M79" s="2432"/>
      <c r="N79" s="2432"/>
      <c r="O79" s="2432"/>
      <c r="P79" s="2432"/>
      <c r="Q79" s="2432"/>
      <c r="R79" s="2432"/>
      <c r="S79" s="2432"/>
      <c r="T79" s="2432"/>
      <c r="U79" s="2432"/>
      <c r="V79" s="2432"/>
      <c r="W79" s="2432"/>
      <c r="X79" s="2432"/>
      <c r="Y79" s="2432"/>
      <c r="Z79" s="2432"/>
      <c r="AA79" s="2432"/>
      <c r="AB79" s="2432"/>
      <c r="AC79" s="2432"/>
      <c r="AD79" s="2432"/>
      <c r="AE79" s="2432"/>
      <c r="AF79" s="2432"/>
      <c r="AG79" s="2432"/>
      <c r="AH79" s="2432"/>
      <c r="AI79" s="2432"/>
      <c r="AJ79" s="243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2" t="s">
        <v>591</v>
      </c>
      <c r="C81" s="2412"/>
      <c r="D81" s="541" t="s">
        <v>1460</v>
      </c>
      <c r="E81" s="2419" t="s">
        <v>1725</v>
      </c>
      <c r="F81" s="2420"/>
      <c r="G81" s="2420"/>
      <c r="H81" s="2420"/>
      <c r="I81" s="2420"/>
      <c r="J81" s="2420"/>
      <c r="K81" s="2420"/>
      <c r="L81" s="2420"/>
      <c r="M81" s="2420"/>
      <c r="N81" s="2420"/>
      <c r="O81" s="2420"/>
      <c r="P81" s="2420"/>
      <c r="Q81" s="2420"/>
      <c r="R81" s="2420"/>
      <c r="S81" s="2420"/>
      <c r="T81" s="2420"/>
      <c r="U81" s="2420"/>
      <c r="V81" s="2420"/>
      <c r="W81" s="2420"/>
      <c r="X81" s="2420"/>
      <c r="Y81" s="2420"/>
      <c r="Z81" s="2420"/>
      <c r="AA81" s="2420"/>
      <c r="AB81" s="2420"/>
      <c r="AC81" s="2420"/>
      <c r="AD81" s="2420"/>
      <c r="AE81" s="2420"/>
      <c r="AF81" s="2420"/>
      <c r="AG81" s="2420"/>
      <c r="AH81" s="2420"/>
      <c r="AI81" s="2420"/>
      <c r="AJ81" s="242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51">
        <f>IF(AK61&gt;0,0,AO71)</f>
        <v>10</v>
      </c>
      <c r="AL83" s="2452"/>
      <c r="AM83" s="245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0" t="s">
        <v>1302</v>
      </c>
      <c r="AF86" s="2440"/>
      <c r="AG86" s="2440"/>
      <c r="AH86" s="2440"/>
      <c r="AI86" s="2440"/>
      <c r="AJ86" s="2440"/>
      <c r="AK86" s="244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2" t="s">
        <v>591</v>
      </c>
      <c r="C89" s="2412"/>
      <c r="D89" s="541" t="s">
        <v>1308</v>
      </c>
      <c r="E89" s="2422" t="s">
        <v>1318</v>
      </c>
      <c r="F89" s="2423"/>
      <c r="G89" s="2423"/>
      <c r="H89" s="2423"/>
      <c r="I89" s="2423"/>
      <c r="J89" s="2423"/>
      <c r="K89" s="2423"/>
      <c r="L89" s="2423"/>
      <c r="M89" s="2423"/>
      <c r="N89" s="2423"/>
      <c r="O89" s="2423"/>
      <c r="P89" s="2423"/>
      <c r="Q89" s="2423"/>
      <c r="R89" s="2423"/>
      <c r="S89" s="2423"/>
      <c r="T89" s="2423"/>
      <c r="U89" s="2423"/>
      <c r="V89" s="2423"/>
      <c r="W89" s="2423"/>
      <c r="X89" s="2423"/>
      <c r="Y89" s="2423"/>
      <c r="Z89" s="2423"/>
      <c r="AA89" s="2423"/>
      <c r="AB89" s="2423"/>
      <c r="AC89" s="2423"/>
      <c r="AD89" s="2423"/>
      <c r="AE89" s="2423"/>
      <c r="AF89" s="2423"/>
      <c r="AG89" s="2423"/>
      <c r="AH89" s="2423"/>
      <c r="AI89" s="2423"/>
      <c r="AJ89" s="2424"/>
      <c r="AK89" s="539"/>
      <c r="AL89" s="536"/>
      <c r="AM89" s="536"/>
      <c r="AN89" s="531"/>
    </row>
    <row r="90" spans="1:43" s="532" customFormat="1" ht="12.75" customHeight="1">
      <c r="A90" s="534"/>
      <c r="B90" s="535"/>
      <c r="C90" s="535"/>
      <c r="D90" s="535"/>
      <c r="E90" s="2441"/>
      <c r="F90" s="2442"/>
      <c r="G90" s="2442"/>
      <c r="H90" s="2442"/>
      <c r="I90" s="2442"/>
      <c r="J90" s="2442"/>
      <c r="K90" s="2442"/>
      <c r="L90" s="2442"/>
      <c r="M90" s="2442"/>
      <c r="N90" s="2442"/>
      <c r="O90" s="2442"/>
      <c r="P90" s="2442"/>
      <c r="Q90" s="2442"/>
      <c r="R90" s="2442"/>
      <c r="S90" s="2442"/>
      <c r="T90" s="2442"/>
      <c r="U90" s="2442"/>
      <c r="V90" s="2442"/>
      <c r="W90" s="2442"/>
      <c r="X90" s="2442"/>
      <c r="Y90" s="2442"/>
      <c r="Z90" s="2442"/>
      <c r="AA90" s="2442"/>
      <c r="AB90" s="2442"/>
      <c r="AC90" s="2442"/>
      <c r="AD90" s="2442"/>
      <c r="AE90" s="2442"/>
      <c r="AF90" s="2442"/>
      <c r="AG90" s="2442"/>
      <c r="AH90" s="2442"/>
      <c r="AI90" s="2442"/>
      <c r="AJ90" s="244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4">
        <f>Application!AC761</f>
        <v>0.60000000000000009</v>
      </c>
      <c r="F92" s="2435"/>
      <c r="G92" s="2435"/>
      <c r="H92" s="2435"/>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6">
        <f>0.6-ROUNDUP(E92,2)</f>
        <v>0</v>
      </c>
      <c r="F93" s="2437"/>
      <c r="G93" s="2437"/>
      <c r="H93" s="2437"/>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3">
        <f>IF(E93*200&gt;20,20,E93*200)</f>
        <v>0</v>
      </c>
      <c r="F94" s="2464"/>
      <c r="G94" s="2464"/>
      <c r="H94" s="246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2" t="s">
        <v>545</v>
      </c>
      <c r="C97" s="2412"/>
      <c r="D97" s="541" t="s">
        <v>1310</v>
      </c>
      <c r="E97" s="2422" t="s">
        <v>1713</v>
      </c>
      <c r="F97" s="2423"/>
      <c r="G97" s="2423"/>
      <c r="H97" s="2423"/>
      <c r="I97" s="2423"/>
      <c r="J97" s="2423"/>
      <c r="K97" s="2423"/>
      <c r="L97" s="2423"/>
      <c r="M97" s="2423"/>
      <c r="N97" s="2423"/>
      <c r="O97" s="2423"/>
      <c r="P97" s="2423"/>
      <c r="Q97" s="2423"/>
      <c r="R97" s="2423"/>
      <c r="S97" s="2423"/>
      <c r="T97" s="2423"/>
      <c r="U97" s="2423"/>
      <c r="V97" s="2423"/>
      <c r="W97" s="2423"/>
      <c r="X97" s="2423"/>
      <c r="Y97" s="2423"/>
      <c r="Z97" s="2423"/>
      <c r="AA97" s="2423"/>
      <c r="AB97" s="2423"/>
      <c r="AC97" s="2423"/>
      <c r="AD97" s="2423"/>
      <c r="AE97" s="2423"/>
      <c r="AF97" s="2423"/>
      <c r="AG97" s="2423"/>
      <c r="AH97" s="2423"/>
      <c r="AI97" s="2423"/>
      <c r="AJ97" s="2424"/>
      <c r="AK97" s="539"/>
      <c r="AL97" s="536"/>
      <c r="AM97" s="536"/>
      <c r="AN97" s="531"/>
    </row>
    <row r="98" spans="1:47" s="532" customFormat="1" ht="12.75" customHeight="1">
      <c r="A98" s="534"/>
      <c r="B98" s="535"/>
      <c r="C98" s="535"/>
      <c r="D98" s="535"/>
      <c r="E98" s="2441"/>
      <c r="F98" s="2442"/>
      <c r="G98" s="2442"/>
      <c r="H98" s="2442"/>
      <c r="I98" s="2442"/>
      <c r="J98" s="2442"/>
      <c r="K98" s="2442"/>
      <c r="L98" s="2442"/>
      <c r="M98" s="2442"/>
      <c r="N98" s="2442"/>
      <c r="O98" s="2442"/>
      <c r="P98" s="2442"/>
      <c r="Q98" s="2442"/>
      <c r="R98" s="2442"/>
      <c r="S98" s="2442"/>
      <c r="T98" s="2442"/>
      <c r="U98" s="2442"/>
      <c r="V98" s="2442"/>
      <c r="W98" s="2442"/>
      <c r="X98" s="2442"/>
      <c r="Y98" s="2442"/>
      <c r="Z98" s="2442"/>
      <c r="AA98" s="2442"/>
      <c r="AB98" s="2442"/>
      <c r="AC98" s="2442"/>
      <c r="AD98" s="2442"/>
      <c r="AE98" s="2442"/>
      <c r="AF98" s="2442"/>
      <c r="AG98" s="2442"/>
      <c r="AH98" s="2442"/>
      <c r="AI98" s="2442"/>
      <c r="AJ98" s="2443"/>
      <c r="AK98" s="539"/>
      <c r="AL98" s="536"/>
      <c r="AM98" s="536"/>
      <c r="AN98" s="531"/>
    </row>
    <row r="99" spans="1:47" s="532" customFormat="1" ht="12.75" customHeight="1">
      <c r="A99" s="534"/>
      <c r="B99" s="535"/>
      <c r="C99" s="535"/>
      <c r="D99" s="535"/>
      <c r="E99" s="2441"/>
      <c r="F99" s="2442"/>
      <c r="G99" s="2442"/>
      <c r="H99" s="2442"/>
      <c r="I99" s="2442"/>
      <c r="J99" s="2442"/>
      <c r="K99" s="2442"/>
      <c r="L99" s="2442"/>
      <c r="M99" s="2442"/>
      <c r="N99" s="2442"/>
      <c r="O99" s="2442"/>
      <c r="P99" s="2442"/>
      <c r="Q99" s="2442"/>
      <c r="R99" s="2442"/>
      <c r="S99" s="2442"/>
      <c r="T99" s="2442"/>
      <c r="U99" s="2442"/>
      <c r="V99" s="2442"/>
      <c r="W99" s="2442"/>
      <c r="X99" s="2442"/>
      <c r="Y99" s="2442"/>
      <c r="Z99" s="2442"/>
      <c r="AA99" s="2442"/>
      <c r="AB99" s="2442"/>
      <c r="AC99" s="2442"/>
      <c r="AD99" s="2442"/>
      <c r="AE99" s="2442"/>
      <c r="AF99" s="2442"/>
      <c r="AG99" s="2442"/>
      <c r="AH99" s="2442"/>
      <c r="AI99" s="2442"/>
      <c r="AJ99" s="2443"/>
      <c r="AK99" s="539"/>
      <c r="AL99" s="536"/>
      <c r="AM99" s="536"/>
      <c r="AN99" s="531"/>
    </row>
    <row r="100" spans="1:47" s="532" customFormat="1" ht="12.75" customHeight="1">
      <c r="A100" s="534"/>
      <c r="B100" s="535"/>
      <c r="C100" s="535"/>
      <c r="D100" s="535"/>
      <c r="E100" s="2441"/>
      <c r="F100" s="2442"/>
      <c r="G100" s="2442"/>
      <c r="H100" s="2442"/>
      <c r="I100" s="2442"/>
      <c r="J100" s="2442"/>
      <c r="K100" s="2442"/>
      <c r="L100" s="2442"/>
      <c r="M100" s="2442"/>
      <c r="N100" s="2442"/>
      <c r="O100" s="2442"/>
      <c r="P100" s="2442"/>
      <c r="Q100" s="2442"/>
      <c r="R100" s="2442"/>
      <c r="S100" s="2442"/>
      <c r="T100" s="2442"/>
      <c r="U100" s="2442"/>
      <c r="V100" s="2442"/>
      <c r="W100" s="2442"/>
      <c r="X100" s="2442"/>
      <c r="Y100" s="2442"/>
      <c r="Z100" s="2442"/>
      <c r="AA100" s="2442"/>
      <c r="AB100" s="2442"/>
      <c r="AC100" s="2442"/>
      <c r="AD100" s="2442"/>
      <c r="AE100" s="2442"/>
      <c r="AF100" s="2442"/>
      <c r="AG100" s="2442"/>
      <c r="AH100" s="2442"/>
      <c r="AI100" s="2442"/>
      <c r="AJ100" s="244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4">
        <f>Application!AC761</f>
        <v>0.60000000000000009</v>
      </c>
      <c r="F102" s="2435"/>
      <c r="G102" s="2435"/>
      <c r="H102" s="2435"/>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4">
        <f ca="1">SUMIF(Application!AC726:AG760,0.2,Application!G726:J760)/Application!G761+SUMIF(Application!AC726:AG760,0.25,Application!G726:J760)/Application!G761+SUMIF(Application!AC726:AG760,0.3,Application!G726:J760)/Application!G761</f>
        <v>0.1043956043956044</v>
      </c>
      <c r="F103" s="2435"/>
      <c r="G103" s="2435"/>
      <c r="H103" s="2435"/>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4">
        <f ca="1">SUMIF(Application!AC726:AG760,0.35,Application!G726:J760)/Application!G761+SUMIF(Application!AC726:AG760,0.4,Application!G726:J760)/Application!G761+SUMIF(Application!AC726:AG760,0.45,Application!G726:J760)/Application!G761+SUMIF(Application!AC726:AG760,0.5,Application!G726:J760)/Application!G761</f>
        <v>0.12637362637362637</v>
      </c>
      <c r="F104" s="2435"/>
      <c r="G104" s="2435"/>
      <c r="H104" s="2435"/>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9">
        <f ca="1">IF(AND(E102&lt;=0.6,OR(AND(E103&gt;=0.1,E104&gt;=0.1),AND(E103&gt;0.1,(E103+E104)&gt;=0.2))),20,0)</f>
        <v>20</v>
      </c>
      <c r="F105" s="2470"/>
      <c r="G105" s="2470"/>
      <c r="H105" s="2470"/>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51">
        <f ca="1">MAX(AP94,AP105)</f>
        <v>20</v>
      </c>
      <c r="AL108" s="2452"/>
      <c r="AM108" s="245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0" t="s">
        <v>1307</v>
      </c>
      <c r="AF111" s="2440"/>
      <c r="AG111" s="2440"/>
      <c r="AH111" s="2440"/>
      <c r="AI111" s="2440"/>
      <c r="AJ111" s="2440"/>
      <c r="AK111" s="2440"/>
      <c r="AL111" s="536"/>
      <c r="AM111" s="536"/>
      <c r="AN111" s="531"/>
      <c r="AO111" s="532" t="str">
        <f>Application!B726</f>
        <v>SRO/Studio</v>
      </c>
      <c r="AQ111" s="532">
        <f>Application!O726</f>
        <v>918</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1531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1837</v>
      </c>
    </row>
    <row r="114" spans="1:52" s="532" customFormat="1" ht="12.75" customHeight="1">
      <c r="A114" s="536"/>
      <c r="B114" s="2412" t="s">
        <v>591</v>
      </c>
      <c r="C114" s="2412"/>
      <c r="D114" s="541" t="s">
        <v>1308</v>
      </c>
      <c r="E114" s="2422" t="s">
        <v>2557</v>
      </c>
      <c r="F114" s="2423"/>
      <c r="G114" s="2423"/>
      <c r="H114" s="2423"/>
      <c r="I114" s="2423"/>
      <c r="J114" s="2423"/>
      <c r="K114" s="2423"/>
      <c r="L114" s="2423"/>
      <c r="M114" s="2423"/>
      <c r="N114" s="2423"/>
      <c r="O114" s="2423"/>
      <c r="P114" s="2423"/>
      <c r="Q114" s="2423"/>
      <c r="R114" s="2423"/>
      <c r="S114" s="2423"/>
      <c r="T114" s="2423"/>
      <c r="U114" s="2423"/>
      <c r="V114" s="2423"/>
      <c r="W114" s="2423"/>
      <c r="X114" s="2423"/>
      <c r="Y114" s="2423"/>
      <c r="Z114" s="2423"/>
      <c r="AA114" s="2423"/>
      <c r="AB114" s="2423"/>
      <c r="AC114" s="2423"/>
      <c r="AD114" s="2423"/>
      <c r="AE114" s="2423"/>
      <c r="AF114" s="2423"/>
      <c r="AG114" s="2423"/>
      <c r="AH114" s="2423"/>
      <c r="AI114" s="2423"/>
      <c r="AJ114" s="2424"/>
      <c r="AK114" s="536"/>
      <c r="AL114" s="536"/>
      <c r="AM114" s="536"/>
      <c r="AN114" s="531"/>
      <c r="AO114" s="532" t="str">
        <f>Application!B729</f>
        <v>SRO/Studio</v>
      </c>
      <c r="AQ114" s="532">
        <f>Application!O729</f>
        <v>2450</v>
      </c>
      <c r="AU114" s="532" t="s">
        <v>1811</v>
      </c>
      <c r="AV114" s="588" t="s">
        <v>1812</v>
      </c>
      <c r="AW114" s="532" t="s">
        <v>1813</v>
      </c>
    </row>
    <row r="115" spans="1:52" s="532" customFormat="1" ht="12.75" customHeight="1">
      <c r="A115" s="536"/>
      <c r="B115" s="535"/>
      <c r="C115" s="535"/>
      <c r="D115" s="535"/>
      <c r="E115" s="2441"/>
      <c r="F115" s="2442"/>
      <c r="G115" s="2442"/>
      <c r="H115" s="2442"/>
      <c r="I115" s="2442"/>
      <c r="J115" s="2442"/>
      <c r="K115" s="2442"/>
      <c r="L115" s="2442"/>
      <c r="M115" s="2442"/>
      <c r="N115" s="2442"/>
      <c r="O115" s="2442"/>
      <c r="P115" s="2442"/>
      <c r="Q115" s="2442"/>
      <c r="R115" s="2442"/>
      <c r="S115" s="2442"/>
      <c r="T115" s="2442"/>
      <c r="U115" s="2442"/>
      <c r="V115" s="2442"/>
      <c r="W115" s="2442"/>
      <c r="X115" s="2442"/>
      <c r="Y115" s="2442"/>
      <c r="Z115" s="2442"/>
      <c r="AA115" s="2442"/>
      <c r="AB115" s="2442"/>
      <c r="AC115" s="2442"/>
      <c r="AD115" s="2442"/>
      <c r="AE115" s="2442"/>
      <c r="AF115" s="2442"/>
      <c r="AG115" s="2442"/>
      <c r="AH115" s="2442"/>
      <c r="AI115" s="2442"/>
      <c r="AJ115" s="2443"/>
      <c r="AK115" s="536"/>
      <c r="AL115" s="536"/>
      <c r="AM115" s="536"/>
      <c r="AN115" s="531"/>
      <c r="AO115" s="532" t="str">
        <f>Application!B730</f>
        <v>1 Bedroom</v>
      </c>
      <c r="AQ115" s="532">
        <f>Application!O730</f>
        <v>984</v>
      </c>
      <c r="AU115" s="847" t="str">
        <f>E123</f>
        <v>Studio/SRO</v>
      </c>
      <c r="AV115" s="532">
        <f t="array" ref="AV115">SUM(IF(Application!B726:F760="SRO/Studio",Application!G726:J760))</f>
        <v>34</v>
      </c>
      <c r="AW115" s="1001">
        <f>AV115/AV121</f>
        <v>0.18681318681318682</v>
      </c>
    </row>
    <row r="116" spans="1:52" s="532" customFormat="1" ht="12.75" customHeight="1">
      <c r="A116" s="536"/>
      <c r="B116" s="535"/>
      <c r="C116" s="535"/>
      <c r="D116" s="535"/>
      <c r="E116" s="2441"/>
      <c r="F116" s="2442"/>
      <c r="G116" s="2442"/>
      <c r="H116" s="2442"/>
      <c r="I116" s="2442"/>
      <c r="J116" s="2442"/>
      <c r="K116" s="2442"/>
      <c r="L116" s="2442"/>
      <c r="M116" s="2442"/>
      <c r="N116" s="2442"/>
      <c r="O116" s="2442"/>
      <c r="P116" s="2442"/>
      <c r="Q116" s="2442"/>
      <c r="R116" s="2442"/>
      <c r="S116" s="2442"/>
      <c r="T116" s="2442"/>
      <c r="U116" s="2442"/>
      <c r="V116" s="2442"/>
      <c r="W116" s="2442"/>
      <c r="X116" s="2442"/>
      <c r="Y116" s="2442"/>
      <c r="Z116" s="2442"/>
      <c r="AA116" s="2442"/>
      <c r="AB116" s="2442"/>
      <c r="AC116" s="2442"/>
      <c r="AD116" s="2442"/>
      <c r="AE116" s="2442"/>
      <c r="AF116" s="2442"/>
      <c r="AG116" s="2442"/>
      <c r="AH116" s="2442"/>
      <c r="AI116" s="2442"/>
      <c r="AJ116" s="2443"/>
      <c r="AK116" s="536"/>
      <c r="AL116" s="536"/>
      <c r="AM116" s="536"/>
      <c r="AN116" s="531"/>
      <c r="AO116" s="532" t="str">
        <f>Application!B731</f>
        <v>1 Bedroom</v>
      </c>
      <c r="AQ116" s="532">
        <f>Application!O731</f>
        <v>1640</v>
      </c>
      <c r="AU116" s="847" t="str">
        <f>J123</f>
        <v>1-bedroom</v>
      </c>
      <c r="AV116" s="532">
        <f t="array" ref="AV116">SUM(IF(Application!B726:F760="1 Bedroom",Application!G726:J760))</f>
        <v>104</v>
      </c>
      <c r="AW116" s="1001">
        <f>AV116/AV121</f>
        <v>0.5714285714285714</v>
      </c>
    </row>
    <row r="117" spans="1:52" s="532" customFormat="1" ht="12.75" customHeight="1">
      <c r="A117" s="536"/>
      <c r="B117" s="535"/>
      <c r="C117" s="535"/>
      <c r="D117" s="535"/>
      <c r="E117" s="2441"/>
      <c r="F117" s="2442"/>
      <c r="G117" s="2442"/>
      <c r="H117" s="2442"/>
      <c r="I117" s="2442"/>
      <c r="J117" s="2442"/>
      <c r="K117" s="2442"/>
      <c r="L117" s="2442"/>
      <c r="M117" s="2442"/>
      <c r="N117" s="2442"/>
      <c r="O117" s="2442"/>
      <c r="P117" s="2442"/>
      <c r="Q117" s="2442"/>
      <c r="R117" s="2442"/>
      <c r="S117" s="2442"/>
      <c r="T117" s="2442"/>
      <c r="U117" s="2442"/>
      <c r="V117" s="2442"/>
      <c r="W117" s="2442"/>
      <c r="X117" s="2442"/>
      <c r="Y117" s="2442"/>
      <c r="Z117" s="2442"/>
      <c r="AA117" s="2442"/>
      <c r="AB117" s="2442"/>
      <c r="AC117" s="2442"/>
      <c r="AD117" s="2442"/>
      <c r="AE117" s="2442"/>
      <c r="AF117" s="2442"/>
      <c r="AG117" s="2442"/>
      <c r="AH117" s="2442"/>
      <c r="AI117" s="2442"/>
      <c r="AJ117" s="2443"/>
      <c r="AK117" s="536"/>
      <c r="AL117" s="536"/>
      <c r="AM117" s="536"/>
      <c r="AN117" s="531"/>
      <c r="AO117" s="532" t="str">
        <f>Application!B732</f>
        <v>1 Bedroom</v>
      </c>
      <c r="AQ117" s="532">
        <f>Application!O732</f>
        <v>1968</v>
      </c>
      <c r="AU117" s="847" t="str">
        <f>O123</f>
        <v>2-bedroom</v>
      </c>
      <c r="AV117" s="532">
        <f t="array" ref="AV117">SUM(IF(Application!B726:F760="2 Bedrooms",Application!G726:J760))</f>
        <v>44</v>
      </c>
      <c r="AW117" s="1001">
        <f>AV117/AV121</f>
        <v>0.24175824175824176</v>
      </c>
    </row>
    <row r="118" spans="1:52" s="532" customFormat="1" ht="12.75" customHeight="1">
      <c r="A118" s="536"/>
      <c r="B118" s="535"/>
      <c r="C118" s="535"/>
      <c r="D118" s="535"/>
      <c r="E118" s="2441"/>
      <c r="F118" s="2442"/>
      <c r="G118" s="2442"/>
      <c r="H118" s="2442"/>
      <c r="I118" s="2442"/>
      <c r="J118" s="2442"/>
      <c r="K118" s="2442"/>
      <c r="L118" s="2442"/>
      <c r="M118" s="2442"/>
      <c r="N118" s="2442"/>
      <c r="O118" s="2442"/>
      <c r="P118" s="2442"/>
      <c r="Q118" s="2442"/>
      <c r="R118" s="2442"/>
      <c r="S118" s="2442"/>
      <c r="T118" s="2442"/>
      <c r="U118" s="2442"/>
      <c r="V118" s="2442"/>
      <c r="W118" s="2442"/>
      <c r="X118" s="2442"/>
      <c r="Y118" s="2442"/>
      <c r="Z118" s="2442"/>
      <c r="AA118" s="2442"/>
      <c r="AB118" s="2442"/>
      <c r="AC118" s="2442"/>
      <c r="AD118" s="2442"/>
      <c r="AE118" s="2442"/>
      <c r="AF118" s="2442"/>
      <c r="AG118" s="2442"/>
      <c r="AH118" s="2442"/>
      <c r="AI118" s="2442"/>
      <c r="AJ118" s="2443"/>
      <c r="AK118" s="536"/>
      <c r="AL118" s="536"/>
      <c r="AM118" s="536"/>
      <c r="AN118" s="531"/>
      <c r="AO118" s="532" t="str">
        <f>Application!B733</f>
        <v>1 Bedroom</v>
      </c>
      <c r="AQ118" s="532">
        <f>Application!O733</f>
        <v>2625</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41"/>
      <c r="F119" s="2442"/>
      <c r="G119" s="2442"/>
      <c r="H119" s="2442"/>
      <c r="I119" s="2442"/>
      <c r="J119" s="2442"/>
      <c r="K119" s="2442"/>
      <c r="L119" s="2442"/>
      <c r="M119" s="2442"/>
      <c r="N119" s="2442"/>
      <c r="O119" s="2442"/>
      <c r="P119" s="2442"/>
      <c r="Q119" s="2442"/>
      <c r="R119" s="2442"/>
      <c r="S119" s="2442"/>
      <c r="T119" s="2442"/>
      <c r="U119" s="2442"/>
      <c r="V119" s="2442"/>
      <c r="W119" s="2442"/>
      <c r="X119" s="2442"/>
      <c r="Y119" s="2442"/>
      <c r="Z119" s="2442"/>
      <c r="AA119" s="2442"/>
      <c r="AB119" s="2442"/>
      <c r="AC119" s="2442"/>
      <c r="AD119" s="2442"/>
      <c r="AE119" s="2442"/>
      <c r="AF119" s="2442"/>
      <c r="AG119" s="2442"/>
      <c r="AH119" s="2442"/>
      <c r="AI119" s="2442"/>
      <c r="AJ119" s="2443"/>
      <c r="AK119" s="536"/>
      <c r="AL119" s="536"/>
      <c r="AM119" s="536"/>
      <c r="AN119" s="531"/>
      <c r="AO119" s="532" t="str">
        <f>Application!B734</f>
        <v>2 Bedrooms</v>
      </c>
      <c r="AQ119" s="532">
        <f>Application!O734</f>
        <v>1181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1"/>
      <c r="F120" s="2442"/>
      <c r="G120" s="2442"/>
      <c r="H120" s="2442"/>
      <c r="I120" s="2442"/>
      <c r="J120" s="2442"/>
      <c r="K120" s="2442"/>
      <c r="L120" s="2442"/>
      <c r="M120" s="2442"/>
      <c r="N120" s="2442"/>
      <c r="O120" s="2442"/>
      <c r="P120" s="2442"/>
      <c r="Q120" s="2442"/>
      <c r="R120" s="2442"/>
      <c r="S120" s="2442"/>
      <c r="T120" s="2442"/>
      <c r="U120" s="2442"/>
      <c r="V120" s="2442"/>
      <c r="W120" s="2442"/>
      <c r="X120" s="2442"/>
      <c r="Y120" s="2442"/>
      <c r="Z120" s="2442"/>
      <c r="AA120" s="2442"/>
      <c r="AB120" s="2442"/>
      <c r="AC120" s="2442"/>
      <c r="AD120" s="2442"/>
      <c r="AE120" s="2442"/>
      <c r="AF120" s="2442"/>
      <c r="AG120" s="2442"/>
      <c r="AH120" s="2442"/>
      <c r="AI120" s="2442"/>
      <c r="AJ120" s="2443"/>
      <c r="AK120" s="536"/>
      <c r="AL120" s="536"/>
      <c r="AM120" s="536"/>
      <c r="AN120" s="531"/>
      <c r="AO120" s="532" t="str">
        <f>Application!B735</f>
        <v>2 Bedrooms</v>
      </c>
      <c r="AQ120" s="532">
        <f>Application!O735</f>
        <v>1968</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1"/>
      <c r="F121" s="2442"/>
      <c r="G121" s="2442"/>
      <c r="H121" s="2442"/>
      <c r="I121" s="2442"/>
      <c r="J121" s="2442"/>
      <c r="K121" s="2442"/>
      <c r="L121" s="2442"/>
      <c r="M121" s="2442"/>
      <c r="N121" s="2442"/>
      <c r="O121" s="2442"/>
      <c r="P121" s="2442"/>
      <c r="Q121" s="2442"/>
      <c r="R121" s="2442"/>
      <c r="S121" s="2442"/>
      <c r="T121" s="2442"/>
      <c r="U121" s="2442"/>
      <c r="V121" s="2442"/>
      <c r="W121" s="2442"/>
      <c r="X121" s="2442"/>
      <c r="Y121" s="2442"/>
      <c r="Z121" s="2442"/>
      <c r="AA121" s="2442"/>
      <c r="AB121" s="2442"/>
      <c r="AC121" s="2442"/>
      <c r="AD121" s="2442"/>
      <c r="AE121" s="2442"/>
      <c r="AF121" s="2442"/>
      <c r="AG121" s="2442"/>
      <c r="AH121" s="2442"/>
      <c r="AI121" s="2442"/>
      <c r="AJ121" s="2443"/>
      <c r="AK121" s="536"/>
      <c r="AL121" s="536"/>
      <c r="AM121" s="536"/>
      <c r="AN121" s="531"/>
      <c r="AO121" s="532" t="str">
        <f>Application!B736</f>
        <v>2 Bedrooms</v>
      </c>
      <c r="AQ121" s="532">
        <f>Application!O736</f>
        <v>2362</v>
      </c>
      <c r="AV121" s="532">
        <f>SUM(AV115:AV120)</f>
        <v>182</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3150</v>
      </c>
    </row>
    <row r="123" spans="1:52" s="532" customFormat="1" ht="12.75" customHeight="1">
      <c r="A123" s="536"/>
      <c r="B123" s="535"/>
      <c r="C123" s="536"/>
      <c r="D123" s="536"/>
      <c r="E123" s="2434" t="s">
        <v>1576</v>
      </c>
      <c r="F123" s="2435"/>
      <c r="G123" s="2435"/>
      <c r="H123" s="2435"/>
      <c r="I123" s="570"/>
      <c r="J123" s="2435" t="s">
        <v>1619</v>
      </c>
      <c r="K123" s="2435"/>
      <c r="L123" s="2435"/>
      <c r="M123" s="2435"/>
      <c r="N123" s="570"/>
      <c r="O123" s="2435" t="s">
        <v>1620</v>
      </c>
      <c r="P123" s="2435"/>
      <c r="Q123" s="2435"/>
      <c r="R123" s="2435"/>
      <c r="S123" s="570"/>
      <c r="T123" s="2435" t="s">
        <v>1327</v>
      </c>
      <c r="U123" s="2435"/>
      <c r="V123" s="2435"/>
      <c r="W123" s="2435"/>
      <c r="X123" s="570"/>
      <c r="Y123" s="2435" t="s">
        <v>1621</v>
      </c>
      <c r="Z123" s="2435"/>
      <c r="AA123" s="2435"/>
      <c r="AB123" s="2435"/>
      <c r="AC123" s="570"/>
      <c r="AD123" s="2435" t="s">
        <v>1622</v>
      </c>
      <c r="AE123" s="2435"/>
      <c r="AF123" s="2435"/>
      <c r="AG123" s="2435"/>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1">
        <v>3005</v>
      </c>
      <c r="F126" s="2472"/>
      <c r="G126" s="2472"/>
      <c r="H126" s="2472"/>
      <c r="I126" s="855"/>
      <c r="J126" s="2472">
        <v>3713</v>
      </c>
      <c r="K126" s="2472"/>
      <c r="L126" s="2472"/>
      <c r="M126" s="2472"/>
      <c r="N126" s="855"/>
      <c r="O126" s="2472">
        <v>4263</v>
      </c>
      <c r="P126" s="2472"/>
      <c r="Q126" s="2472"/>
      <c r="R126" s="2472"/>
      <c r="S126" s="855"/>
      <c r="T126" s="2472"/>
      <c r="U126" s="2472"/>
      <c r="V126" s="2472"/>
      <c r="W126" s="2472"/>
      <c r="X126" s="855"/>
      <c r="Y126" s="2472"/>
      <c r="Z126" s="2472"/>
      <c r="AA126" s="2472"/>
      <c r="AB126" s="2472"/>
      <c r="AC126" s="855"/>
      <c r="AD126" s="2472"/>
      <c r="AE126" s="2472"/>
      <c r="AF126" s="2472"/>
      <c r="AG126" s="2472"/>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5">
        <f>Application!DX678</f>
        <v>2089.5294117647063</v>
      </c>
      <c r="F129" s="2446"/>
      <c r="G129" s="2446"/>
      <c r="H129" s="2446"/>
      <c r="I129" s="855"/>
      <c r="J129" s="2446">
        <f>Application!EC678</f>
        <v>1936.5961538461538</v>
      </c>
      <c r="K129" s="2446"/>
      <c r="L129" s="2446"/>
      <c r="M129" s="2446"/>
      <c r="N129" s="855"/>
      <c r="O129" s="2446">
        <f>Application!EH678</f>
        <v>2200.9545454545455</v>
      </c>
      <c r="P129" s="2446"/>
      <c r="Q129" s="2446"/>
      <c r="R129" s="2446"/>
      <c r="S129" s="859"/>
      <c r="T129" s="2446">
        <f>Application!EM678</f>
        <v>0</v>
      </c>
      <c r="U129" s="2446"/>
      <c r="V129" s="2446"/>
      <c r="W129" s="2446"/>
      <c r="X129" s="859"/>
      <c r="Y129" s="2446">
        <f>Application!ER678</f>
        <v>0</v>
      </c>
      <c r="Z129" s="2446"/>
      <c r="AA129" s="2446"/>
      <c r="AB129" s="2446"/>
      <c r="AC129" s="859"/>
      <c r="AD129" s="2446">
        <f>Application!EW678</f>
        <v>0</v>
      </c>
      <c r="AE129" s="2446"/>
      <c r="AF129" s="2446"/>
      <c r="AG129" s="244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4">
        <f>(E126-E129)/E126</f>
        <v>0.30464911422139557</v>
      </c>
      <c r="F132" s="2437"/>
      <c r="G132" s="2437"/>
      <c r="H132" s="2645"/>
      <c r="I132" s="570"/>
      <c r="J132" s="2644">
        <f>(J126-J129)/J126</f>
        <v>0.47842818372040025</v>
      </c>
      <c r="K132" s="2437"/>
      <c r="L132" s="2437"/>
      <c r="M132" s="2645"/>
      <c r="N132" s="570"/>
      <c r="O132" s="2644">
        <f>(O126-O129)/O126</f>
        <v>0.48370758961891963</v>
      </c>
      <c r="P132" s="2437"/>
      <c r="Q132" s="2437"/>
      <c r="R132" s="2645"/>
      <c r="S132" s="570"/>
      <c r="T132" s="2644" t="e">
        <f>(T126-T129)/T126</f>
        <v>#DIV/0!</v>
      </c>
      <c r="U132" s="2437"/>
      <c r="V132" s="2437"/>
      <c r="W132" s="2645"/>
      <c r="X132" s="570"/>
      <c r="Y132" s="2644" t="e">
        <f>(Y126-Y129)/Y126</f>
        <v>#DIV/0!</v>
      </c>
      <c r="Z132" s="2437"/>
      <c r="AA132" s="2437"/>
      <c r="AB132" s="2645"/>
      <c r="AC132" s="570"/>
      <c r="AD132" s="2644" t="e">
        <f>(AD126-AD129)/AD126</f>
        <v>#DIV/0!</v>
      </c>
      <c r="AE132" s="2437"/>
      <c r="AF132" s="2437"/>
      <c r="AG132" s="26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0">
        <f>IF(((E132-0.1)*AW115)&gt;0,((E132-0.1)*AW115),0)</f>
        <v>3.8231153206194773E-2</v>
      </c>
      <c r="F135" s="2461"/>
      <c r="G135" s="2461"/>
      <c r="H135" s="2462"/>
      <c r="I135" s="570"/>
      <c r="J135" s="2460">
        <f>IF(((J132-0.1)*AW116)&gt;0,((J132-0.1)*AW116),0)</f>
        <v>0.21624467641165726</v>
      </c>
      <c r="K135" s="2461"/>
      <c r="L135" s="2461"/>
      <c r="M135" s="2462"/>
      <c r="N135" s="570"/>
      <c r="O135" s="2460">
        <f>IF(((O132-0.1)*AW117)&gt;0,((O132-0.1)*AW117),0)</f>
        <v>9.2764472215562985E-2</v>
      </c>
      <c r="P135" s="2461"/>
      <c r="Q135" s="2461"/>
      <c r="R135" s="2462"/>
      <c r="S135" s="570"/>
      <c r="T135" s="2460" t="e">
        <f>IF(((T132-0.1)*AW118)&gt;0,((T132-0.1)*AW118),0)</f>
        <v>#DIV/0!</v>
      </c>
      <c r="U135" s="2461"/>
      <c r="V135" s="2461"/>
      <c r="W135" s="2462"/>
      <c r="X135" s="570"/>
      <c r="Y135" s="2460" t="e">
        <f>IF(((Y132-0.1)*AW119)&gt;0,((Y132-0.1)*AW119),0)</f>
        <v>#DIV/0!</v>
      </c>
      <c r="Z135" s="2461"/>
      <c r="AA135" s="2461"/>
      <c r="AB135" s="2462"/>
      <c r="AC135" s="570"/>
      <c r="AD135" s="2460" t="e">
        <f>IF(((AD132-0.1)*AW120)&gt;0,((AD132-0.1)*AW120),0)</f>
        <v>#DIV/0!</v>
      </c>
      <c r="AE135" s="2461"/>
      <c r="AF135" s="2461"/>
      <c r="AG135" s="246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4">
        <f>ROUNDDOWN(SUMIF(E135:AG135,"&gt;0"),2)</f>
        <v>0.34</v>
      </c>
      <c r="F137" s="2437"/>
      <c r="G137" s="2437"/>
      <c r="H137" s="264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1">
        <f>IF((E137*100)&gt;10,10,E137*100)</f>
        <v>10</v>
      </c>
      <c r="F138" s="2452"/>
      <c r="G138" s="2452"/>
      <c r="H138" s="245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51">
        <f>E138</f>
        <v>10</v>
      </c>
      <c r="AL142" s="2452"/>
      <c r="AM142" s="245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40" t="s">
        <v>1307</v>
      </c>
      <c r="AF145" s="2440"/>
      <c r="AG145" s="2440"/>
      <c r="AH145" s="2440"/>
      <c r="AI145" s="2440"/>
      <c r="AJ145" s="2440"/>
      <c r="AK145" s="2440"/>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3" t="s">
        <v>1331</v>
      </c>
      <c r="AG147" s="2473"/>
      <c r="AH147" s="2473"/>
      <c r="AI147" s="2473"/>
      <c r="AJ147" s="2473"/>
      <c r="AK147" s="2473"/>
      <c r="AL147" s="2473"/>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3" t="s">
        <v>2820</v>
      </c>
      <c r="C149" s="2483"/>
      <c r="D149" s="2483"/>
      <c r="E149" s="2483"/>
      <c r="F149" s="2483"/>
      <c r="G149" s="2483"/>
      <c r="H149" s="2483"/>
      <c r="I149" s="2483"/>
      <c r="J149" s="2483"/>
      <c r="K149" s="2483"/>
      <c r="L149" s="2483"/>
      <c r="M149" s="2483"/>
      <c r="N149" s="2483"/>
      <c r="O149" s="2483"/>
      <c r="P149" s="2483"/>
      <c r="Q149" s="2483"/>
      <c r="R149" s="2483"/>
      <c r="S149" s="2483"/>
      <c r="T149" s="2483"/>
      <c r="U149" s="2483"/>
      <c r="V149" s="2483"/>
      <c r="W149" s="2483"/>
      <c r="X149" s="2483"/>
      <c r="Y149" s="2483"/>
      <c r="Z149" s="2483"/>
      <c r="AA149" s="2483"/>
      <c r="AB149" s="2483"/>
      <c r="AC149" s="248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4" t="s">
        <v>1334</v>
      </c>
      <c r="C152" s="2484"/>
      <c r="D152" s="2484"/>
      <c r="E152" s="2484"/>
      <c r="F152" s="2484"/>
      <c r="G152" s="2484"/>
      <c r="H152" s="2484"/>
      <c r="I152" s="2484"/>
      <c r="J152" s="2484"/>
      <c r="K152" s="2484"/>
      <c r="L152" s="2484"/>
      <c r="M152" s="2484"/>
      <c r="N152" s="2484"/>
      <c r="O152" s="2484"/>
      <c r="P152" s="2484"/>
      <c r="Q152" s="2484"/>
      <c r="R152" s="2484"/>
      <c r="S152" s="2484"/>
      <c r="T152" s="2484"/>
      <c r="U152" s="2484"/>
      <c r="V152" s="2484"/>
      <c r="W152" s="2484"/>
      <c r="X152" s="2484"/>
      <c r="Y152" s="2484"/>
      <c r="Z152" s="2484"/>
      <c r="AA152" s="2484"/>
      <c r="AB152" s="2484"/>
      <c r="AC152" s="2484"/>
      <c r="AD152" s="2484"/>
      <c r="AE152" s="2484"/>
      <c r="AF152" s="2484"/>
      <c r="AG152" s="2484"/>
      <c r="AH152" s="2484"/>
      <c r="AI152" s="2484"/>
      <c r="AM152" s="535"/>
      <c r="AN152" s="531"/>
      <c r="AO152" s="472" t="s">
        <v>1334</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5" t="s">
        <v>591</v>
      </c>
      <c r="AC154" s="248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4" t="s">
        <v>1336</v>
      </c>
      <c r="C157" s="2484"/>
      <c r="D157" s="2484"/>
      <c r="E157" s="2484"/>
      <c r="F157" s="2484"/>
      <c r="G157" s="2484"/>
      <c r="H157" s="2484"/>
      <c r="I157" s="2484"/>
      <c r="J157" s="2484"/>
      <c r="K157" s="2484"/>
      <c r="L157" s="2484"/>
      <c r="M157" s="2484"/>
      <c r="N157" s="2484"/>
      <c r="O157" s="2484"/>
      <c r="P157" s="2484"/>
      <c r="Q157" s="2484"/>
      <c r="R157" s="2484"/>
      <c r="S157" s="2484"/>
      <c r="T157" s="2484"/>
      <c r="U157" s="2484"/>
      <c r="V157" s="2484"/>
      <c r="W157" s="2484"/>
      <c r="X157" s="2484"/>
      <c r="Y157" s="2484"/>
      <c r="Z157" s="2484"/>
      <c r="AA157" s="2484"/>
      <c r="AB157" s="2484"/>
      <c r="AC157" s="2484"/>
      <c r="AD157" s="2484"/>
      <c r="AE157" s="2484"/>
      <c r="AF157" s="2484"/>
      <c r="AG157" s="2484"/>
      <c r="AH157" s="2484"/>
      <c r="AI157" s="2484"/>
      <c r="AJ157" s="2484"/>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9" t="s">
        <v>2400</v>
      </c>
      <c r="C160" s="2649"/>
      <c r="D160" s="2649"/>
      <c r="E160" s="2649"/>
      <c r="F160" s="2649"/>
      <c r="G160" s="2649"/>
      <c r="H160" s="2649"/>
      <c r="I160" s="2649"/>
      <c r="J160" s="2649"/>
      <c r="K160" s="2649"/>
      <c r="L160" s="2649"/>
      <c r="M160" s="2649"/>
      <c r="N160" s="2649"/>
      <c r="O160" s="2649"/>
      <c r="P160" s="2649"/>
      <c r="Q160" s="2649"/>
      <c r="R160" s="2649"/>
      <c r="S160" s="2649"/>
      <c r="T160" s="2649"/>
      <c r="U160" s="2649"/>
      <c r="V160" s="2649"/>
      <c r="W160" s="2649"/>
      <c r="X160" s="2649"/>
      <c r="Y160" s="2649"/>
      <c r="Z160" s="2649"/>
      <c r="AA160" s="2649"/>
      <c r="AB160" s="2649"/>
      <c r="AC160" s="2649"/>
      <c r="AD160" s="2649"/>
      <c r="AE160" s="2649"/>
      <c r="AF160" s="2649"/>
      <c r="AG160" s="2649"/>
      <c r="AH160" s="2649"/>
      <c r="AI160" s="2649"/>
      <c r="AJ160" s="2649"/>
      <c r="AK160" s="1168"/>
      <c r="AM160" s="535"/>
      <c r="AN160" s="531"/>
      <c r="AO160" s="472"/>
      <c r="AP160" s="485"/>
    </row>
    <row r="161" spans="1:42" s="532" customFormat="1" ht="12.75" customHeight="1">
      <c r="B161" s="2649"/>
      <c r="C161" s="2649"/>
      <c r="D161" s="2649"/>
      <c r="E161" s="2649"/>
      <c r="F161" s="2649"/>
      <c r="G161" s="2649"/>
      <c r="H161" s="2649"/>
      <c r="I161" s="2649"/>
      <c r="J161" s="2649"/>
      <c r="K161" s="2649"/>
      <c r="L161" s="2649"/>
      <c r="M161" s="2649"/>
      <c r="N161" s="2649"/>
      <c r="O161" s="2649"/>
      <c r="P161" s="2649"/>
      <c r="Q161" s="2649"/>
      <c r="R161" s="2649"/>
      <c r="S161" s="2649"/>
      <c r="T161" s="2649"/>
      <c r="U161" s="2649"/>
      <c r="V161" s="2649"/>
      <c r="W161" s="2649"/>
      <c r="X161" s="2649"/>
      <c r="Y161" s="2649"/>
      <c r="Z161" s="2649"/>
      <c r="AA161" s="2649"/>
      <c r="AB161" s="2649"/>
      <c r="AC161" s="2649"/>
      <c r="AD161" s="2649"/>
      <c r="AE161" s="2649"/>
      <c r="AF161" s="2649"/>
      <c r="AG161" s="2649"/>
      <c r="AH161" s="2649"/>
      <c r="AI161" s="2649"/>
      <c r="AJ161" s="2649"/>
      <c r="AK161" s="1168"/>
      <c r="AM161" s="535"/>
      <c r="AN161" s="531"/>
      <c r="AO161" s="472"/>
      <c r="AP161" s="485"/>
    </row>
    <row r="162" spans="1:42" s="532" customFormat="1" ht="12.75" customHeight="1">
      <c r="C162" s="2560" t="s">
        <v>2401</v>
      </c>
      <c r="D162" s="2560"/>
      <c r="E162" s="2560"/>
      <c r="F162" s="2560"/>
      <c r="G162" s="2560"/>
      <c r="H162" s="2560"/>
      <c r="I162" s="2560"/>
      <c r="J162" s="2560"/>
      <c r="K162" s="2560"/>
      <c r="L162" s="2560"/>
      <c r="M162" s="2560"/>
      <c r="N162" s="2560"/>
      <c r="O162" s="2560"/>
      <c r="P162" s="2560"/>
      <c r="Q162" s="2560"/>
      <c r="R162" s="2560"/>
      <c r="S162" s="2560"/>
      <c r="T162" s="2560"/>
      <c r="U162" s="2560"/>
      <c r="V162" s="2560"/>
      <c r="W162" s="2560"/>
      <c r="X162" s="2560"/>
      <c r="Y162" s="2560"/>
      <c r="Z162" s="2560"/>
      <c r="AA162" s="2560"/>
      <c r="AB162" s="2560"/>
      <c r="AC162" s="2560"/>
      <c r="AD162" s="2560"/>
      <c r="AE162" s="2560"/>
      <c r="AF162" s="2560"/>
      <c r="AG162" s="2560"/>
      <c r="AH162" s="2560"/>
      <c r="AI162" s="2560"/>
      <c r="AJ162" s="2560"/>
      <c r="AK162" s="1168"/>
      <c r="AM162" s="535"/>
      <c r="AN162" s="531"/>
      <c r="AO162" s="472"/>
      <c r="AP162" s="485"/>
    </row>
    <row r="163" spans="1:42" s="532" customFormat="1" ht="12.75" customHeight="1">
      <c r="B163" s="1168"/>
      <c r="C163" s="2482" t="s">
        <v>2399</v>
      </c>
      <c r="D163" s="2482"/>
      <c r="E163" s="2482"/>
      <c r="F163" s="2482"/>
      <c r="G163" s="2482"/>
      <c r="H163" s="2482"/>
      <c r="I163" s="2482"/>
      <c r="J163" s="2482"/>
      <c r="K163" s="2482"/>
      <c r="L163" s="2482"/>
      <c r="M163" s="2482"/>
      <c r="N163" s="2482"/>
      <c r="O163" s="2482"/>
      <c r="P163" s="2482"/>
      <c r="Q163" s="2482"/>
      <c r="R163" s="2482"/>
      <c r="S163" s="2482"/>
      <c r="T163" s="2482"/>
      <c r="U163" s="2482"/>
      <c r="V163" s="2482"/>
      <c r="W163" s="2482"/>
      <c r="X163" s="2482"/>
      <c r="Y163" s="2482"/>
      <c r="Z163" s="2482"/>
      <c r="AA163" s="1158"/>
      <c r="AB163" s="1158"/>
      <c r="AC163" s="1158"/>
      <c r="AD163" s="1158"/>
      <c r="AE163" s="1158"/>
      <c r="AF163" s="1158"/>
      <c r="AG163" s="1158"/>
      <c r="AH163" s="1158"/>
      <c r="AJ163" s="2485" t="s">
        <v>591</v>
      </c>
      <c r="AK163" s="248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8">
        <f>IF($AB$154="N/A",VLOOKUP($B$152,$AO$150:$AP$153,2,FALSE),VLOOKUP($B$157,$AO$155:$AP$157,2,FALSE))</f>
        <v>7</v>
      </c>
      <c r="AK165" s="2488"/>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3" t="s">
        <v>1345</v>
      </c>
      <c r="AG167" s="2473"/>
      <c r="AH167" s="2473"/>
      <c r="AI167" s="2473"/>
      <c r="AJ167" s="2473"/>
      <c r="AK167" s="2473"/>
      <c r="AL167" s="2473"/>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4" t="s">
        <v>1343</v>
      </c>
      <c r="D169" s="2484"/>
      <c r="E169" s="2484"/>
      <c r="F169" s="2484"/>
      <c r="G169" s="2484"/>
      <c r="H169" s="2484"/>
      <c r="I169" s="2484"/>
      <c r="J169" s="2484"/>
      <c r="K169" s="2484"/>
      <c r="L169" s="2484"/>
      <c r="M169" s="2484"/>
      <c r="N169" s="2484"/>
      <c r="O169" s="2484"/>
      <c r="P169" s="2484"/>
      <c r="Q169" s="2484"/>
      <c r="R169" s="2484"/>
      <c r="S169" s="2484"/>
      <c r="T169" s="2484"/>
      <c r="U169" s="2484"/>
      <c r="V169" s="2484"/>
      <c r="W169" s="2484"/>
      <c r="X169" s="2484"/>
      <c r="Y169" s="2484"/>
      <c r="Z169" s="2484"/>
      <c r="AA169" s="2484"/>
      <c r="AB169" s="2484"/>
      <c r="AC169" s="2484"/>
      <c r="AD169" s="2484"/>
      <c r="AE169" s="2484"/>
      <c r="AF169" s="2484"/>
      <c r="AG169" s="2484"/>
      <c r="AH169" s="2484"/>
      <c r="AI169" s="2484"/>
      <c r="AJ169" s="532"/>
      <c r="AK169" s="532"/>
      <c r="AL169" s="532"/>
      <c r="AM169" s="596"/>
      <c r="AN169" s="590"/>
      <c r="AO169" s="472" t="s">
        <v>307</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5" t="s">
        <v>591</v>
      </c>
      <c r="AG171" s="248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4" t="s">
        <v>1336</v>
      </c>
      <c r="D173" s="2484"/>
      <c r="E173" s="2484"/>
      <c r="F173" s="2484"/>
      <c r="G173" s="2484"/>
      <c r="H173" s="2484"/>
      <c r="I173" s="2484"/>
      <c r="J173" s="2484"/>
      <c r="K173" s="2484"/>
      <c r="L173" s="2484"/>
      <c r="M173" s="2484"/>
      <c r="N173" s="2484"/>
      <c r="O173" s="2484"/>
      <c r="P173" s="2484"/>
      <c r="Q173" s="2484"/>
      <c r="R173" s="2484"/>
      <c r="S173" s="2484"/>
      <c r="T173" s="2484"/>
      <c r="U173" s="2484"/>
      <c r="V173" s="2484"/>
      <c r="W173" s="2484"/>
      <c r="X173" s="2484"/>
      <c r="Y173" s="2484"/>
      <c r="Z173" s="2484"/>
      <c r="AA173" s="2484"/>
      <c r="AB173" s="2484"/>
      <c r="AC173" s="2484"/>
      <c r="AD173" s="2484"/>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6" t="str">
        <f>Application!AA344</f>
        <v>Greystar California, Inc.</v>
      </c>
      <c r="D177" s="2486"/>
      <c r="E177" s="2486"/>
      <c r="F177" s="2486"/>
      <c r="G177" s="2486"/>
      <c r="H177" s="2486"/>
      <c r="I177" s="2486"/>
      <c r="J177" s="2486"/>
      <c r="K177" s="2486"/>
      <c r="L177" s="2486"/>
      <c r="M177" s="2486"/>
      <c r="N177" s="2486"/>
      <c r="O177" s="2486"/>
      <c r="P177" s="2486"/>
      <c r="Q177" s="2486"/>
      <c r="R177" s="2486"/>
      <c r="S177" s="2486"/>
      <c r="T177" s="2486"/>
      <c r="U177" s="2486"/>
      <c r="V177" s="2486"/>
      <c r="W177" s="2486"/>
      <c r="X177" s="2486"/>
      <c r="Y177" s="2486"/>
      <c r="Z177" s="2486"/>
      <c r="AA177" s="2486"/>
      <c r="AB177" s="2486"/>
      <c r="AC177" s="2486"/>
      <c r="AD177" s="2486"/>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7">
        <f>IF($AF$171="N/A",VLOOKUP($C$169,$AO$169:$AP$172,2,FALSE),VLOOKUP($C$173,$AO$176:$AP$178,2,FALSE))</f>
        <v>3</v>
      </c>
      <c r="AK179" s="2487"/>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51">
        <f>$AJ$165+$AJ$179</f>
        <v>10</v>
      </c>
      <c r="AL182" s="2452"/>
      <c r="AM182" s="245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0" t="s">
        <v>1307</v>
      </c>
      <c r="AF185" s="2440"/>
      <c r="AG185" s="2440"/>
      <c r="AH185" s="2440"/>
      <c r="AI185" s="2440"/>
      <c r="AJ185" s="2440"/>
      <c r="AK185" s="244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81" t="s">
        <v>1041</v>
      </c>
      <c r="C187" s="2481"/>
      <c r="D187" s="2481"/>
      <c r="E187" s="2481"/>
      <c r="F187" s="2481"/>
      <c r="G187" s="2481"/>
      <c r="H187" s="2481"/>
      <c r="I187" s="2481"/>
      <c r="J187" s="2481"/>
      <c r="K187" s="2481"/>
      <c r="L187" s="2481"/>
      <c r="M187" s="2481"/>
      <c r="N187" s="2481"/>
      <c r="O187" s="2481"/>
      <c r="P187" s="2481"/>
      <c r="Q187" s="2481"/>
      <c r="R187" s="2481"/>
      <c r="S187" s="2481"/>
      <c r="T187" s="2481"/>
      <c r="U187" s="2481"/>
      <c r="V187" s="2481"/>
      <c r="W187" s="2481"/>
      <c r="X187" s="2481"/>
      <c r="Y187" s="2481"/>
      <c r="Z187" s="2481"/>
      <c r="AA187" s="2481"/>
      <c r="AB187" s="2481"/>
      <c r="AC187" s="2481"/>
      <c r="AD187" s="532"/>
      <c r="AE187" s="532"/>
      <c r="AF187" s="2473" t="s">
        <v>1356</v>
      </c>
      <c r="AG187" s="2473"/>
      <c r="AH187" s="2473"/>
      <c r="AI187" s="2473"/>
      <c r="AJ187" s="2473"/>
      <c r="AK187" s="2473"/>
      <c r="AL187" s="2473"/>
      <c r="AN187" s="590"/>
      <c r="AP187" s="544" t="s">
        <v>1043</v>
      </c>
      <c r="AQ187" s="544">
        <v>10</v>
      </c>
    </row>
    <row r="188" spans="1:73" s="544" customFormat="1" ht="12.75" customHeight="1">
      <c r="A188" s="532"/>
      <c r="B188" s="2482" t="s">
        <v>1714</v>
      </c>
      <c r="C188" s="2482"/>
      <c r="D188" s="2482"/>
      <c r="E188" s="2482"/>
      <c r="F188" s="2482"/>
      <c r="G188" s="2482"/>
      <c r="H188" s="2482"/>
      <c r="I188" s="2482"/>
      <c r="J188" s="2482"/>
      <c r="K188" s="2482"/>
      <c r="L188" s="2482"/>
      <c r="M188" s="2482"/>
      <c r="N188" s="2482"/>
      <c r="O188" s="2482"/>
      <c r="P188" s="2482"/>
      <c r="Q188" s="2482"/>
      <c r="R188" s="2482"/>
      <c r="S188" s="2482"/>
      <c r="T188" s="2483" t="s">
        <v>591</v>
      </c>
      <c r="U188" s="2483"/>
      <c r="V188" s="2483"/>
      <c r="W188" s="2483"/>
      <c r="X188" s="2483"/>
      <c r="Y188" s="2483"/>
      <c r="Z188" s="2483"/>
      <c r="AA188" s="2483"/>
      <c r="AB188" s="2483"/>
      <c r="AC188" s="2483"/>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8">
        <f>IF(AK83&gt;0,VLOOKUP($B$187,AP184:AQ190,2,FALSE),0)</f>
        <v>10</v>
      </c>
      <c r="AL190" s="2499"/>
      <c r="AM190" s="250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0" t="s">
        <v>1364</v>
      </c>
      <c r="AF193" s="2440"/>
      <c r="AG193" s="2440"/>
      <c r="AH193" s="2440"/>
      <c r="AI193" s="2440"/>
      <c r="AJ193" s="2440"/>
      <c r="AK193" s="244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5"/>
      <c r="C198" s="2475"/>
      <c r="D198" s="2475"/>
      <c r="E198" s="2475"/>
      <c r="F198" s="2475"/>
      <c r="G198" s="2475"/>
      <c r="H198" s="2475"/>
      <c r="I198" s="2475"/>
      <c r="J198" s="2475"/>
      <c r="K198" s="2475"/>
      <c r="L198" s="2475"/>
      <c r="M198" s="2475"/>
      <c r="N198" s="2475"/>
      <c r="O198" s="2475"/>
      <c r="P198" s="2475"/>
      <c r="Q198" s="2475"/>
      <c r="R198" s="2475"/>
      <c r="S198" s="2475"/>
      <c r="T198" s="2475"/>
      <c r="U198" s="2475"/>
      <c r="V198" s="2475"/>
      <c r="W198" s="2475"/>
      <c r="X198" s="2475"/>
      <c r="Y198" s="2475"/>
      <c r="Z198" s="2475"/>
      <c r="AA198" s="2475"/>
      <c r="AB198" s="2475"/>
      <c r="AC198" s="837"/>
      <c r="AD198" s="2476"/>
      <c r="AE198" s="2476"/>
      <c r="AF198" s="2476"/>
      <c r="AG198" s="2476"/>
      <c r="AH198" s="2476"/>
      <c r="AI198" s="2476"/>
      <c r="AJ198" s="2476"/>
      <c r="AK198" s="603"/>
    </row>
    <row r="199" spans="1:37" hidden="1">
      <c r="A199" s="598"/>
      <c r="B199" s="2475"/>
      <c r="C199" s="2475"/>
      <c r="D199" s="2475"/>
      <c r="E199" s="2475"/>
      <c r="F199" s="2475"/>
      <c r="G199" s="2475"/>
      <c r="H199" s="2475"/>
      <c r="I199" s="2475"/>
      <c r="J199" s="2475"/>
      <c r="K199" s="2475"/>
      <c r="L199" s="2475"/>
      <c r="M199" s="2475"/>
      <c r="N199" s="2475"/>
      <c r="O199" s="2475"/>
      <c r="P199" s="2475"/>
      <c r="Q199" s="2475"/>
      <c r="R199" s="2475"/>
      <c r="S199" s="2475"/>
      <c r="T199" s="2475"/>
      <c r="U199" s="2475"/>
      <c r="V199" s="2475"/>
      <c r="W199" s="2475"/>
      <c r="X199" s="2475"/>
      <c r="Y199" s="2475"/>
      <c r="Z199" s="2475"/>
      <c r="AA199" s="2475"/>
      <c r="AB199" s="2475"/>
      <c r="AC199" s="837"/>
      <c r="AD199" s="2476"/>
      <c r="AE199" s="2476"/>
      <c r="AF199" s="2476"/>
      <c r="AG199" s="2476"/>
      <c r="AH199" s="2476"/>
      <c r="AI199" s="2476"/>
      <c r="AJ199" s="2476"/>
      <c r="AK199" s="603"/>
    </row>
    <row r="200" spans="1:37" hidden="1">
      <c r="A200" s="598"/>
      <c r="B200" s="2475"/>
      <c r="C200" s="2475"/>
      <c r="D200" s="2475"/>
      <c r="E200" s="2475"/>
      <c r="F200" s="2475"/>
      <c r="G200" s="2475"/>
      <c r="H200" s="2475"/>
      <c r="I200" s="2475"/>
      <c r="J200" s="2475"/>
      <c r="K200" s="2475"/>
      <c r="L200" s="2475"/>
      <c r="M200" s="2475"/>
      <c r="N200" s="2475"/>
      <c r="O200" s="2475"/>
      <c r="P200" s="2475"/>
      <c r="Q200" s="2475"/>
      <c r="R200" s="2475"/>
      <c r="S200" s="2475"/>
      <c r="T200" s="2475"/>
      <c r="U200" s="2475"/>
      <c r="V200" s="2475"/>
      <c r="W200" s="2475"/>
      <c r="X200" s="2475"/>
      <c r="Y200" s="2475"/>
      <c r="Z200" s="2475"/>
      <c r="AA200" s="2475"/>
      <c r="AB200" s="2475"/>
      <c r="AC200" s="837"/>
      <c r="AD200" s="2476"/>
      <c r="AE200" s="2476"/>
      <c r="AF200" s="2476"/>
      <c r="AG200" s="2476"/>
      <c r="AH200" s="2476"/>
      <c r="AI200" s="2476"/>
      <c r="AJ200" s="2476"/>
      <c r="AK200" s="603"/>
    </row>
    <row r="201" spans="1:37" hidden="1">
      <c r="A201" s="598"/>
      <c r="B201" s="2475"/>
      <c r="C201" s="2475"/>
      <c r="D201" s="2475"/>
      <c r="E201" s="2475"/>
      <c r="F201" s="2475"/>
      <c r="G201" s="2475"/>
      <c r="H201" s="2475"/>
      <c r="I201" s="2475"/>
      <c r="J201" s="2475"/>
      <c r="K201" s="2475"/>
      <c r="L201" s="2475"/>
      <c r="M201" s="2475"/>
      <c r="N201" s="2475"/>
      <c r="O201" s="2475"/>
      <c r="P201" s="2475"/>
      <c r="Q201" s="2475"/>
      <c r="R201" s="2475"/>
      <c r="S201" s="2475"/>
      <c r="T201" s="2475"/>
      <c r="U201" s="2475"/>
      <c r="V201" s="2475"/>
      <c r="W201" s="2475"/>
      <c r="X201" s="2475"/>
      <c r="Y201" s="2475"/>
      <c r="Z201" s="2475"/>
      <c r="AA201" s="2475"/>
      <c r="AB201" s="2475"/>
      <c r="AC201" s="837"/>
      <c r="AD201" s="2476"/>
      <c r="AE201" s="2476"/>
      <c r="AF201" s="2476"/>
      <c r="AG201" s="2476"/>
      <c r="AH201" s="2476"/>
      <c r="AI201" s="2476"/>
      <c r="AJ201" s="2476"/>
      <c r="AK201" s="603"/>
    </row>
    <row r="202" spans="1:37" hidden="1">
      <c r="A202" s="598"/>
      <c r="B202" s="2475"/>
      <c r="C202" s="2475"/>
      <c r="D202" s="2475"/>
      <c r="E202" s="2475"/>
      <c r="F202" s="2475"/>
      <c r="G202" s="2475"/>
      <c r="H202" s="2475"/>
      <c r="I202" s="2475"/>
      <c r="J202" s="2475"/>
      <c r="K202" s="2475"/>
      <c r="L202" s="2475"/>
      <c r="M202" s="2475"/>
      <c r="N202" s="2475"/>
      <c r="O202" s="2475"/>
      <c r="P202" s="2475"/>
      <c r="Q202" s="2475"/>
      <c r="R202" s="2475"/>
      <c r="S202" s="2475"/>
      <c r="T202" s="2475"/>
      <c r="U202" s="2475"/>
      <c r="V202" s="2475"/>
      <c r="W202" s="2475"/>
      <c r="X202" s="2475"/>
      <c r="Y202" s="2475"/>
      <c r="Z202" s="2475"/>
      <c r="AA202" s="2475"/>
      <c r="AB202" s="2475"/>
      <c r="AC202" s="837"/>
      <c r="AD202" s="2476"/>
      <c r="AE202" s="2476"/>
      <c r="AF202" s="2476"/>
      <c r="AG202" s="2476"/>
      <c r="AH202" s="2476"/>
      <c r="AI202" s="2476"/>
      <c r="AJ202" s="2476"/>
      <c r="AK202" s="603"/>
    </row>
    <row r="203" spans="1:37" hidden="1">
      <c r="A203" s="598"/>
      <c r="B203" s="2475"/>
      <c r="C203" s="2475"/>
      <c r="D203" s="2475"/>
      <c r="E203" s="2475"/>
      <c r="F203" s="2475"/>
      <c r="G203" s="2475"/>
      <c r="H203" s="2475"/>
      <c r="I203" s="2475"/>
      <c r="J203" s="2475"/>
      <c r="K203" s="2475"/>
      <c r="L203" s="2475"/>
      <c r="M203" s="2475"/>
      <c r="N203" s="2475"/>
      <c r="O203" s="2475"/>
      <c r="P203" s="2475"/>
      <c r="Q203" s="2475"/>
      <c r="R203" s="2475"/>
      <c r="S203" s="2475"/>
      <c r="T203" s="2475"/>
      <c r="U203" s="2475"/>
      <c r="V203" s="2475"/>
      <c r="W203" s="2475"/>
      <c r="X203" s="2475"/>
      <c r="Y203" s="2475"/>
      <c r="Z203" s="2475"/>
      <c r="AA203" s="2475"/>
      <c r="AB203" s="2475"/>
      <c r="AC203" s="837"/>
      <c r="AD203" s="2476"/>
      <c r="AE203" s="2476"/>
      <c r="AF203" s="2476"/>
      <c r="AG203" s="2476"/>
      <c r="AH203" s="2476"/>
      <c r="AI203" s="2476"/>
      <c r="AJ203" s="2476"/>
      <c r="AK203" s="603"/>
    </row>
    <row r="204" spans="1:37" hidden="1">
      <c r="A204" s="598"/>
      <c r="B204" s="2475"/>
      <c r="C204" s="2475"/>
      <c r="D204" s="2475"/>
      <c r="E204" s="2475"/>
      <c r="F204" s="2475"/>
      <c r="G204" s="2475"/>
      <c r="H204" s="2475"/>
      <c r="I204" s="2475"/>
      <c r="J204" s="2475"/>
      <c r="K204" s="2475"/>
      <c r="L204" s="2475"/>
      <c r="M204" s="2475"/>
      <c r="N204" s="2475"/>
      <c r="O204" s="2475"/>
      <c r="P204" s="2475"/>
      <c r="Q204" s="2475"/>
      <c r="R204" s="2475"/>
      <c r="S204" s="2475"/>
      <c r="T204" s="2475"/>
      <c r="U204" s="2475"/>
      <c r="V204" s="2475"/>
      <c r="W204" s="2475"/>
      <c r="X204" s="2475"/>
      <c r="Y204" s="2475"/>
      <c r="Z204" s="2475"/>
      <c r="AA204" s="2475"/>
      <c r="AB204" s="2475"/>
      <c r="AC204" s="837"/>
      <c r="AD204" s="2476"/>
      <c r="AE204" s="2476"/>
      <c r="AF204" s="2476"/>
      <c r="AG204" s="2476"/>
      <c r="AH204" s="2476"/>
      <c r="AI204" s="2476"/>
      <c r="AJ204" s="2476"/>
      <c r="AK204" s="603"/>
    </row>
    <row r="205" spans="1:37" hidden="1">
      <c r="A205" s="598"/>
      <c r="B205" s="2475"/>
      <c r="C205" s="2475"/>
      <c r="D205" s="2475"/>
      <c r="E205" s="2475"/>
      <c r="F205" s="2475"/>
      <c r="G205" s="2475"/>
      <c r="H205" s="2475"/>
      <c r="I205" s="2475"/>
      <c r="J205" s="2475"/>
      <c r="K205" s="2475"/>
      <c r="L205" s="2475"/>
      <c r="M205" s="2475"/>
      <c r="N205" s="2475"/>
      <c r="O205" s="2475"/>
      <c r="P205" s="2475"/>
      <c r="Q205" s="2475"/>
      <c r="R205" s="2475"/>
      <c r="S205" s="2475"/>
      <c r="T205" s="2475"/>
      <c r="U205" s="2475"/>
      <c r="V205" s="2475"/>
      <c r="W205" s="2475"/>
      <c r="X205" s="2475"/>
      <c r="Y205" s="2475"/>
      <c r="Z205" s="2475"/>
      <c r="AA205" s="2475"/>
      <c r="AB205" s="2475"/>
      <c r="AC205" s="837"/>
      <c r="AD205" s="2476"/>
      <c r="AE205" s="2476"/>
      <c r="AF205" s="2476"/>
      <c r="AG205" s="2476"/>
      <c r="AH205" s="2476"/>
      <c r="AI205" s="2476"/>
      <c r="AJ205" s="2476"/>
      <c r="AK205" s="603"/>
    </row>
    <row r="206" spans="1:37" hidden="1">
      <c r="A206" s="598"/>
      <c r="B206" s="2475"/>
      <c r="C206" s="2475"/>
      <c r="D206" s="2475"/>
      <c r="E206" s="2475"/>
      <c r="F206" s="2475"/>
      <c r="G206" s="2475"/>
      <c r="H206" s="2475"/>
      <c r="I206" s="2475"/>
      <c r="J206" s="2475"/>
      <c r="K206" s="2475"/>
      <c r="L206" s="2475"/>
      <c r="M206" s="2475"/>
      <c r="N206" s="2475"/>
      <c r="O206" s="2475"/>
      <c r="P206" s="2475"/>
      <c r="Q206" s="2475"/>
      <c r="R206" s="2475"/>
      <c r="S206" s="2475"/>
      <c r="T206" s="2475"/>
      <c r="U206" s="2475"/>
      <c r="V206" s="2475"/>
      <c r="W206" s="2475"/>
      <c r="X206" s="2475"/>
      <c r="Y206" s="2475"/>
      <c r="Z206" s="2475"/>
      <c r="AA206" s="2475"/>
      <c r="AB206" s="2475"/>
      <c r="AC206" s="837"/>
      <c r="AD206" s="2476"/>
      <c r="AE206" s="2476"/>
      <c r="AF206" s="2476"/>
      <c r="AG206" s="2476"/>
      <c r="AH206" s="2476"/>
      <c r="AI206" s="2476"/>
      <c r="AJ206" s="2476"/>
      <c r="AK206" s="603"/>
    </row>
    <row r="207" spans="1:37" hidden="1">
      <c r="A207" s="598"/>
      <c r="B207" s="2475"/>
      <c r="C207" s="2475"/>
      <c r="D207" s="2475"/>
      <c r="E207" s="2475"/>
      <c r="F207" s="2475"/>
      <c r="G207" s="2475"/>
      <c r="H207" s="2475"/>
      <c r="I207" s="2475"/>
      <c r="J207" s="2475"/>
      <c r="K207" s="2475"/>
      <c r="L207" s="2475"/>
      <c r="M207" s="2475"/>
      <c r="N207" s="2475"/>
      <c r="O207" s="2475"/>
      <c r="P207" s="2475"/>
      <c r="Q207" s="2475"/>
      <c r="R207" s="2475"/>
      <c r="S207" s="2475"/>
      <c r="T207" s="2475"/>
      <c r="U207" s="2475"/>
      <c r="V207" s="2475"/>
      <c r="W207" s="2475"/>
      <c r="X207" s="2475"/>
      <c r="Y207" s="2475"/>
      <c r="Z207" s="2475"/>
      <c r="AA207" s="2475"/>
      <c r="AB207" s="2475"/>
      <c r="AC207" s="837"/>
      <c r="AD207" s="2476"/>
      <c r="AE207" s="2476"/>
      <c r="AF207" s="2476"/>
      <c r="AG207" s="2476"/>
      <c r="AH207" s="2476"/>
      <c r="AI207" s="2476"/>
      <c r="AJ207" s="2476"/>
      <c r="AK207" s="603"/>
    </row>
    <row r="208" spans="1:37" hidden="1">
      <c r="A208" s="598"/>
      <c r="B208" s="2522" t="s">
        <v>1615</v>
      </c>
      <c r="C208" s="2522"/>
      <c r="D208" s="2522"/>
      <c r="E208" s="2522"/>
      <c r="F208" s="2522"/>
      <c r="G208" s="2522"/>
      <c r="H208" s="2522"/>
      <c r="I208" s="2522"/>
      <c r="J208" s="2522"/>
      <c r="K208" s="2522"/>
      <c r="L208" s="2522"/>
      <c r="M208" s="2522"/>
      <c r="N208" s="2522"/>
      <c r="O208" s="2522"/>
      <c r="P208" s="2522"/>
      <c r="Q208" s="2522"/>
      <c r="R208" s="2522"/>
      <c r="S208" s="2522"/>
      <c r="T208" s="2522"/>
      <c r="U208" s="2522"/>
      <c r="V208" s="2522"/>
      <c r="W208" s="2522"/>
      <c r="X208" s="2522"/>
      <c r="Y208" s="2522"/>
      <c r="Z208" s="2522"/>
      <c r="AA208" s="2522"/>
      <c r="AB208" s="2522"/>
      <c r="AC208" s="532"/>
      <c r="AD208" s="2505">
        <f>AB259</f>
        <v>0</v>
      </c>
      <c r="AE208" s="2505"/>
      <c r="AF208" s="2505"/>
      <c r="AG208" s="2505"/>
      <c r="AH208" s="2505"/>
      <c r="AI208" s="2505"/>
      <c r="AJ208" s="2505"/>
      <c r="AK208" s="603"/>
    </row>
    <row r="209" spans="1:37" hidden="1">
      <c r="A209" s="598"/>
      <c r="B209" s="2660" t="s">
        <v>1578</v>
      </c>
      <c r="C209" s="2660"/>
      <c r="D209" s="2660"/>
      <c r="E209" s="2660"/>
      <c r="F209" s="2660"/>
      <c r="G209" s="2660"/>
      <c r="H209" s="2660"/>
      <c r="I209" s="2660"/>
      <c r="J209" s="2660"/>
      <c r="K209" s="2660"/>
      <c r="L209" s="2660"/>
      <c r="M209" s="2660"/>
      <c r="N209" s="2660"/>
      <c r="O209" s="2660"/>
      <c r="P209" s="2660"/>
      <c r="Q209" s="2660"/>
      <c r="R209" s="2660"/>
      <c r="S209" s="2660"/>
      <c r="T209" s="2660"/>
      <c r="U209" s="2660"/>
      <c r="V209" s="2660"/>
      <c r="W209" s="2660"/>
      <c r="X209" s="2660"/>
      <c r="Y209" s="2660"/>
      <c r="Z209" s="2660"/>
      <c r="AA209" s="2660"/>
      <c r="AB209" s="2660"/>
      <c r="AC209" s="837"/>
      <c r="AD209" s="2506">
        <f>'Sources and Uses Budget'!B15</f>
        <v>0</v>
      </c>
      <c r="AE209" s="2506"/>
      <c r="AF209" s="2506"/>
      <c r="AG209" s="2506"/>
      <c r="AH209" s="2506"/>
      <c r="AI209" s="2506"/>
      <c r="AJ209" s="2506"/>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10">
        <f>SUM(AD198:AJ208)-AD209</f>
        <v>0</v>
      </c>
      <c r="AE210" s="2510"/>
      <c r="AF210" s="2510"/>
      <c r="AG210" s="2510"/>
      <c r="AH210" s="2510"/>
      <c r="AI210" s="2510"/>
      <c r="AJ210" s="251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9" t="s">
        <v>1595</v>
      </c>
      <c r="J221" s="2479"/>
      <c r="K221" s="2479"/>
      <c r="L221" s="532"/>
      <c r="M221" s="532"/>
      <c r="N221" s="532"/>
      <c r="O221" s="532"/>
      <c r="P221" s="532"/>
      <c r="Q221" s="532"/>
      <c r="R221" s="532"/>
      <c r="S221" s="532"/>
      <c r="T221" s="2647" t="s">
        <v>1589</v>
      </c>
      <c r="U221" s="2647"/>
      <c r="V221" s="2647"/>
      <c r="W221" s="2647"/>
      <c r="X221" s="2647"/>
      <c r="Y221" s="2647"/>
      <c r="Z221" s="840"/>
      <c r="AA221" s="485"/>
      <c r="AB221" s="2474" t="s">
        <v>1590</v>
      </c>
      <c r="AC221" s="2474"/>
      <c r="AD221" s="2474"/>
      <c r="AE221" s="2474"/>
      <c r="AF221" s="2474"/>
      <c r="AG221" s="2474"/>
      <c r="AH221" s="818"/>
      <c r="AI221" s="818"/>
      <c r="AJ221" s="818"/>
      <c r="AK221" s="603"/>
    </row>
    <row r="222" spans="1:37" hidden="1">
      <c r="A222" s="598"/>
      <c r="B222" s="2477" t="s">
        <v>1575</v>
      </c>
      <c r="C222" s="2477"/>
      <c r="D222" s="2477"/>
      <c r="E222" s="2477"/>
      <c r="F222" s="2477"/>
      <c r="G222" s="2477"/>
      <c r="I222" s="2478" t="s">
        <v>1596</v>
      </c>
      <c r="J222" s="2478"/>
      <c r="K222" s="2478"/>
      <c r="L222" s="998"/>
      <c r="N222" s="2468" t="s">
        <v>1591</v>
      </c>
      <c r="O222" s="2468"/>
      <c r="P222" s="2468"/>
      <c r="Q222" s="2468"/>
      <c r="R222" s="2468"/>
      <c r="T222" s="2468" t="s">
        <v>1592</v>
      </c>
      <c r="U222" s="2468"/>
      <c r="V222" s="2468"/>
      <c r="W222" s="2468"/>
      <c r="X222" s="2468"/>
      <c r="Y222" s="2468"/>
      <c r="Z222" s="841"/>
      <c r="AA222" s="485"/>
      <c r="AB222" s="2626" t="s">
        <v>1593</v>
      </c>
      <c r="AC222" s="2626"/>
      <c r="AD222" s="2626"/>
      <c r="AE222" s="2626"/>
      <c r="AF222" s="2626"/>
      <c r="AG222" s="2626"/>
      <c r="AH222" s="818"/>
      <c r="AI222" s="818"/>
      <c r="AJ222" s="818"/>
      <c r="AK222" s="603"/>
    </row>
    <row r="223" spans="1:37" hidden="1">
      <c r="A223" s="598"/>
      <c r="B223" s="2480" t="s">
        <v>1183</v>
      </c>
      <c r="C223" s="2480"/>
      <c r="D223" s="2480"/>
      <c r="E223" s="2480"/>
      <c r="F223" s="2480"/>
      <c r="G223" s="2480"/>
      <c r="H223" s="843"/>
      <c r="I223" s="2466"/>
      <c r="J223" s="2466"/>
      <c r="K223" s="2466"/>
      <c r="L223" s="998"/>
      <c r="N223" s="2521"/>
      <c r="O223" s="2521"/>
      <c r="P223" s="2521"/>
      <c r="Q223" s="2521"/>
      <c r="R223" s="2521"/>
      <c r="T223" s="2625"/>
      <c r="U223" s="2625"/>
      <c r="V223" s="2625"/>
      <c r="W223" s="2625"/>
      <c r="X223" s="2625"/>
      <c r="Y223" s="2625"/>
      <c r="Z223" s="842"/>
      <c r="AA223" s="842"/>
      <c r="AB223" s="2465">
        <f t="shared" ref="AB223:AB232" si="0">MAX(($T223-$N223)*$I223*12,0)</f>
        <v>0</v>
      </c>
      <c r="AC223" s="2465"/>
      <c r="AD223" s="2465"/>
      <c r="AE223" s="2465"/>
      <c r="AF223" s="2465"/>
      <c r="AG223" s="2465"/>
      <c r="AH223" s="818"/>
      <c r="AI223" s="818"/>
      <c r="AJ223" s="818"/>
      <c r="AK223" s="603"/>
    </row>
    <row r="224" spans="1:37" hidden="1">
      <c r="A224" s="598"/>
      <c r="B224" s="2480" t="s">
        <v>1183</v>
      </c>
      <c r="C224" s="2480"/>
      <c r="D224" s="2480"/>
      <c r="E224" s="2480"/>
      <c r="F224" s="2480"/>
      <c r="G224" s="2480"/>
      <c r="I224" s="2466"/>
      <c r="J224" s="2466"/>
      <c r="K224" s="2466"/>
      <c r="L224" s="998"/>
      <c r="N224" s="2521"/>
      <c r="O224" s="2521"/>
      <c r="P224" s="2521"/>
      <c r="Q224" s="2521"/>
      <c r="R224" s="2521"/>
      <c r="T224" s="2625"/>
      <c r="U224" s="2625"/>
      <c r="V224" s="2625"/>
      <c r="W224" s="2625"/>
      <c r="X224" s="2625"/>
      <c r="Y224" s="2625"/>
      <c r="Z224" s="842"/>
      <c r="AA224" s="842"/>
      <c r="AB224" s="2465">
        <f t="shared" si="0"/>
        <v>0</v>
      </c>
      <c r="AC224" s="2465"/>
      <c r="AD224" s="2465"/>
      <c r="AE224" s="2465"/>
      <c r="AF224" s="2465"/>
      <c r="AG224" s="2465"/>
      <c r="AH224" s="818"/>
      <c r="AI224" s="818"/>
      <c r="AJ224" s="818"/>
      <c r="AK224" s="603"/>
    </row>
    <row r="225" spans="1:37" hidden="1">
      <c r="A225" s="598"/>
      <c r="B225" s="2480" t="s">
        <v>1183</v>
      </c>
      <c r="C225" s="2480"/>
      <c r="D225" s="2480"/>
      <c r="E225" s="2480"/>
      <c r="F225" s="2480"/>
      <c r="G225" s="2480"/>
      <c r="I225" s="2466"/>
      <c r="J225" s="2466"/>
      <c r="K225" s="2466"/>
      <c r="L225" s="998"/>
      <c r="N225" s="2521"/>
      <c r="O225" s="2521"/>
      <c r="P225" s="2521"/>
      <c r="Q225" s="2521"/>
      <c r="R225" s="2521"/>
      <c r="T225" s="2625"/>
      <c r="U225" s="2625"/>
      <c r="V225" s="2625"/>
      <c r="W225" s="2625"/>
      <c r="X225" s="2625"/>
      <c r="Y225" s="2625"/>
      <c r="Z225" s="842"/>
      <c r="AA225" s="842"/>
      <c r="AB225" s="2465">
        <f t="shared" si="0"/>
        <v>0</v>
      </c>
      <c r="AC225" s="2465"/>
      <c r="AD225" s="2465"/>
      <c r="AE225" s="2465"/>
      <c r="AF225" s="2465"/>
      <c r="AG225" s="2465"/>
      <c r="AH225" s="818"/>
      <c r="AI225" s="818"/>
      <c r="AJ225" s="818"/>
      <c r="AK225" s="603"/>
    </row>
    <row r="226" spans="1:37" hidden="1">
      <c r="A226" s="598"/>
      <c r="B226" s="2480" t="s">
        <v>1183</v>
      </c>
      <c r="C226" s="2480"/>
      <c r="D226" s="2480"/>
      <c r="E226" s="2480"/>
      <c r="F226" s="2480"/>
      <c r="G226" s="2480"/>
      <c r="I226" s="2466"/>
      <c r="J226" s="2466"/>
      <c r="K226" s="2466"/>
      <c r="L226" s="998"/>
      <c r="N226" s="2521"/>
      <c r="O226" s="2521"/>
      <c r="P226" s="2521"/>
      <c r="Q226" s="2521"/>
      <c r="R226" s="2521"/>
      <c r="T226" s="2625"/>
      <c r="U226" s="2625"/>
      <c r="V226" s="2625"/>
      <c r="W226" s="2625"/>
      <c r="X226" s="2625"/>
      <c r="Y226" s="2625"/>
      <c r="Z226" s="842"/>
      <c r="AA226" s="842"/>
      <c r="AB226" s="2465">
        <f t="shared" si="0"/>
        <v>0</v>
      </c>
      <c r="AC226" s="2465"/>
      <c r="AD226" s="2465"/>
      <c r="AE226" s="2465"/>
      <c r="AF226" s="2465"/>
      <c r="AG226" s="2465"/>
      <c r="AH226" s="818"/>
      <c r="AI226" s="818"/>
      <c r="AJ226" s="818"/>
      <c r="AK226" s="603"/>
    </row>
    <row r="227" spans="1:37" hidden="1">
      <c r="A227" s="598"/>
      <c r="B227" s="2480" t="s">
        <v>1183</v>
      </c>
      <c r="C227" s="2480"/>
      <c r="D227" s="2480"/>
      <c r="E227" s="2480"/>
      <c r="F227" s="2480"/>
      <c r="G227" s="2480"/>
      <c r="I227" s="2466"/>
      <c r="J227" s="2466"/>
      <c r="K227" s="2466"/>
      <c r="L227" s="1005"/>
      <c r="N227" s="2521"/>
      <c r="O227" s="2521"/>
      <c r="P227" s="2521"/>
      <c r="Q227" s="2521"/>
      <c r="R227" s="2521"/>
      <c r="T227" s="2625"/>
      <c r="U227" s="2625"/>
      <c r="V227" s="2625"/>
      <c r="W227" s="2625"/>
      <c r="X227" s="2625"/>
      <c r="Y227" s="2625"/>
      <c r="Z227" s="842"/>
      <c r="AA227" s="842"/>
      <c r="AB227" s="2465">
        <f t="shared" si="0"/>
        <v>0</v>
      </c>
      <c r="AC227" s="2465"/>
      <c r="AD227" s="2465"/>
      <c r="AE227" s="2465"/>
      <c r="AF227" s="2465"/>
      <c r="AG227" s="2465"/>
      <c r="AH227" s="818"/>
      <c r="AI227" s="818"/>
      <c r="AJ227" s="818"/>
      <c r="AK227" s="603"/>
    </row>
    <row r="228" spans="1:37" hidden="1">
      <c r="A228" s="598"/>
      <c r="B228" s="2480" t="s">
        <v>1183</v>
      </c>
      <c r="C228" s="2480"/>
      <c r="D228" s="2480"/>
      <c r="E228" s="2480"/>
      <c r="F228" s="2480"/>
      <c r="G228" s="2480"/>
      <c r="I228" s="2466"/>
      <c r="J228" s="2466"/>
      <c r="K228" s="2466"/>
      <c r="L228" s="1005"/>
      <c r="N228" s="2521"/>
      <c r="O228" s="2521"/>
      <c r="P228" s="2521"/>
      <c r="Q228" s="2521"/>
      <c r="R228" s="2521"/>
      <c r="T228" s="2625"/>
      <c r="U228" s="2625"/>
      <c r="V228" s="2625"/>
      <c r="W228" s="2625"/>
      <c r="X228" s="2625"/>
      <c r="Y228" s="2625"/>
      <c r="Z228" s="842"/>
      <c r="AA228" s="842"/>
      <c r="AB228" s="2465">
        <f t="shared" si="0"/>
        <v>0</v>
      </c>
      <c r="AC228" s="2465"/>
      <c r="AD228" s="2465"/>
      <c r="AE228" s="2465"/>
      <c r="AF228" s="2465"/>
      <c r="AG228" s="2465"/>
      <c r="AH228" s="818"/>
      <c r="AI228" s="818"/>
      <c r="AJ228" s="818"/>
      <c r="AK228" s="603"/>
    </row>
    <row r="229" spans="1:37" hidden="1">
      <c r="A229" s="598"/>
      <c r="B229" s="2480" t="s">
        <v>1183</v>
      </c>
      <c r="C229" s="2480"/>
      <c r="D229" s="2480"/>
      <c r="E229" s="2480"/>
      <c r="F229" s="2480"/>
      <c r="G229" s="2480"/>
      <c r="I229" s="2466"/>
      <c r="J229" s="2466"/>
      <c r="K229" s="2466"/>
      <c r="L229" s="1005"/>
      <c r="N229" s="2521"/>
      <c r="O229" s="2521"/>
      <c r="P229" s="2521"/>
      <c r="Q229" s="2521"/>
      <c r="R229" s="2521"/>
      <c r="T229" s="2625"/>
      <c r="U229" s="2625"/>
      <c r="V229" s="2625"/>
      <c r="W229" s="2625"/>
      <c r="X229" s="2625"/>
      <c r="Y229" s="2625"/>
      <c r="Z229" s="842"/>
      <c r="AA229" s="842"/>
      <c r="AB229" s="2465">
        <f t="shared" si="0"/>
        <v>0</v>
      </c>
      <c r="AC229" s="2465"/>
      <c r="AD229" s="2465"/>
      <c r="AE229" s="2465"/>
      <c r="AF229" s="2465"/>
      <c r="AG229" s="2465"/>
      <c r="AH229" s="818"/>
      <c r="AI229" s="818"/>
      <c r="AJ229" s="818"/>
      <c r="AK229" s="603"/>
    </row>
    <row r="230" spans="1:37" hidden="1">
      <c r="A230" s="598"/>
      <c r="B230" s="2480" t="s">
        <v>1183</v>
      </c>
      <c r="C230" s="2480"/>
      <c r="D230" s="2480"/>
      <c r="E230" s="2480"/>
      <c r="F230" s="2480"/>
      <c r="G230" s="2480"/>
      <c r="I230" s="2466"/>
      <c r="J230" s="2466"/>
      <c r="K230" s="2466"/>
      <c r="L230" s="1005"/>
      <c r="N230" s="2521"/>
      <c r="O230" s="2521"/>
      <c r="P230" s="2521"/>
      <c r="Q230" s="2521"/>
      <c r="R230" s="2521"/>
      <c r="T230" s="2625"/>
      <c r="U230" s="2625"/>
      <c r="V230" s="2625"/>
      <c r="W230" s="2625"/>
      <c r="X230" s="2625"/>
      <c r="Y230" s="2625"/>
      <c r="Z230" s="842"/>
      <c r="AA230" s="842"/>
      <c r="AB230" s="2465">
        <f t="shared" si="0"/>
        <v>0</v>
      </c>
      <c r="AC230" s="2465"/>
      <c r="AD230" s="2465"/>
      <c r="AE230" s="2465"/>
      <c r="AF230" s="2465"/>
      <c r="AG230" s="2465"/>
      <c r="AH230" s="818"/>
      <c r="AI230" s="818"/>
      <c r="AJ230" s="818"/>
      <c r="AK230" s="603"/>
    </row>
    <row r="231" spans="1:37" hidden="1">
      <c r="A231" s="598"/>
      <c r="B231" s="2480" t="s">
        <v>1183</v>
      </c>
      <c r="C231" s="2480"/>
      <c r="D231" s="2480"/>
      <c r="E231" s="2480"/>
      <c r="F231" s="2480"/>
      <c r="G231" s="2480"/>
      <c r="I231" s="2466"/>
      <c r="J231" s="2466"/>
      <c r="K231" s="2466"/>
      <c r="L231" s="1005"/>
      <c r="N231" s="2521"/>
      <c r="O231" s="2521"/>
      <c r="P231" s="2521"/>
      <c r="Q231" s="2521"/>
      <c r="R231" s="2521"/>
      <c r="T231" s="2625"/>
      <c r="U231" s="2625"/>
      <c r="V231" s="2625"/>
      <c r="W231" s="2625"/>
      <c r="X231" s="2625"/>
      <c r="Y231" s="2625"/>
      <c r="Z231" s="842"/>
      <c r="AA231" s="842"/>
      <c r="AB231" s="2465">
        <f t="shared" si="0"/>
        <v>0</v>
      </c>
      <c r="AC231" s="2465"/>
      <c r="AD231" s="2465"/>
      <c r="AE231" s="2465"/>
      <c r="AF231" s="2465"/>
      <c r="AG231" s="2465"/>
      <c r="AH231" s="818"/>
      <c r="AI231" s="818"/>
      <c r="AJ231" s="818"/>
      <c r="AK231" s="603"/>
    </row>
    <row r="232" spans="1:37" hidden="1">
      <c r="A232" s="598"/>
      <c r="B232" s="2480" t="s">
        <v>1183</v>
      </c>
      <c r="C232" s="2480"/>
      <c r="D232" s="2480"/>
      <c r="E232" s="2480"/>
      <c r="F232" s="2480"/>
      <c r="G232" s="2480"/>
      <c r="I232" s="2467"/>
      <c r="J232" s="2467"/>
      <c r="K232" s="2467"/>
      <c r="L232" s="1005"/>
      <c r="N232" s="2521"/>
      <c r="O232" s="2521"/>
      <c r="P232" s="2521"/>
      <c r="Q232" s="2521"/>
      <c r="R232" s="2521"/>
      <c r="T232" s="2625"/>
      <c r="U232" s="2625"/>
      <c r="V232" s="2625"/>
      <c r="W232" s="2625"/>
      <c r="X232" s="2625"/>
      <c r="Y232" s="2625"/>
      <c r="Z232" s="842"/>
      <c r="AA232" s="842"/>
      <c r="AB232" s="2634">
        <f t="shared" si="0"/>
        <v>0</v>
      </c>
      <c r="AC232" s="2634"/>
      <c r="AD232" s="2634"/>
      <c r="AE232" s="2634"/>
      <c r="AF232" s="2634"/>
      <c r="AG232" s="263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5">
        <f>SUM(AB223:AB232)</f>
        <v>0</v>
      </c>
      <c r="AC233" s="2465"/>
      <c r="AD233" s="2465"/>
      <c r="AE233" s="2465"/>
      <c r="AF233" s="2465"/>
      <c r="AG233" s="246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5"/>
      <c r="AC239" s="2635"/>
      <c r="AD239" s="2635"/>
      <c r="AE239" s="2635"/>
      <c r="AF239" s="2635"/>
      <c r="AG239" s="2635"/>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5"/>
      <c r="AC242" s="2635"/>
      <c r="AD242" s="2635"/>
      <c r="AE242" s="2635"/>
      <c r="AF242" s="2635"/>
      <c r="AG242" s="2635"/>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6"/>
      <c r="AC243" s="2646"/>
      <c r="AD243" s="2646"/>
      <c r="AE243" s="2646"/>
      <c r="AF243" s="2646"/>
      <c r="AG243" s="264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9">
        <f>IFERROR(AB242/AB243,0)</f>
        <v>0</v>
      </c>
      <c r="AC244" s="2659"/>
      <c r="AD244" s="2659"/>
      <c r="AE244" s="2659"/>
      <c r="AF244" s="2659"/>
      <c r="AG244" s="265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4">
        <f>MAX(AB239,AB244)</f>
        <v>0</v>
      </c>
      <c r="AC246" s="2634"/>
      <c r="AD246" s="2634"/>
      <c r="AE246" s="2634"/>
      <c r="AF246" s="2634"/>
      <c r="AG246" s="263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5">
        <f>AB233+AB246</f>
        <v>0</v>
      </c>
      <c r="AC249" s="2465"/>
      <c r="AD249" s="2465"/>
      <c r="AE249" s="2465"/>
      <c r="AF249" s="2465"/>
      <c r="AG249" s="246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4">
        <v>0.05</v>
      </c>
      <c r="AC250" s="2514"/>
      <c r="AD250" s="2514"/>
      <c r="AE250" s="2514"/>
      <c r="AF250" s="2514"/>
      <c r="AG250" s="2514"/>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5">
        <f>AB249-(AB249*AB250)</f>
        <v>0</v>
      </c>
      <c r="AC251" s="2515"/>
      <c r="AD251" s="2515"/>
      <c r="AE251" s="2515"/>
      <c r="AF251" s="2515"/>
      <c r="AG251" s="2515"/>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5">
        <f>AB251/AB257</f>
        <v>0</v>
      </c>
      <c r="AC253" s="2465"/>
      <c r="AD253" s="2465"/>
      <c r="AE253" s="2465"/>
      <c r="AF253" s="2465"/>
      <c r="AG253" s="246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4">
        <v>15</v>
      </c>
      <c r="AC255" s="2474"/>
      <c r="AD255" s="2474"/>
      <c r="AE255" s="2474"/>
      <c r="AF255" s="2474"/>
      <c r="AG255" s="2474"/>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6">
        <v>0.04</v>
      </c>
      <c r="AC256" s="2516"/>
      <c r="AD256" s="2516"/>
      <c r="AE256" s="2516"/>
      <c r="AF256" s="2516"/>
      <c r="AG256" s="251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3">
        <v>1.1499999999999999</v>
      </c>
      <c r="AC257" s="2523"/>
      <c r="AD257" s="2523"/>
      <c r="AE257" s="2523"/>
      <c r="AF257" s="2523"/>
      <c r="AG257" s="252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7">
        <f>PV(AB256/12,AB255*12,-AB253/12, ,0)</f>
        <v>0</v>
      </c>
      <c r="AC259" s="2508"/>
      <c r="AD259" s="2508"/>
      <c r="AE259" s="2508"/>
      <c r="AF259" s="2508"/>
      <c r="AG259" s="2509"/>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1">
        <f>IFERROR(('Sources and Uses Budget'!D105/'Sources and Uses Budget'!B105),0)</f>
        <v>0</v>
      </c>
      <c r="AC265" s="2512"/>
      <c r="AD265" s="2512"/>
      <c r="AE265" s="2512"/>
      <c r="AF265" s="2512"/>
      <c r="AG265" s="251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1">
        <f>AD210*(1-AB265)</f>
        <v>0</v>
      </c>
      <c r="AH267" s="2501"/>
      <c r="AI267" s="2501"/>
      <c r="AJ267" s="2501"/>
      <c r="AK267" s="2501"/>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1">
        <f>'Sources and Uses Budget'!C105</f>
        <v>104198532</v>
      </c>
      <c r="AH268" s="2501"/>
      <c r="AI268" s="2501"/>
      <c r="AJ268" s="2501"/>
      <c r="AK268" s="250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2">
        <f>ROUNDDOWN(IF(AND(C305="Yes",AK83=10),((AG267*2)/AG268),AG267/AG268),2)</f>
        <v>0</v>
      </c>
      <c r="AH269" s="2502"/>
      <c r="AI269" s="2502"/>
      <c r="AJ269" s="2502"/>
      <c r="AK269" s="2502"/>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3">
        <f>IFERROR(IF(AG269=0,0,IF((AG269*100)&gt;8,8,(AG269*100))),0)</f>
        <v>0</v>
      </c>
      <c r="AL272" s="2503"/>
      <c r="AM272" s="2504"/>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495" t="s">
        <v>545</v>
      </c>
      <c r="D279" s="2495"/>
      <c r="E279" s="541"/>
      <c r="F279" s="2650" t="s">
        <v>2558</v>
      </c>
      <c r="G279" s="2651"/>
      <c r="H279" s="2651"/>
      <c r="I279" s="2651"/>
      <c r="J279" s="2651"/>
      <c r="K279" s="2651"/>
      <c r="L279" s="2651"/>
      <c r="M279" s="2651"/>
      <c r="N279" s="2651"/>
      <c r="O279" s="2651"/>
      <c r="P279" s="2651"/>
      <c r="Q279" s="2651"/>
      <c r="R279" s="2651"/>
      <c r="S279" s="2651"/>
      <c r="T279" s="2651"/>
      <c r="U279" s="2651"/>
      <c r="V279" s="2651"/>
      <c r="W279" s="2651"/>
      <c r="X279" s="2651"/>
      <c r="Y279" s="2651"/>
      <c r="Z279" s="2651"/>
      <c r="AA279" s="2651"/>
      <c r="AB279" s="2651"/>
      <c r="AC279" s="2651"/>
      <c r="AD279" s="2652"/>
      <c r="AE279" s="544"/>
      <c r="AF279" s="628"/>
      <c r="AG279" s="2496" t="s">
        <v>1356</v>
      </c>
      <c r="AH279" s="2496"/>
      <c r="AI279" s="2496"/>
      <c r="AJ279" s="2496"/>
      <c r="AK279" s="544"/>
      <c r="AL279" s="544"/>
      <c r="AM279" s="544"/>
      <c r="AO279" s="544"/>
    </row>
    <row r="280" spans="1:52" ht="13.65" customHeight="1">
      <c r="A280" s="544"/>
      <c r="B280" s="589"/>
      <c r="C280" s="629"/>
      <c r="D280" s="544"/>
      <c r="E280" s="541"/>
      <c r="F280" s="2653"/>
      <c r="G280" s="2654"/>
      <c r="H280" s="2654"/>
      <c r="I280" s="2654"/>
      <c r="J280" s="2654"/>
      <c r="K280" s="2654"/>
      <c r="L280" s="2654"/>
      <c r="M280" s="2654"/>
      <c r="N280" s="2654"/>
      <c r="O280" s="2654"/>
      <c r="P280" s="2654"/>
      <c r="Q280" s="2654"/>
      <c r="R280" s="2654"/>
      <c r="S280" s="2654"/>
      <c r="T280" s="2654"/>
      <c r="U280" s="2654"/>
      <c r="V280" s="2654"/>
      <c r="W280" s="2654"/>
      <c r="X280" s="2654"/>
      <c r="Y280" s="2654"/>
      <c r="Z280" s="2654"/>
      <c r="AA280" s="2654"/>
      <c r="AB280" s="2654"/>
      <c r="AC280" s="2654"/>
      <c r="AD280" s="2655"/>
      <c r="AE280" s="544"/>
      <c r="AF280" s="628"/>
      <c r="AG280" s="628"/>
      <c r="AH280" s="628"/>
      <c r="AI280" s="628"/>
      <c r="AJ280" s="544"/>
      <c r="AK280" s="544"/>
      <c r="AL280" s="544"/>
      <c r="AM280" s="544"/>
      <c r="AO280" s="544"/>
    </row>
    <row r="281" spans="1:52" ht="13.65" customHeight="1">
      <c r="A281" s="544"/>
      <c r="B281" s="589"/>
      <c r="C281" s="629"/>
      <c r="D281" s="544"/>
      <c r="E281" s="541"/>
      <c r="F281" s="2653"/>
      <c r="G281" s="2654"/>
      <c r="H281" s="2654"/>
      <c r="I281" s="2654"/>
      <c r="J281" s="2654"/>
      <c r="K281" s="2654"/>
      <c r="L281" s="2654"/>
      <c r="M281" s="2654"/>
      <c r="N281" s="2654"/>
      <c r="O281" s="2654"/>
      <c r="P281" s="2654"/>
      <c r="Q281" s="2654"/>
      <c r="R281" s="2654"/>
      <c r="S281" s="2654"/>
      <c r="T281" s="2654"/>
      <c r="U281" s="2654"/>
      <c r="V281" s="2654"/>
      <c r="W281" s="2654"/>
      <c r="X281" s="2654"/>
      <c r="Y281" s="2654"/>
      <c r="Z281" s="2654"/>
      <c r="AA281" s="2654"/>
      <c r="AB281" s="2654"/>
      <c r="AC281" s="2654"/>
      <c r="AD281" s="2655"/>
      <c r="AE281" s="544"/>
      <c r="AF281" s="628"/>
      <c r="AG281" s="628"/>
      <c r="AH281" s="628"/>
      <c r="AI281" s="628"/>
      <c r="AJ281" s="544"/>
      <c r="AK281" s="544"/>
      <c r="AL281" s="544"/>
      <c r="AM281" s="544"/>
      <c r="AO281" s="544"/>
    </row>
    <row r="282" spans="1:52" ht="13.65" customHeight="1">
      <c r="A282" s="544"/>
      <c r="B282" s="589"/>
      <c r="C282" s="629"/>
      <c r="D282" s="544"/>
      <c r="E282" s="541"/>
      <c r="F282" s="2653"/>
      <c r="G282" s="2654"/>
      <c r="H282" s="2654"/>
      <c r="I282" s="2654"/>
      <c r="J282" s="2654"/>
      <c r="K282" s="2654"/>
      <c r="L282" s="2654"/>
      <c r="M282" s="2654"/>
      <c r="N282" s="2654"/>
      <c r="O282" s="2654"/>
      <c r="P282" s="2654"/>
      <c r="Q282" s="2654"/>
      <c r="R282" s="2654"/>
      <c r="S282" s="2654"/>
      <c r="T282" s="2654"/>
      <c r="U282" s="2654"/>
      <c r="V282" s="2654"/>
      <c r="W282" s="2654"/>
      <c r="X282" s="2654"/>
      <c r="Y282" s="2654"/>
      <c r="Z282" s="2654"/>
      <c r="AA282" s="2654"/>
      <c r="AB282" s="2654"/>
      <c r="AC282" s="2654"/>
      <c r="AD282" s="2655"/>
      <c r="AE282" s="544"/>
      <c r="AF282" s="628"/>
      <c r="AG282" s="628"/>
      <c r="AH282" s="628"/>
      <c r="AI282" s="628"/>
      <c r="AJ282" s="544"/>
      <c r="AK282" s="544"/>
      <c r="AL282" s="544"/>
      <c r="AM282" s="544"/>
      <c r="AO282" s="544"/>
    </row>
    <row r="283" spans="1:52" ht="13.65" customHeight="1">
      <c r="A283" s="544"/>
      <c r="B283" s="589"/>
      <c r="C283" s="629"/>
      <c r="D283" s="544"/>
      <c r="E283" s="541"/>
      <c r="F283" s="2653"/>
      <c r="G283" s="2654"/>
      <c r="H283" s="2654"/>
      <c r="I283" s="2654"/>
      <c r="J283" s="2654"/>
      <c r="K283" s="2654"/>
      <c r="L283" s="2654"/>
      <c r="M283" s="2654"/>
      <c r="N283" s="2654"/>
      <c r="O283" s="2654"/>
      <c r="P283" s="2654"/>
      <c r="Q283" s="2654"/>
      <c r="R283" s="2654"/>
      <c r="S283" s="2654"/>
      <c r="T283" s="2654"/>
      <c r="U283" s="2654"/>
      <c r="V283" s="2654"/>
      <c r="W283" s="2654"/>
      <c r="X283" s="2654"/>
      <c r="Y283" s="2654"/>
      <c r="Z283" s="2654"/>
      <c r="AA283" s="2654"/>
      <c r="AB283" s="2654"/>
      <c r="AC283" s="2654"/>
      <c r="AD283" s="2655"/>
      <c r="AE283" s="544"/>
      <c r="AF283" s="628"/>
      <c r="AG283" s="628"/>
      <c r="AH283" s="628"/>
      <c r="AI283" s="628"/>
      <c r="AJ283" s="544"/>
      <c r="AK283" s="544"/>
      <c r="AL283" s="544"/>
      <c r="AM283" s="544"/>
      <c r="AO283" s="544"/>
    </row>
    <row r="284" spans="1:52">
      <c r="A284" s="544"/>
      <c r="B284" s="589"/>
      <c r="C284" s="629"/>
      <c r="D284" s="544"/>
      <c r="E284" s="541"/>
      <c r="F284" s="2653"/>
      <c r="G284" s="2654"/>
      <c r="H284" s="2654"/>
      <c r="I284" s="2654"/>
      <c r="J284" s="2654"/>
      <c r="K284" s="2654"/>
      <c r="L284" s="2654"/>
      <c r="M284" s="2654"/>
      <c r="N284" s="2654"/>
      <c r="O284" s="2654"/>
      <c r="P284" s="2654"/>
      <c r="Q284" s="2654"/>
      <c r="R284" s="2654"/>
      <c r="S284" s="2654"/>
      <c r="T284" s="2654"/>
      <c r="U284" s="2654"/>
      <c r="V284" s="2654"/>
      <c r="W284" s="2654"/>
      <c r="X284" s="2654"/>
      <c r="Y284" s="2654"/>
      <c r="Z284" s="2654"/>
      <c r="AA284" s="2654"/>
      <c r="AB284" s="2654"/>
      <c r="AC284" s="2654"/>
      <c r="AD284" s="2655"/>
      <c r="AE284" s="544"/>
      <c r="AF284" s="628"/>
      <c r="AG284" s="628"/>
      <c r="AH284" s="628"/>
      <c r="AI284" s="628"/>
      <c r="AJ284" s="544"/>
      <c r="AK284" s="544"/>
      <c r="AL284" s="544"/>
      <c r="AM284" s="544"/>
      <c r="AO284" s="544"/>
      <c r="AP284" s="630"/>
    </row>
    <row r="285" spans="1:52">
      <c r="A285" s="544"/>
      <c r="B285" s="589"/>
      <c r="C285" s="629"/>
      <c r="D285" s="544"/>
      <c r="E285" s="541"/>
      <c r="F285" s="2653"/>
      <c r="G285" s="2654"/>
      <c r="H285" s="2654"/>
      <c r="I285" s="2654"/>
      <c r="J285" s="2654"/>
      <c r="K285" s="2654"/>
      <c r="L285" s="2654"/>
      <c r="M285" s="2654"/>
      <c r="N285" s="2654"/>
      <c r="O285" s="2654"/>
      <c r="P285" s="2654"/>
      <c r="Q285" s="2654"/>
      <c r="R285" s="2654"/>
      <c r="S285" s="2654"/>
      <c r="T285" s="2654"/>
      <c r="U285" s="2654"/>
      <c r="V285" s="2654"/>
      <c r="W285" s="2654"/>
      <c r="X285" s="2654"/>
      <c r="Y285" s="2654"/>
      <c r="Z285" s="2654"/>
      <c r="AA285" s="2654"/>
      <c r="AB285" s="2654"/>
      <c r="AC285" s="2654"/>
      <c r="AD285" s="2655"/>
      <c r="AE285" s="544"/>
      <c r="AF285" s="628"/>
      <c r="AG285" s="628"/>
      <c r="AH285" s="628"/>
      <c r="AI285" s="628"/>
      <c r="AJ285" s="544"/>
      <c r="AK285" s="544"/>
      <c r="AL285" s="544"/>
      <c r="AM285" s="544"/>
      <c r="AO285" s="544"/>
      <c r="AP285" s="630"/>
    </row>
    <row r="286" spans="1:52" ht="13.65" customHeight="1">
      <c r="A286" s="544"/>
      <c r="B286" s="589"/>
      <c r="C286" s="2497"/>
      <c r="D286" s="2497"/>
      <c r="E286" s="541"/>
      <c r="F286" s="2656"/>
      <c r="G286" s="2657"/>
      <c r="H286" s="2657"/>
      <c r="I286" s="2657"/>
      <c r="J286" s="2657"/>
      <c r="K286" s="2657"/>
      <c r="L286" s="2657"/>
      <c r="M286" s="2657"/>
      <c r="N286" s="2657"/>
      <c r="O286" s="2657"/>
      <c r="P286" s="2657"/>
      <c r="Q286" s="2657"/>
      <c r="R286" s="2657"/>
      <c r="S286" s="2657"/>
      <c r="T286" s="2657"/>
      <c r="U286" s="2657"/>
      <c r="V286" s="2657"/>
      <c r="W286" s="2657"/>
      <c r="X286" s="2657"/>
      <c r="Y286" s="2657"/>
      <c r="Z286" s="2657"/>
      <c r="AA286" s="2657"/>
      <c r="AB286" s="2657"/>
      <c r="AC286" s="2657"/>
      <c r="AD286" s="2658"/>
      <c r="AE286" s="544"/>
      <c r="AF286" s="628"/>
      <c r="AG286" s="2496"/>
      <c r="AH286" s="2496"/>
      <c r="AI286" s="2496"/>
      <c r="AJ286" s="2496"/>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1" t="s">
        <v>2565</v>
      </c>
      <c r="C289" s="2411"/>
      <c r="D289" s="2411"/>
      <c r="E289" s="2411"/>
      <c r="F289" s="2411"/>
      <c r="G289" s="2411"/>
      <c r="H289" s="2411"/>
      <c r="I289" s="2411"/>
      <c r="J289" s="2411"/>
      <c r="K289" s="2411"/>
      <c r="L289" s="2411"/>
      <c r="M289" s="2411"/>
      <c r="N289" s="2411"/>
      <c r="O289" s="2411"/>
      <c r="P289" s="2411"/>
      <c r="Q289" s="2411"/>
      <c r="R289" s="2411"/>
      <c r="S289" s="2411"/>
      <c r="T289" s="2411"/>
      <c r="U289" s="2411"/>
      <c r="V289" s="2411"/>
      <c r="W289" s="2411"/>
      <c r="X289" s="2411"/>
      <c r="Y289" s="2411"/>
      <c r="Z289" s="2411"/>
      <c r="AA289" s="2411"/>
      <c r="AB289" s="2411"/>
      <c r="AC289" s="2411"/>
      <c r="AD289" s="2411"/>
      <c r="AE289" s="2411"/>
      <c r="AF289" s="2411"/>
      <c r="AG289" s="2411"/>
      <c r="AH289" s="2411"/>
      <c r="AI289" s="2411"/>
      <c r="AJ289" s="2411"/>
      <c r="AK289" s="2411"/>
      <c r="AL289" s="2411"/>
      <c r="AM289" s="544"/>
      <c r="AN289" s="73"/>
    </row>
    <row r="290" spans="1:49">
      <c r="A290" s="544"/>
      <c r="B290" s="2411"/>
      <c r="C290" s="2411"/>
      <c r="D290" s="2411"/>
      <c r="E290" s="2411"/>
      <c r="F290" s="2411"/>
      <c r="G290" s="2411"/>
      <c r="H290" s="2411"/>
      <c r="I290" s="2411"/>
      <c r="J290" s="2411"/>
      <c r="K290" s="2411"/>
      <c r="L290" s="2411"/>
      <c r="M290" s="2411"/>
      <c r="N290" s="2411"/>
      <c r="O290" s="2411"/>
      <c r="P290" s="2411"/>
      <c r="Q290" s="2411"/>
      <c r="R290" s="2411"/>
      <c r="S290" s="2411"/>
      <c r="T290" s="2411"/>
      <c r="U290" s="2411"/>
      <c r="V290" s="2411"/>
      <c r="W290" s="2411"/>
      <c r="X290" s="2411"/>
      <c r="Y290" s="2411"/>
      <c r="Z290" s="2411"/>
      <c r="AA290" s="2411"/>
      <c r="AB290" s="2411"/>
      <c r="AC290" s="2411"/>
      <c r="AD290" s="2411"/>
      <c r="AE290" s="2411"/>
      <c r="AF290" s="2411"/>
      <c r="AG290" s="2411"/>
      <c r="AH290" s="2411"/>
      <c r="AI290" s="2411"/>
      <c r="AJ290" s="2411"/>
      <c r="AK290" s="2411"/>
      <c r="AL290" s="2411"/>
      <c r="AM290" s="544"/>
      <c r="AN290" s="73"/>
    </row>
    <row r="291" spans="1:49">
      <c r="A291" s="544"/>
      <c r="B291" s="2411"/>
      <c r="C291" s="2411"/>
      <c r="D291" s="2411"/>
      <c r="E291" s="2411"/>
      <c r="F291" s="2411"/>
      <c r="G291" s="2411"/>
      <c r="H291" s="2411"/>
      <c r="I291" s="2411"/>
      <c r="J291" s="2411"/>
      <c r="K291" s="2411"/>
      <c r="L291" s="2411"/>
      <c r="M291" s="2411"/>
      <c r="N291" s="2411"/>
      <c r="O291" s="2411"/>
      <c r="P291" s="2411"/>
      <c r="Q291" s="2411"/>
      <c r="R291" s="2411"/>
      <c r="S291" s="2411"/>
      <c r="T291" s="2411"/>
      <c r="U291" s="2411"/>
      <c r="V291" s="2411"/>
      <c r="W291" s="2411"/>
      <c r="X291" s="2411"/>
      <c r="Y291" s="2411"/>
      <c r="Z291" s="2411"/>
      <c r="AA291" s="2411"/>
      <c r="AB291" s="2411"/>
      <c r="AC291" s="2411"/>
      <c r="AD291" s="2411"/>
      <c r="AE291" s="2411"/>
      <c r="AF291" s="2411"/>
      <c r="AG291" s="2411"/>
      <c r="AH291" s="2411"/>
      <c r="AI291" s="2411"/>
      <c r="AJ291" s="2411"/>
      <c r="AK291" s="2411"/>
      <c r="AL291" s="2411"/>
      <c r="AM291" s="544"/>
      <c r="AN291" s="73"/>
    </row>
    <row r="292" spans="1:49">
      <c r="A292" s="544"/>
      <c r="B292" s="2411"/>
      <c r="C292" s="2411"/>
      <c r="D292" s="2411"/>
      <c r="E292" s="2411"/>
      <c r="F292" s="2411"/>
      <c r="G292" s="2411"/>
      <c r="H292" s="2411"/>
      <c r="I292" s="2411"/>
      <c r="J292" s="2411"/>
      <c r="K292" s="2411"/>
      <c r="L292" s="2411"/>
      <c r="M292" s="2411"/>
      <c r="N292" s="2411"/>
      <c r="O292" s="2411"/>
      <c r="P292" s="2411"/>
      <c r="Q292" s="2411"/>
      <c r="R292" s="2411"/>
      <c r="S292" s="2411"/>
      <c r="T292" s="2411"/>
      <c r="U292" s="2411"/>
      <c r="V292" s="2411"/>
      <c r="W292" s="2411"/>
      <c r="X292" s="2411"/>
      <c r="Y292" s="2411"/>
      <c r="Z292" s="2411"/>
      <c r="AA292" s="2411"/>
      <c r="AB292" s="2411"/>
      <c r="AC292" s="2411"/>
      <c r="AD292" s="2411"/>
      <c r="AE292" s="2411"/>
      <c r="AF292" s="2411"/>
      <c r="AG292" s="2411"/>
      <c r="AH292" s="2411"/>
      <c r="AI292" s="2411"/>
      <c r="AJ292" s="2411"/>
      <c r="AK292" s="2411"/>
      <c r="AL292" s="2411"/>
      <c r="AM292" s="544"/>
      <c r="AN292" s="73"/>
    </row>
    <row r="293" spans="1:49">
      <c r="A293" s="544"/>
      <c r="B293" s="2411"/>
      <c r="C293" s="2411"/>
      <c r="D293" s="2411"/>
      <c r="E293" s="2411"/>
      <c r="F293" s="2411"/>
      <c r="G293" s="2411"/>
      <c r="H293" s="2411"/>
      <c r="I293" s="2411"/>
      <c r="J293" s="2411"/>
      <c r="K293" s="2411"/>
      <c r="L293" s="2411"/>
      <c r="M293" s="2411"/>
      <c r="N293" s="2411"/>
      <c r="O293" s="2411"/>
      <c r="P293" s="2411"/>
      <c r="Q293" s="2411"/>
      <c r="R293" s="2411"/>
      <c r="S293" s="2411"/>
      <c r="T293" s="2411"/>
      <c r="U293" s="2411"/>
      <c r="V293" s="2411"/>
      <c r="W293" s="2411"/>
      <c r="X293" s="2411"/>
      <c r="Y293" s="2411"/>
      <c r="Z293" s="2411"/>
      <c r="AA293" s="2411"/>
      <c r="AB293" s="2411"/>
      <c r="AC293" s="2411"/>
      <c r="AD293" s="2411"/>
      <c r="AE293" s="2411"/>
      <c r="AF293" s="2411"/>
      <c r="AG293" s="2411"/>
      <c r="AH293" s="2411"/>
      <c r="AI293" s="2411"/>
      <c r="AJ293" s="2411"/>
      <c r="AK293" s="2411"/>
      <c r="AL293" s="2411"/>
      <c r="AM293" s="544"/>
      <c r="AN293" s="73"/>
    </row>
    <row r="294" spans="1:49">
      <c r="A294" s="544"/>
      <c r="B294" s="2411"/>
      <c r="C294" s="2411"/>
      <c r="D294" s="2411"/>
      <c r="E294" s="2411"/>
      <c r="F294" s="2411"/>
      <c r="G294" s="2411"/>
      <c r="H294" s="2411"/>
      <c r="I294" s="2411"/>
      <c r="J294" s="2411"/>
      <c r="K294" s="2411"/>
      <c r="L294" s="2411"/>
      <c r="M294" s="2411"/>
      <c r="N294" s="2411"/>
      <c r="O294" s="2411"/>
      <c r="P294" s="2411"/>
      <c r="Q294" s="2411"/>
      <c r="R294" s="2411"/>
      <c r="S294" s="2411"/>
      <c r="T294" s="2411"/>
      <c r="U294" s="2411"/>
      <c r="V294" s="2411"/>
      <c r="W294" s="2411"/>
      <c r="X294" s="2411"/>
      <c r="Y294" s="2411"/>
      <c r="Z294" s="2411"/>
      <c r="AA294" s="2411"/>
      <c r="AB294" s="2411"/>
      <c r="AC294" s="2411"/>
      <c r="AD294" s="2411"/>
      <c r="AE294" s="2411"/>
      <c r="AF294" s="2411"/>
      <c r="AG294" s="2411"/>
      <c r="AH294" s="2411"/>
      <c r="AI294" s="2411"/>
      <c r="AJ294" s="2411"/>
      <c r="AK294" s="2411"/>
      <c r="AL294" s="2411"/>
      <c r="AM294" s="544"/>
      <c r="AN294" s="73"/>
    </row>
    <row r="295" spans="1:49">
      <c r="A295" s="544"/>
      <c r="B295" s="2411"/>
      <c r="C295" s="2411"/>
      <c r="D295" s="2411"/>
      <c r="E295" s="2411"/>
      <c r="F295" s="2411"/>
      <c r="G295" s="2411"/>
      <c r="H295" s="2411"/>
      <c r="I295" s="2411"/>
      <c r="J295" s="2411"/>
      <c r="K295" s="2411"/>
      <c r="L295" s="2411"/>
      <c r="M295" s="2411"/>
      <c r="N295" s="2411"/>
      <c r="O295" s="2411"/>
      <c r="P295" s="2411"/>
      <c r="Q295" s="2411"/>
      <c r="R295" s="2411"/>
      <c r="S295" s="2411"/>
      <c r="T295" s="2411"/>
      <c r="U295" s="2411"/>
      <c r="V295" s="2411"/>
      <c r="W295" s="2411"/>
      <c r="X295" s="2411"/>
      <c r="Y295" s="2411"/>
      <c r="Z295" s="2411"/>
      <c r="AA295" s="2411"/>
      <c r="AB295" s="2411"/>
      <c r="AC295" s="2411"/>
      <c r="AD295" s="2411"/>
      <c r="AE295" s="2411"/>
      <c r="AF295" s="2411"/>
      <c r="AG295" s="2411"/>
      <c r="AH295" s="2411"/>
      <c r="AI295" s="2411"/>
      <c r="AJ295" s="2411"/>
      <c r="AK295" s="2411"/>
      <c r="AL295" s="2411"/>
      <c r="AM295" s="544"/>
      <c r="AN295" s="73"/>
    </row>
    <row r="296" spans="1:49">
      <c r="A296" s="544"/>
      <c r="B296" s="2411"/>
      <c r="C296" s="2411"/>
      <c r="D296" s="2411"/>
      <c r="E296" s="2411"/>
      <c r="F296" s="2411"/>
      <c r="G296" s="2411"/>
      <c r="H296" s="2411"/>
      <c r="I296" s="2411"/>
      <c r="J296" s="2411"/>
      <c r="K296" s="2411"/>
      <c r="L296" s="2411"/>
      <c r="M296" s="2411"/>
      <c r="N296" s="2411"/>
      <c r="O296" s="2411"/>
      <c r="P296" s="2411"/>
      <c r="Q296" s="2411"/>
      <c r="R296" s="2411"/>
      <c r="S296" s="2411"/>
      <c r="T296" s="2411"/>
      <c r="U296" s="2411"/>
      <c r="V296" s="2411"/>
      <c r="W296" s="2411"/>
      <c r="X296" s="2411"/>
      <c r="Y296" s="2411"/>
      <c r="Z296" s="2411"/>
      <c r="AA296" s="2411"/>
      <c r="AB296" s="2411"/>
      <c r="AC296" s="2411"/>
      <c r="AD296" s="2411"/>
      <c r="AE296" s="2411"/>
      <c r="AF296" s="2411"/>
      <c r="AG296" s="2411"/>
      <c r="AH296" s="2411"/>
      <c r="AI296" s="2411"/>
      <c r="AJ296" s="2411"/>
      <c r="AK296" s="2411"/>
      <c r="AL296" s="241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3">
        <f>IF($C$279="yes",10,0)</f>
        <v>10</v>
      </c>
      <c r="AL298" s="2503"/>
      <c r="AM298" s="2504"/>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34" t="s">
        <v>1373</v>
      </c>
      <c r="B305" s="1634"/>
      <c r="C305" s="2485" t="s">
        <v>591</v>
      </c>
      <c r="D305" s="2495"/>
      <c r="E305" s="541"/>
      <c r="F305" s="2517" t="s">
        <v>1374</v>
      </c>
      <c r="G305" s="2518"/>
      <c r="H305" s="2518"/>
      <c r="I305" s="2518"/>
      <c r="J305" s="2518"/>
      <c r="K305" s="2518"/>
      <c r="L305" s="2518"/>
      <c r="M305" s="2518"/>
      <c r="N305" s="2518"/>
      <c r="O305" s="2518"/>
      <c r="P305" s="2518"/>
      <c r="Q305" s="2518"/>
      <c r="R305" s="2518"/>
      <c r="S305" s="2518"/>
      <c r="T305" s="2518"/>
      <c r="U305" s="2518"/>
      <c r="V305" s="2518"/>
      <c r="W305" s="2518"/>
      <c r="X305" s="2518"/>
      <c r="Y305" s="2518"/>
      <c r="Z305" s="2518"/>
      <c r="AA305" s="2518"/>
      <c r="AB305" s="2518"/>
      <c r="AC305" s="2518"/>
      <c r="AD305" s="2519"/>
      <c r="AE305" s="635"/>
      <c r="AF305" s="544"/>
      <c r="AG305" s="2520" t="s">
        <v>1976</v>
      </c>
      <c r="AH305" s="2520"/>
      <c r="AI305" s="2520"/>
      <c r="AJ305" s="2520"/>
      <c r="AK305" s="2520"/>
      <c r="AL305" s="544"/>
      <c r="AM305" s="544"/>
      <c r="AN305" s="73"/>
      <c r="AO305" s="14"/>
      <c r="AP305" s="30"/>
      <c r="AS305" s="563"/>
      <c r="AT305" s="563"/>
      <c r="AU305" s="563"/>
      <c r="AV305" s="32"/>
      <c r="AW305" s="32"/>
    </row>
    <row r="306" spans="1:49">
      <c r="A306" s="633"/>
      <c r="B306" s="589"/>
      <c r="F306" s="2489"/>
      <c r="G306" s="2490"/>
      <c r="H306" s="2490"/>
      <c r="I306" s="2490"/>
      <c r="J306" s="2490"/>
      <c r="K306" s="2490"/>
      <c r="L306" s="2490"/>
      <c r="M306" s="2490"/>
      <c r="N306" s="2490"/>
      <c r="O306" s="2490"/>
      <c r="P306" s="2490"/>
      <c r="Q306" s="2490"/>
      <c r="R306" s="2490"/>
      <c r="S306" s="2490"/>
      <c r="T306" s="2490"/>
      <c r="U306" s="2490"/>
      <c r="V306" s="2490"/>
      <c r="W306" s="2490"/>
      <c r="X306" s="2490"/>
      <c r="Y306" s="2490"/>
      <c r="Z306" s="2490"/>
      <c r="AA306" s="2490"/>
      <c r="AB306" s="2490"/>
      <c r="AC306" s="2490"/>
      <c r="AD306" s="2491"/>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9"/>
      <c r="G307" s="2490"/>
      <c r="H307" s="2490"/>
      <c r="I307" s="2490"/>
      <c r="J307" s="2490"/>
      <c r="K307" s="2490"/>
      <c r="L307" s="2490"/>
      <c r="M307" s="2490"/>
      <c r="N307" s="2490"/>
      <c r="O307" s="2490"/>
      <c r="P307" s="2490"/>
      <c r="Q307" s="2490"/>
      <c r="R307" s="2490"/>
      <c r="S307" s="2490"/>
      <c r="T307" s="2490"/>
      <c r="U307" s="2490"/>
      <c r="V307" s="2490"/>
      <c r="W307" s="2490"/>
      <c r="X307" s="2490"/>
      <c r="Y307" s="2490"/>
      <c r="Z307" s="2490"/>
      <c r="AA307" s="2490"/>
      <c r="AB307" s="2490"/>
      <c r="AC307" s="2490"/>
      <c r="AD307" s="2491"/>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9" t="s">
        <v>1981</v>
      </c>
      <c r="G308" s="2490"/>
      <c r="H308" s="2490"/>
      <c r="I308" s="2490"/>
      <c r="J308" s="2490"/>
      <c r="K308" s="2490"/>
      <c r="L308" s="2490"/>
      <c r="M308" s="2490"/>
      <c r="N308" s="2490"/>
      <c r="O308" s="2490"/>
      <c r="P308" s="2490"/>
      <c r="Q308" s="2490"/>
      <c r="R308" s="2490"/>
      <c r="S308" s="2490"/>
      <c r="T308" s="2490"/>
      <c r="U308" s="2490"/>
      <c r="V308" s="2490"/>
      <c r="W308" s="2490"/>
      <c r="X308" s="2490"/>
      <c r="Y308" s="2490"/>
      <c r="Z308" s="2490"/>
      <c r="AA308" s="2490"/>
      <c r="AB308" s="2490"/>
      <c r="AC308" s="2490"/>
      <c r="AD308" s="2491"/>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89"/>
      <c r="G309" s="2490"/>
      <c r="H309" s="2490"/>
      <c r="I309" s="2490"/>
      <c r="J309" s="2490"/>
      <c r="K309" s="2490"/>
      <c r="L309" s="2490"/>
      <c r="M309" s="2490"/>
      <c r="N309" s="2490"/>
      <c r="O309" s="2490"/>
      <c r="P309" s="2490"/>
      <c r="Q309" s="2490"/>
      <c r="R309" s="2490"/>
      <c r="S309" s="2490"/>
      <c r="T309" s="2490"/>
      <c r="U309" s="2490"/>
      <c r="V309" s="2490"/>
      <c r="W309" s="2490"/>
      <c r="X309" s="2490"/>
      <c r="Y309" s="2490"/>
      <c r="Z309" s="2490"/>
      <c r="AA309" s="2490"/>
      <c r="AB309" s="2490"/>
      <c r="AC309" s="2490"/>
      <c r="AD309" s="2491"/>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9" t="s">
        <v>1375</v>
      </c>
      <c r="G310" s="2490"/>
      <c r="H310" s="2490"/>
      <c r="I310" s="2490"/>
      <c r="J310" s="2490"/>
      <c r="K310" s="2490"/>
      <c r="L310" s="2490"/>
      <c r="M310" s="2490"/>
      <c r="N310" s="2490"/>
      <c r="O310" s="2490"/>
      <c r="P310" s="2490"/>
      <c r="Q310" s="2490"/>
      <c r="R310" s="2490"/>
      <c r="S310" s="2490"/>
      <c r="T310" s="2490"/>
      <c r="U310" s="2490"/>
      <c r="V310" s="2490"/>
      <c r="W310" s="2490"/>
      <c r="X310" s="2490"/>
      <c r="Y310" s="2490"/>
      <c r="Z310" s="2490"/>
      <c r="AA310" s="2490"/>
      <c r="AB310" s="2490"/>
      <c r="AC310" s="2490"/>
      <c r="AD310" s="2491"/>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9"/>
      <c r="G311" s="2490"/>
      <c r="H311" s="2490"/>
      <c r="I311" s="2490"/>
      <c r="J311" s="2490"/>
      <c r="K311" s="2490"/>
      <c r="L311" s="2490"/>
      <c r="M311" s="2490"/>
      <c r="N311" s="2490"/>
      <c r="O311" s="2490"/>
      <c r="P311" s="2490"/>
      <c r="Q311" s="2490"/>
      <c r="R311" s="2490"/>
      <c r="S311" s="2490"/>
      <c r="T311" s="2490"/>
      <c r="U311" s="2490"/>
      <c r="V311" s="2490"/>
      <c r="W311" s="2490"/>
      <c r="X311" s="2490"/>
      <c r="Y311" s="2490"/>
      <c r="Z311" s="2490"/>
      <c r="AA311" s="2490"/>
      <c r="AB311" s="2490"/>
      <c r="AC311" s="2490"/>
      <c r="AD311" s="2491"/>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9" t="s">
        <v>1376</v>
      </c>
      <c r="G312" s="2490"/>
      <c r="H312" s="2490"/>
      <c r="I312" s="2490"/>
      <c r="J312" s="2490"/>
      <c r="K312" s="2490"/>
      <c r="L312" s="2490"/>
      <c r="M312" s="2490"/>
      <c r="N312" s="2490"/>
      <c r="O312" s="2490"/>
      <c r="P312" s="2490"/>
      <c r="Q312" s="2490"/>
      <c r="R312" s="2490"/>
      <c r="S312" s="2490"/>
      <c r="T312" s="2490"/>
      <c r="U312" s="2490"/>
      <c r="V312" s="2490"/>
      <c r="W312" s="2490"/>
      <c r="X312" s="2490"/>
      <c r="Y312" s="2490"/>
      <c r="Z312" s="2490"/>
      <c r="AA312" s="2490"/>
      <c r="AB312" s="2490"/>
      <c r="AC312" s="2490"/>
      <c r="AD312" s="2491"/>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2"/>
      <c r="G313" s="2493"/>
      <c r="H313" s="2493"/>
      <c r="I313" s="2493"/>
      <c r="J313" s="2493"/>
      <c r="K313" s="2493"/>
      <c r="L313" s="2493"/>
      <c r="M313" s="2493"/>
      <c r="N313" s="2493"/>
      <c r="O313" s="2493"/>
      <c r="P313" s="2493"/>
      <c r="Q313" s="2493"/>
      <c r="R313" s="2493"/>
      <c r="S313" s="2493"/>
      <c r="T313" s="2493"/>
      <c r="U313" s="2493"/>
      <c r="V313" s="2493"/>
      <c r="W313" s="2493"/>
      <c r="X313" s="2493"/>
      <c r="Y313" s="2493"/>
      <c r="Z313" s="2493"/>
      <c r="AA313" s="2493"/>
      <c r="AB313" s="2493"/>
      <c r="AC313" s="2493"/>
      <c r="AD313" s="249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34" t="s">
        <v>1377</v>
      </c>
      <c r="B315" s="1634"/>
      <c r="C315" s="2495" t="s">
        <v>545</v>
      </c>
      <c r="D315" s="2495"/>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9" t="s">
        <v>1977</v>
      </c>
      <c r="G316" s="2490"/>
      <c r="H316" s="2490"/>
      <c r="I316" s="2490"/>
      <c r="J316" s="2490"/>
      <c r="K316" s="2490"/>
      <c r="L316" s="2490"/>
      <c r="M316" s="2490"/>
      <c r="N316" s="2490"/>
      <c r="O316" s="2490"/>
      <c r="P316" s="2490"/>
      <c r="Q316" s="2490"/>
      <c r="R316" s="2490"/>
      <c r="S316" s="2490"/>
      <c r="T316" s="2490"/>
      <c r="U316" s="2490"/>
      <c r="V316" s="2490"/>
      <c r="W316" s="2490"/>
      <c r="X316" s="2490"/>
      <c r="Y316" s="2490"/>
      <c r="Z316" s="2490"/>
      <c r="AA316" s="2490"/>
      <c r="AB316" s="2490"/>
      <c r="AC316" s="2490"/>
      <c r="AD316" s="2491"/>
      <c r="AE316" s="545"/>
      <c r="AF316" s="545"/>
      <c r="AG316" s="545"/>
      <c r="AH316" s="545"/>
      <c r="AI316" s="545"/>
      <c r="AJ316" s="544"/>
      <c r="AK316" s="544"/>
      <c r="AL316" s="544"/>
      <c r="AM316" s="544"/>
      <c r="AR316" s="639"/>
    </row>
    <row r="317" spans="1:49" ht="15" customHeight="1">
      <c r="A317" s="544"/>
      <c r="B317" s="545"/>
      <c r="C317" s="544"/>
      <c r="D317" s="545"/>
      <c r="E317" s="544"/>
      <c r="F317" s="2489"/>
      <c r="G317" s="2490"/>
      <c r="H317" s="2490"/>
      <c r="I317" s="2490"/>
      <c r="J317" s="2490"/>
      <c r="K317" s="2490"/>
      <c r="L317" s="2490"/>
      <c r="M317" s="2490"/>
      <c r="N317" s="2490"/>
      <c r="O317" s="2490"/>
      <c r="P317" s="2490"/>
      <c r="Q317" s="2490"/>
      <c r="R317" s="2490"/>
      <c r="S317" s="2490"/>
      <c r="T317" s="2490"/>
      <c r="U317" s="2490"/>
      <c r="V317" s="2490"/>
      <c r="W317" s="2490"/>
      <c r="X317" s="2490"/>
      <c r="Y317" s="2490"/>
      <c r="Z317" s="2490"/>
      <c r="AA317" s="2490"/>
      <c r="AB317" s="2490"/>
      <c r="AC317" s="2490"/>
      <c r="AD317" s="2491"/>
      <c r="AE317" s="545"/>
      <c r="AF317" s="545"/>
      <c r="AG317" s="545"/>
      <c r="AH317" s="545"/>
      <c r="AI317" s="545"/>
      <c r="AJ317" s="544"/>
      <c r="AK317" s="544"/>
      <c r="AL317" s="544"/>
      <c r="AM317" s="544"/>
      <c r="AR317" s="639"/>
    </row>
    <row r="318" spans="1:49">
      <c r="A318" s="544"/>
      <c r="B318" s="545"/>
      <c r="C318" s="544"/>
      <c r="D318" s="545"/>
      <c r="E318" s="544"/>
      <c r="F318" s="2489"/>
      <c r="G318" s="2490"/>
      <c r="H318" s="2490"/>
      <c r="I318" s="2490"/>
      <c r="J318" s="2490"/>
      <c r="K318" s="2490"/>
      <c r="L318" s="2490"/>
      <c r="M318" s="2490"/>
      <c r="N318" s="2490"/>
      <c r="O318" s="2490"/>
      <c r="P318" s="2490"/>
      <c r="Q318" s="2490"/>
      <c r="R318" s="2490"/>
      <c r="S318" s="2490"/>
      <c r="T318" s="2490"/>
      <c r="U318" s="2490"/>
      <c r="V318" s="2490"/>
      <c r="W318" s="2490"/>
      <c r="X318" s="2490"/>
      <c r="Y318" s="2490"/>
      <c r="Z318" s="2490"/>
      <c r="AA318" s="2490"/>
      <c r="AB318" s="2490"/>
      <c r="AC318" s="2490"/>
      <c r="AD318" s="2491"/>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2"/>
      <c r="G319" s="2493"/>
      <c r="H319" s="2493"/>
      <c r="I319" s="2493"/>
      <c r="J319" s="2493"/>
      <c r="K319" s="2493"/>
      <c r="L319" s="2493"/>
      <c r="M319" s="2493"/>
      <c r="N319" s="2493"/>
      <c r="O319" s="2493"/>
      <c r="P319" s="2493"/>
      <c r="Q319" s="2493"/>
      <c r="R319" s="2493"/>
      <c r="S319" s="2493"/>
      <c r="T319" s="2493"/>
      <c r="U319" s="2493"/>
      <c r="V319" s="2493"/>
      <c r="W319" s="2493"/>
      <c r="X319" s="2493"/>
      <c r="Y319" s="2493"/>
      <c r="Z319" s="2493"/>
      <c r="AA319" s="2493"/>
      <c r="AB319" s="2493"/>
      <c r="AC319" s="2493"/>
      <c r="AD319" s="249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34" t="s">
        <v>1380</v>
      </c>
      <c r="B323" s="1634"/>
      <c r="C323" s="2495" t="s">
        <v>591</v>
      </c>
      <c r="D323" s="2495"/>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89" t="s">
        <v>1982</v>
      </c>
      <c r="G324" s="2490"/>
      <c r="H324" s="2490"/>
      <c r="I324" s="2490"/>
      <c r="J324" s="2490"/>
      <c r="K324" s="2490"/>
      <c r="L324" s="2490"/>
      <c r="M324" s="2490"/>
      <c r="N324" s="2490"/>
      <c r="O324" s="2490"/>
      <c r="P324" s="2490"/>
      <c r="Q324" s="2490"/>
      <c r="R324" s="2490"/>
      <c r="S324" s="2490"/>
      <c r="T324" s="2490"/>
      <c r="U324" s="2490"/>
      <c r="V324" s="2490"/>
      <c r="W324" s="2490"/>
      <c r="X324" s="2490"/>
      <c r="Y324" s="2490"/>
      <c r="Z324" s="2490"/>
      <c r="AA324" s="2490"/>
      <c r="AB324" s="2490"/>
      <c r="AC324" s="2490"/>
      <c r="AD324" s="2491"/>
      <c r="AE324" s="545"/>
      <c r="AF324" s="545"/>
      <c r="AG324" s="535"/>
      <c r="AH324" s="545"/>
      <c r="AI324" s="545"/>
      <c r="AJ324" s="544"/>
      <c r="AK324" s="544"/>
      <c r="AL324" s="544"/>
      <c r="AM324" s="544"/>
      <c r="AN324" s="73"/>
      <c r="AO324" s="14"/>
      <c r="AP324" s="550" t="s">
        <v>1183</v>
      </c>
    </row>
    <row r="325" spans="1:44" hidden="1">
      <c r="F325" s="2489"/>
      <c r="G325" s="2490"/>
      <c r="H325" s="2490"/>
      <c r="I325" s="2490"/>
      <c r="J325" s="2490"/>
      <c r="K325" s="2490"/>
      <c r="L325" s="2490"/>
      <c r="M325" s="2490"/>
      <c r="N325" s="2490"/>
      <c r="O325" s="2490"/>
      <c r="P325" s="2490"/>
      <c r="Q325" s="2490"/>
      <c r="R325" s="2490"/>
      <c r="S325" s="2490"/>
      <c r="T325" s="2490"/>
      <c r="U325" s="2490"/>
      <c r="V325" s="2490"/>
      <c r="W325" s="2490"/>
      <c r="X325" s="2490"/>
      <c r="Y325" s="2490"/>
      <c r="Z325" s="2490"/>
      <c r="AA325" s="2490"/>
      <c r="AB325" s="2490"/>
      <c r="AC325" s="2490"/>
      <c r="AD325" s="2491"/>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4" t="s">
        <v>1183</v>
      </c>
      <c r="G329" s="2525"/>
      <c r="H329" s="2525"/>
      <c r="I329" s="2525"/>
      <c r="J329" s="2525"/>
      <c r="K329" s="2525"/>
      <c r="L329" s="2525"/>
      <c r="M329" s="2525"/>
      <c r="N329" s="2525"/>
      <c r="O329" s="2525"/>
      <c r="P329" s="2525"/>
      <c r="Q329" s="2525"/>
      <c r="R329" s="2525"/>
      <c r="S329" s="2525"/>
      <c r="T329" s="2525"/>
      <c r="U329" s="2525"/>
      <c r="V329" s="2525"/>
      <c r="W329" s="2525"/>
      <c r="X329" s="2525"/>
      <c r="Y329" s="2525"/>
      <c r="Z329" s="2525"/>
      <c r="AA329" s="2525"/>
      <c r="AB329" s="2525"/>
      <c r="AC329" s="2525"/>
      <c r="AD329" s="2526"/>
      <c r="AE329" s="635"/>
      <c r="AF329" s="635"/>
      <c r="AG329" s="635"/>
      <c r="AH329" s="635"/>
      <c r="AI329" s="635"/>
      <c r="AJ329" s="635"/>
      <c r="AK329" s="635"/>
      <c r="AL329" s="544"/>
      <c r="AM329" s="544"/>
      <c r="AN329" s="73"/>
      <c r="AO329" s="14"/>
      <c r="AP329" s="30"/>
    </row>
    <row r="330" spans="1:44" hidden="1">
      <c r="A330" s="544"/>
      <c r="B330" s="545"/>
      <c r="C330" s="721"/>
      <c r="D330" s="721"/>
      <c r="E330" s="541"/>
      <c r="F330" s="2524"/>
      <c r="G330" s="2525"/>
      <c r="H330" s="2525"/>
      <c r="I330" s="2525"/>
      <c r="J330" s="2525"/>
      <c r="K330" s="2525"/>
      <c r="L330" s="2525"/>
      <c r="M330" s="2525"/>
      <c r="N330" s="2525"/>
      <c r="O330" s="2525"/>
      <c r="P330" s="2525"/>
      <c r="Q330" s="2525"/>
      <c r="R330" s="2525"/>
      <c r="S330" s="2525"/>
      <c r="T330" s="2525"/>
      <c r="U330" s="2525"/>
      <c r="V330" s="2525"/>
      <c r="W330" s="2525"/>
      <c r="X330" s="2525"/>
      <c r="Y330" s="2525"/>
      <c r="Z330" s="2525"/>
      <c r="AA330" s="2525"/>
      <c r="AB330" s="2525"/>
      <c r="AC330" s="2525"/>
      <c r="AD330" s="2526"/>
      <c r="AE330" s="545"/>
      <c r="AF330" s="545"/>
      <c r="AG330" s="535"/>
      <c r="AH330" s="545"/>
      <c r="AI330" s="545"/>
      <c r="AJ330" s="544"/>
      <c r="AK330" s="544"/>
      <c r="AL330" s="544"/>
      <c r="AM330" s="544"/>
      <c r="AN330" s="73"/>
      <c r="AO330" s="14"/>
      <c r="AP330" s="30"/>
    </row>
    <row r="331" spans="1:44" hidden="1">
      <c r="A331" s="544"/>
      <c r="B331" s="545"/>
      <c r="C331" s="721"/>
      <c r="D331" s="721"/>
      <c r="E331" s="541"/>
      <c r="F331" s="2524"/>
      <c r="G331" s="2525"/>
      <c r="H331" s="2525"/>
      <c r="I331" s="2525"/>
      <c r="J331" s="2525"/>
      <c r="K331" s="2525"/>
      <c r="L331" s="2525"/>
      <c r="M331" s="2525"/>
      <c r="N331" s="2525"/>
      <c r="O331" s="2525"/>
      <c r="P331" s="2525"/>
      <c r="Q331" s="2525"/>
      <c r="R331" s="2525"/>
      <c r="S331" s="2525"/>
      <c r="T331" s="2525"/>
      <c r="U331" s="2525"/>
      <c r="V331" s="2525"/>
      <c r="W331" s="2525"/>
      <c r="X331" s="2525"/>
      <c r="Y331" s="2525"/>
      <c r="Z331" s="2525"/>
      <c r="AA331" s="2525"/>
      <c r="AB331" s="2525"/>
      <c r="AC331" s="2525"/>
      <c r="AD331" s="2526"/>
      <c r="AE331" s="545"/>
      <c r="AF331" s="545"/>
      <c r="AG331" s="535"/>
      <c r="AH331" s="545"/>
      <c r="AI331" s="545"/>
      <c r="AJ331" s="544"/>
      <c r="AK331" s="544"/>
      <c r="AL331" s="544"/>
      <c r="AM331" s="544"/>
      <c r="AN331" s="73"/>
      <c r="AO331" s="14"/>
      <c r="AP331" s="30"/>
    </row>
    <row r="332" spans="1:44" hidden="1">
      <c r="A332" s="544"/>
      <c r="B332" s="545"/>
      <c r="C332" s="721"/>
      <c r="D332" s="721"/>
      <c r="E332" s="541"/>
      <c r="F332" s="2524"/>
      <c r="G332" s="2525"/>
      <c r="H332" s="2525"/>
      <c r="I332" s="2525"/>
      <c r="J332" s="2525"/>
      <c r="K332" s="2525"/>
      <c r="L332" s="2525"/>
      <c r="M332" s="2525"/>
      <c r="N332" s="2525"/>
      <c r="O332" s="2525"/>
      <c r="P332" s="2525"/>
      <c r="Q332" s="2525"/>
      <c r="R332" s="2525"/>
      <c r="S332" s="2525"/>
      <c r="T332" s="2525"/>
      <c r="U332" s="2525"/>
      <c r="V332" s="2525"/>
      <c r="W332" s="2525"/>
      <c r="X332" s="2525"/>
      <c r="Y332" s="2525"/>
      <c r="Z332" s="2525"/>
      <c r="AA332" s="2525"/>
      <c r="AB332" s="2525"/>
      <c r="AC332" s="2525"/>
      <c r="AD332" s="2526"/>
      <c r="AE332" s="545"/>
      <c r="AF332" s="545"/>
      <c r="AG332" s="535"/>
      <c r="AH332" s="545"/>
      <c r="AI332" s="545"/>
      <c r="AJ332" s="544"/>
      <c r="AK332" s="544"/>
      <c r="AL332" s="544"/>
      <c r="AM332" s="544"/>
      <c r="AN332" s="73"/>
      <c r="AO332" s="14"/>
      <c r="AP332" s="30"/>
    </row>
    <row r="333" spans="1:44" hidden="1">
      <c r="A333" s="544"/>
      <c r="B333" s="545"/>
      <c r="C333" s="721"/>
      <c r="D333" s="721"/>
      <c r="E333" s="541"/>
      <c r="F333" s="2527"/>
      <c r="G333" s="2528"/>
      <c r="H333" s="2528"/>
      <c r="I333" s="2528"/>
      <c r="J333" s="2528"/>
      <c r="K333" s="2528"/>
      <c r="L333" s="2528"/>
      <c r="M333" s="2528"/>
      <c r="N333" s="2528"/>
      <c r="O333" s="2528"/>
      <c r="P333" s="2528"/>
      <c r="Q333" s="2528"/>
      <c r="R333" s="2528"/>
      <c r="S333" s="2528"/>
      <c r="T333" s="2528"/>
      <c r="U333" s="2528"/>
      <c r="V333" s="2528"/>
      <c r="W333" s="2528"/>
      <c r="X333" s="2528"/>
      <c r="Y333" s="2528"/>
      <c r="Z333" s="2528"/>
      <c r="AA333" s="2528"/>
      <c r="AB333" s="2528"/>
      <c r="AC333" s="2528"/>
      <c r="AD333" s="252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30" t="s">
        <v>1183</v>
      </c>
      <c r="J337" s="2530"/>
      <c r="K337" s="2530"/>
      <c r="L337" s="2530"/>
      <c r="M337" s="2530"/>
      <c r="N337" s="2530"/>
      <c r="O337" s="2530"/>
      <c r="P337" s="2530"/>
      <c r="Q337" s="2530"/>
      <c r="R337" s="2530"/>
      <c r="S337" s="2530"/>
      <c r="T337" s="2530"/>
      <c r="U337" s="2530"/>
      <c r="V337" s="2530"/>
      <c r="W337" s="2530"/>
      <c r="X337" s="2530"/>
      <c r="Y337" s="2530"/>
      <c r="Z337" s="2530"/>
      <c r="AA337" s="2530"/>
      <c r="AB337" s="2530"/>
      <c r="AC337" s="2530"/>
      <c r="AD337" s="2531"/>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30"/>
      <c r="J338" s="2530"/>
      <c r="K338" s="2530"/>
      <c r="L338" s="2530"/>
      <c r="M338" s="2530"/>
      <c r="N338" s="2530"/>
      <c r="O338" s="2530"/>
      <c r="P338" s="2530"/>
      <c r="Q338" s="2530"/>
      <c r="R338" s="2530"/>
      <c r="S338" s="2530"/>
      <c r="T338" s="2530"/>
      <c r="U338" s="2530"/>
      <c r="V338" s="2530"/>
      <c r="W338" s="2530"/>
      <c r="X338" s="2530"/>
      <c r="Y338" s="2530"/>
      <c r="Z338" s="2530"/>
      <c r="AA338" s="2530"/>
      <c r="AB338" s="2530"/>
      <c r="AC338" s="2530"/>
      <c r="AD338" s="2531"/>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30"/>
      <c r="J339" s="2530"/>
      <c r="K339" s="2530"/>
      <c r="L339" s="2530"/>
      <c r="M339" s="2530"/>
      <c r="N339" s="2530"/>
      <c r="O339" s="2530"/>
      <c r="P339" s="2530"/>
      <c r="Q339" s="2530"/>
      <c r="R339" s="2530"/>
      <c r="S339" s="2530"/>
      <c r="T339" s="2530"/>
      <c r="U339" s="2530"/>
      <c r="V339" s="2530"/>
      <c r="W339" s="2530"/>
      <c r="X339" s="2530"/>
      <c r="Y339" s="2530"/>
      <c r="Z339" s="2530"/>
      <c r="AA339" s="2530"/>
      <c r="AB339" s="2530"/>
      <c r="AC339" s="2530"/>
      <c r="AD339" s="2531"/>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32"/>
      <c r="J340" s="2532"/>
      <c r="K340" s="2532"/>
      <c r="L340" s="2532"/>
      <c r="M340" s="2532"/>
      <c r="N340" s="2532"/>
      <c r="O340" s="2532"/>
      <c r="P340" s="2532"/>
      <c r="Q340" s="2532"/>
      <c r="R340" s="2532"/>
      <c r="S340" s="2532"/>
      <c r="T340" s="2532"/>
      <c r="U340" s="2532"/>
      <c r="V340" s="2532"/>
      <c r="W340" s="2532"/>
      <c r="X340" s="2532"/>
      <c r="Y340" s="2532"/>
      <c r="Z340" s="2532"/>
      <c r="AA340" s="2532"/>
      <c r="AB340" s="2532"/>
      <c r="AC340" s="2532"/>
      <c r="AD340" s="2533"/>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30" t="s">
        <v>1183</v>
      </c>
      <c r="J342" s="2530"/>
      <c r="K342" s="2530"/>
      <c r="L342" s="2530"/>
      <c r="M342" s="2530"/>
      <c r="N342" s="2530"/>
      <c r="O342" s="2530"/>
      <c r="P342" s="2530"/>
      <c r="Q342" s="2530"/>
      <c r="R342" s="2530"/>
      <c r="S342" s="2530"/>
      <c r="T342" s="2530"/>
      <c r="U342" s="2530"/>
      <c r="V342" s="2530"/>
      <c r="W342" s="2530"/>
      <c r="X342" s="2530"/>
      <c r="Y342" s="2530"/>
      <c r="Z342" s="2530"/>
      <c r="AA342" s="2530"/>
      <c r="AB342" s="2530"/>
      <c r="AC342" s="2530"/>
      <c r="AD342" s="253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0"/>
      <c r="J343" s="2530"/>
      <c r="K343" s="2530"/>
      <c r="L343" s="2530"/>
      <c r="M343" s="2530"/>
      <c r="N343" s="2530"/>
      <c r="O343" s="2530"/>
      <c r="P343" s="2530"/>
      <c r="Q343" s="2530"/>
      <c r="R343" s="2530"/>
      <c r="S343" s="2530"/>
      <c r="T343" s="2530"/>
      <c r="U343" s="2530"/>
      <c r="V343" s="2530"/>
      <c r="W343" s="2530"/>
      <c r="X343" s="2530"/>
      <c r="Y343" s="2530"/>
      <c r="Z343" s="2530"/>
      <c r="AA343" s="2530"/>
      <c r="AB343" s="2530"/>
      <c r="AC343" s="2530"/>
      <c r="AD343" s="2531"/>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32"/>
      <c r="J344" s="2532"/>
      <c r="K344" s="2532"/>
      <c r="L344" s="2532"/>
      <c r="M344" s="2532"/>
      <c r="N344" s="2532"/>
      <c r="O344" s="2532"/>
      <c r="P344" s="2532"/>
      <c r="Q344" s="2532"/>
      <c r="R344" s="2532"/>
      <c r="S344" s="2532"/>
      <c r="T344" s="2532"/>
      <c r="U344" s="2532"/>
      <c r="V344" s="2532"/>
      <c r="W344" s="2532"/>
      <c r="X344" s="2532"/>
      <c r="Y344" s="2532"/>
      <c r="Z344" s="2532"/>
      <c r="AA344" s="2532"/>
      <c r="AB344" s="2532"/>
      <c r="AC344" s="2532"/>
      <c r="AD344" s="253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34" t="s">
        <v>1383</v>
      </c>
      <c r="B346" s="1634"/>
      <c r="C346" s="2495" t="s">
        <v>591</v>
      </c>
      <c r="D346" s="2495"/>
      <c r="E346" s="541"/>
      <c r="F346" s="2428" t="s">
        <v>1983</v>
      </c>
      <c r="G346" s="2429"/>
      <c r="H346" s="2429"/>
      <c r="I346" s="2429"/>
      <c r="J346" s="2429"/>
      <c r="K346" s="2429"/>
      <c r="L346" s="2429"/>
      <c r="M346" s="2429"/>
      <c r="N346" s="2429"/>
      <c r="O346" s="2429"/>
      <c r="P346" s="2429"/>
      <c r="Q346" s="2429"/>
      <c r="R346" s="2429"/>
      <c r="S346" s="2429"/>
      <c r="T346" s="2429"/>
      <c r="U346" s="2429"/>
      <c r="V346" s="2429"/>
      <c r="W346" s="2429"/>
      <c r="X346" s="2429"/>
      <c r="Y346" s="2429"/>
      <c r="Z346" s="2429"/>
      <c r="AA346" s="2429"/>
      <c r="AB346" s="2429"/>
      <c r="AC346" s="2429"/>
      <c r="AD346" s="2430"/>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7"/>
      <c r="G347" s="2458"/>
      <c r="H347" s="2458"/>
      <c r="I347" s="2458"/>
      <c r="J347" s="2458"/>
      <c r="K347" s="2458"/>
      <c r="L347" s="2458"/>
      <c r="M347" s="2458"/>
      <c r="N347" s="2458"/>
      <c r="O347" s="2458"/>
      <c r="P347" s="2458"/>
      <c r="Q347" s="2458"/>
      <c r="R347" s="2458"/>
      <c r="S347" s="2458"/>
      <c r="T347" s="2458"/>
      <c r="U347" s="2458"/>
      <c r="V347" s="2458"/>
      <c r="W347" s="2458"/>
      <c r="X347" s="2458"/>
      <c r="Y347" s="2458"/>
      <c r="Z347" s="2458"/>
      <c r="AA347" s="2458"/>
      <c r="AB347" s="2458"/>
      <c r="AC347" s="2458"/>
      <c r="AD347" s="2459"/>
      <c r="AE347" s="545"/>
      <c r="AF347" s="545"/>
      <c r="AG347" s="545"/>
      <c r="AH347" s="545"/>
      <c r="AI347" s="545"/>
      <c r="AJ347" s="544"/>
      <c r="AK347" s="544"/>
      <c r="AL347" s="544"/>
      <c r="AM347" s="544"/>
      <c r="AN347" s="73"/>
      <c r="AO347" s="14"/>
    </row>
    <row r="348" spans="1:42" ht="15" hidden="1" customHeight="1">
      <c r="A348" s="544"/>
      <c r="B348" s="545"/>
      <c r="C348" s="545"/>
      <c r="D348" s="545"/>
      <c r="E348" s="545"/>
      <c r="F348" s="2457"/>
      <c r="G348" s="2458"/>
      <c r="H348" s="2458"/>
      <c r="I348" s="2458"/>
      <c r="J348" s="2458"/>
      <c r="K348" s="2458"/>
      <c r="L348" s="2458"/>
      <c r="M348" s="2458"/>
      <c r="N348" s="2458"/>
      <c r="O348" s="2458"/>
      <c r="P348" s="2458"/>
      <c r="Q348" s="2458"/>
      <c r="R348" s="2458"/>
      <c r="S348" s="2458"/>
      <c r="T348" s="2458"/>
      <c r="U348" s="2458"/>
      <c r="V348" s="2458"/>
      <c r="W348" s="2458"/>
      <c r="X348" s="2458"/>
      <c r="Y348" s="2458"/>
      <c r="Z348" s="2458"/>
      <c r="AA348" s="2458"/>
      <c r="AB348" s="2458"/>
      <c r="AC348" s="2458"/>
      <c r="AD348" s="2459"/>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8">
        <f>IF(NOT(OR(Application!M364="Yes",Application!M365="Yes")),0,AP308)</f>
        <v>9</v>
      </c>
      <c r="AL351" s="2499"/>
      <c r="AM351" s="250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40" t="s">
        <v>1307</v>
      </c>
      <c r="AF354" s="2440"/>
      <c r="AG354" s="2440"/>
      <c r="AH354" s="2440"/>
      <c r="AI354" s="2440"/>
      <c r="AJ354" s="2440"/>
      <c r="AK354" s="244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4" t="s">
        <v>1444</v>
      </c>
      <c r="D356" s="2534"/>
      <c r="E356" s="2534"/>
      <c r="F356" s="2534"/>
      <c r="G356" s="2534"/>
      <c r="H356" s="2534"/>
      <c r="I356" s="2534"/>
      <c r="J356" s="2534"/>
      <c r="K356" s="2534"/>
      <c r="L356" s="2534"/>
      <c r="M356" s="2534"/>
      <c r="N356" s="2534"/>
      <c r="O356" s="2534"/>
      <c r="P356" s="2534"/>
      <c r="Q356" s="2534"/>
      <c r="R356" s="2534"/>
      <c r="S356" s="2534"/>
      <c r="T356" s="2534"/>
      <c r="U356" s="2534"/>
      <c r="V356" s="2534"/>
      <c r="W356" s="2534"/>
      <c r="X356" s="2534"/>
      <c r="Y356" s="2534"/>
      <c r="Z356" s="2534"/>
      <c r="AA356" s="2534"/>
      <c r="AB356" s="2534"/>
      <c r="AC356" s="2534"/>
      <c r="AD356" s="2534"/>
      <c r="AE356" s="2534"/>
      <c r="AF356" s="2534"/>
      <c r="AG356" s="2534"/>
      <c r="AH356" s="2534"/>
      <c r="AI356" s="2534"/>
      <c r="AJ356" s="2534"/>
      <c r="AK356" s="596"/>
      <c r="AL356" s="596"/>
      <c r="AM356" s="596"/>
      <c r="AN356" s="590"/>
    </row>
    <row r="357" spans="1:44" s="544" customFormat="1" ht="12.75" customHeight="1">
      <c r="A357" s="596"/>
      <c r="B357" s="604"/>
      <c r="C357" s="2534"/>
      <c r="D357" s="2534"/>
      <c r="E357" s="2534"/>
      <c r="F357" s="2534"/>
      <c r="G357" s="2534"/>
      <c r="H357" s="2534"/>
      <c r="I357" s="2534"/>
      <c r="J357" s="2534"/>
      <c r="K357" s="2534"/>
      <c r="L357" s="2534"/>
      <c r="M357" s="2534"/>
      <c r="N357" s="2534"/>
      <c r="O357" s="2534"/>
      <c r="P357" s="2534"/>
      <c r="Q357" s="2534"/>
      <c r="R357" s="2534"/>
      <c r="S357" s="2534"/>
      <c r="T357" s="2534"/>
      <c r="U357" s="2534"/>
      <c r="V357" s="2534"/>
      <c r="W357" s="2534"/>
      <c r="X357" s="2534"/>
      <c r="Y357" s="2534"/>
      <c r="Z357" s="2534"/>
      <c r="AA357" s="2534"/>
      <c r="AB357" s="2534"/>
      <c r="AC357" s="2534"/>
      <c r="AD357" s="2534"/>
      <c r="AE357" s="2534"/>
      <c r="AF357" s="2534"/>
      <c r="AG357" s="2534"/>
      <c r="AH357" s="2534"/>
      <c r="AI357" s="2534"/>
      <c r="AJ357" s="2534"/>
      <c r="AK357" s="596"/>
      <c r="AL357" s="596"/>
      <c r="AM357" s="596"/>
      <c r="AN357" s="590"/>
    </row>
    <row r="358" spans="1:44" s="544" customFormat="1" ht="12.75" customHeight="1">
      <c r="A358" s="596"/>
      <c r="B358" s="604"/>
      <c r="C358" s="2534"/>
      <c r="D358" s="2534"/>
      <c r="E358" s="2534"/>
      <c r="F358" s="2534"/>
      <c r="G358" s="2534"/>
      <c r="H358" s="2534"/>
      <c r="I358" s="2534"/>
      <c r="J358" s="2534"/>
      <c r="K358" s="2534"/>
      <c r="L358" s="2534"/>
      <c r="M358" s="2534"/>
      <c r="N358" s="2534"/>
      <c r="O358" s="2534"/>
      <c r="P358" s="2534"/>
      <c r="Q358" s="2534"/>
      <c r="R358" s="2534"/>
      <c r="S358" s="2534"/>
      <c r="T358" s="2534"/>
      <c r="U358" s="2534"/>
      <c r="V358" s="2534"/>
      <c r="W358" s="2534"/>
      <c r="X358" s="2534"/>
      <c r="Y358" s="2534"/>
      <c r="Z358" s="2534"/>
      <c r="AA358" s="2534"/>
      <c r="AB358" s="2534"/>
      <c r="AC358" s="2534"/>
      <c r="AD358" s="2534"/>
      <c r="AE358" s="2534"/>
      <c r="AF358" s="2534"/>
      <c r="AG358" s="2534"/>
      <c r="AH358" s="2534"/>
      <c r="AI358" s="2534"/>
      <c r="AJ358" s="2534"/>
      <c r="AK358" s="596"/>
      <c r="AL358" s="596"/>
      <c r="AM358" s="596"/>
      <c r="AN358" s="590"/>
      <c r="AQ358" s="563"/>
    </row>
    <row r="359" spans="1:44" s="544" customFormat="1" ht="12.75" customHeight="1">
      <c r="A359" s="596"/>
      <c r="B359" s="604"/>
      <c r="C359" s="2534"/>
      <c r="D359" s="2534"/>
      <c r="E359" s="2534"/>
      <c r="F359" s="2534"/>
      <c r="G359" s="2534"/>
      <c r="H359" s="2534"/>
      <c r="I359" s="2534"/>
      <c r="J359" s="2534"/>
      <c r="K359" s="2534"/>
      <c r="L359" s="2534"/>
      <c r="M359" s="2534"/>
      <c r="N359" s="2534"/>
      <c r="O359" s="2534"/>
      <c r="P359" s="2534"/>
      <c r="Q359" s="2534"/>
      <c r="R359" s="2534"/>
      <c r="S359" s="2534"/>
      <c r="T359" s="2534"/>
      <c r="U359" s="2534"/>
      <c r="V359" s="2534"/>
      <c r="W359" s="2534"/>
      <c r="X359" s="2534"/>
      <c r="Y359" s="2534"/>
      <c r="Z359" s="2534"/>
      <c r="AA359" s="2534"/>
      <c r="AB359" s="2534"/>
      <c r="AC359" s="2534"/>
      <c r="AD359" s="2534"/>
      <c r="AE359" s="2534"/>
      <c r="AF359" s="2534"/>
      <c r="AG359" s="2534"/>
      <c r="AH359" s="2534"/>
      <c r="AI359" s="2534"/>
      <c r="AJ359" s="2534"/>
      <c r="AK359" s="596"/>
      <c r="AL359" s="596"/>
      <c r="AM359" s="596"/>
      <c r="AN359" s="590"/>
      <c r="AQ359" s="563"/>
    </row>
    <row r="360" spans="1:44" s="544" customFormat="1" ht="12.45" customHeight="1">
      <c r="A360" s="596"/>
      <c r="B360" s="604"/>
      <c r="C360" s="2534"/>
      <c r="D360" s="2534"/>
      <c r="E360" s="2534"/>
      <c r="F360" s="2534"/>
      <c r="G360" s="2534"/>
      <c r="H360" s="2534"/>
      <c r="I360" s="2534"/>
      <c r="J360" s="2534"/>
      <c r="K360" s="2534"/>
      <c r="L360" s="2534"/>
      <c r="M360" s="2534"/>
      <c r="N360" s="2534"/>
      <c r="O360" s="2534"/>
      <c r="P360" s="2534"/>
      <c r="Q360" s="2534"/>
      <c r="R360" s="2534"/>
      <c r="S360" s="2534"/>
      <c r="T360" s="2534"/>
      <c r="U360" s="2534"/>
      <c r="V360" s="2534"/>
      <c r="W360" s="2534"/>
      <c r="X360" s="2534"/>
      <c r="Y360" s="2534"/>
      <c r="Z360" s="2534"/>
      <c r="AA360" s="2534"/>
      <c r="AB360" s="2534"/>
      <c r="AC360" s="2534"/>
      <c r="AD360" s="2534"/>
      <c r="AE360" s="2534"/>
      <c r="AF360" s="2534"/>
      <c r="AG360" s="2534"/>
      <c r="AH360" s="2534"/>
      <c r="AI360" s="2534"/>
      <c r="AJ360" s="2534"/>
      <c r="AK360" s="596"/>
      <c r="AL360" s="596"/>
      <c r="AM360" s="596"/>
      <c r="AN360" s="590"/>
      <c r="AQ360" s="563"/>
      <c r="AR360" s="563"/>
    </row>
    <row r="361" spans="1:44" s="544" customFormat="1" ht="45.75" customHeight="1">
      <c r="A361" s="596"/>
      <c r="B361" s="604"/>
      <c r="C361" s="2534" t="s">
        <v>2042</v>
      </c>
      <c r="D361" s="2534"/>
      <c r="E361" s="2534"/>
      <c r="F361" s="2534"/>
      <c r="G361" s="2534"/>
      <c r="H361" s="2534"/>
      <c r="I361" s="2534"/>
      <c r="J361" s="2534"/>
      <c r="K361" s="2534"/>
      <c r="L361" s="2534"/>
      <c r="M361" s="2534"/>
      <c r="N361" s="2534"/>
      <c r="O361" s="2534"/>
      <c r="P361" s="2534"/>
      <c r="Q361" s="2534"/>
      <c r="R361" s="2534"/>
      <c r="S361" s="2534"/>
      <c r="T361" s="2534"/>
      <c r="U361" s="2534"/>
      <c r="V361" s="2534"/>
      <c r="W361" s="2534"/>
      <c r="X361" s="2534"/>
      <c r="Y361" s="2534"/>
      <c r="Z361" s="2534"/>
      <c r="AA361" s="2534"/>
      <c r="AB361" s="2534"/>
      <c r="AC361" s="2534"/>
      <c r="AD361" s="2534"/>
      <c r="AE361" s="2534"/>
      <c r="AF361" s="2534"/>
      <c r="AG361" s="2534"/>
      <c r="AH361" s="2534"/>
      <c r="AI361" s="2534"/>
      <c r="AJ361" s="2534"/>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4" t="s">
        <v>2156</v>
      </c>
      <c r="D363" s="2534"/>
      <c r="E363" s="2534"/>
      <c r="F363" s="2534"/>
      <c r="G363" s="2534"/>
      <c r="H363" s="2534"/>
      <c r="I363" s="2534"/>
      <c r="J363" s="2534"/>
      <c r="K363" s="2534"/>
      <c r="L363" s="2534"/>
      <c r="M363" s="2534"/>
      <c r="N363" s="2534"/>
      <c r="O363" s="2534"/>
      <c r="P363" s="2534"/>
      <c r="Q363" s="2534"/>
      <c r="R363" s="2534"/>
      <c r="S363" s="2534"/>
      <c r="T363" s="2534"/>
      <c r="U363" s="2534"/>
      <c r="V363" s="2534"/>
      <c r="W363" s="2534"/>
      <c r="X363" s="2534"/>
      <c r="Y363" s="2534"/>
      <c r="Z363" s="2534"/>
      <c r="AA363" s="2534"/>
      <c r="AB363" s="2534"/>
      <c r="AC363" s="2534"/>
      <c r="AD363" s="2534"/>
      <c r="AE363" s="2534"/>
      <c r="AF363" s="2534"/>
      <c r="AG363" s="2534"/>
      <c r="AH363" s="2534"/>
      <c r="AI363" s="2534"/>
      <c r="AJ363" s="2534"/>
      <c r="AK363" s="596"/>
      <c r="AL363" s="596"/>
      <c r="AM363" s="596"/>
      <c r="AN363" s="590"/>
      <c r="AQ363" s="563"/>
      <c r="AR363" s="563"/>
    </row>
    <row r="364" spans="1:44" s="544" customFormat="1" ht="30" customHeight="1">
      <c r="A364" s="596"/>
      <c r="B364" s="604"/>
      <c r="C364" s="2534"/>
      <c r="D364" s="2534"/>
      <c r="E364" s="2534"/>
      <c r="F364" s="2534"/>
      <c r="G364" s="2534"/>
      <c r="H364" s="2534"/>
      <c r="I364" s="2534"/>
      <c r="J364" s="2534"/>
      <c r="K364" s="2534"/>
      <c r="L364" s="2534"/>
      <c r="M364" s="2534"/>
      <c r="N364" s="2534"/>
      <c r="O364" s="2534"/>
      <c r="P364" s="2534"/>
      <c r="Q364" s="2534"/>
      <c r="R364" s="2534"/>
      <c r="S364" s="2534"/>
      <c r="T364" s="2534"/>
      <c r="U364" s="2534"/>
      <c r="V364" s="2534"/>
      <c r="W364" s="2534"/>
      <c r="X364" s="2534"/>
      <c r="Y364" s="2534"/>
      <c r="Z364" s="2534"/>
      <c r="AA364" s="2534"/>
      <c r="AB364" s="2534"/>
      <c r="AC364" s="2534"/>
      <c r="AD364" s="2534"/>
      <c r="AE364" s="2534"/>
      <c r="AF364" s="2534"/>
      <c r="AG364" s="2534"/>
      <c r="AH364" s="2534"/>
      <c r="AI364" s="2534"/>
      <c r="AJ364" s="2534"/>
      <c r="AK364" s="596"/>
      <c r="AL364" s="596"/>
      <c r="AM364" s="596"/>
      <c r="AN364" s="590"/>
      <c r="AR364" s="563"/>
    </row>
    <row r="365" spans="1:44" s="544" customFormat="1" ht="12.75" customHeight="1">
      <c r="A365" s="596"/>
      <c r="B365" s="604"/>
      <c r="C365" s="2534"/>
      <c r="D365" s="2534"/>
      <c r="E365" s="2534"/>
      <c r="F365" s="2534"/>
      <c r="G365" s="2534"/>
      <c r="H365" s="2534"/>
      <c r="I365" s="2534"/>
      <c r="J365" s="2534"/>
      <c r="K365" s="2534"/>
      <c r="L365" s="2534"/>
      <c r="M365" s="2534"/>
      <c r="N365" s="2534"/>
      <c r="O365" s="2534"/>
      <c r="P365" s="2534"/>
      <c r="Q365" s="2534"/>
      <c r="R365" s="2534"/>
      <c r="S365" s="2534"/>
      <c r="T365" s="2534"/>
      <c r="U365" s="2534"/>
      <c r="V365" s="2534"/>
      <c r="W365" s="2534"/>
      <c r="X365" s="2534"/>
      <c r="Y365" s="2534"/>
      <c r="Z365" s="2534"/>
      <c r="AA365" s="2534"/>
      <c r="AB365" s="2534"/>
      <c r="AC365" s="2534"/>
      <c r="AD365" s="2534"/>
      <c r="AE365" s="2534"/>
      <c r="AF365" s="2534"/>
      <c r="AG365" s="2534"/>
      <c r="AH365" s="2534"/>
      <c r="AI365" s="2534"/>
      <c r="AJ365" s="2534"/>
      <c r="AK365" s="596"/>
      <c r="AL365" s="596"/>
      <c r="AM365" s="596"/>
      <c r="AN365" s="590"/>
      <c r="AR365" s="563"/>
    </row>
    <row r="366" spans="1:44" s="544" customFormat="1" ht="12.75" customHeight="1">
      <c r="A366" s="596"/>
      <c r="B366" s="604"/>
      <c r="C366" s="2534" t="s">
        <v>1445</v>
      </c>
      <c r="D366" s="2534"/>
      <c r="E366" s="2534"/>
      <c r="F366" s="2534"/>
      <c r="G366" s="2534"/>
      <c r="H366" s="2534"/>
      <c r="I366" s="2534"/>
      <c r="J366" s="2534"/>
      <c r="K366" s="2534"/>
      <c r="L366" s="2534"/>
      <c r="M366" s="2534"/>
      <c r="N366" s="2534"/>
      <c r="O366" s="2534"/>
      <c r="P366" s="2534"/>
      <c r="Q366" s="2534"/>
      <c r="R366" s="2534"/>
      <c r="S366" s="2534"/>
      <c r="T366" s="2534"/>
      <c r="U366" s="2534"/>
      <c r="V366" s="2534"/>
      <c r="W366" s="2534"/>
      <c r="X366" s="2534"/>
      <c r="Y366" s="2534"/>
      <c r="Z366" s="2534"/>
      <c r="AA366" s="2534"/>
      <c r="AB366" s="2534"/>
      <c r="AC366" s="2534"/>
      <c r="AD366" s="2534"/>
      <c r="AE366" s="2534"/>
      <c r="AF366" s="2534"/>
      <c r="AG366" s="2534"/>
      <c r="AH366" s="2534"/>
      <c r="AI366" s="2534"/>
      <c r="AJ366" s="2534"/>
      <c r="AK366" s="596"/>
      <c r="AL366" s="596"/>
      <c r="AM366" s="596"/>
      <c r="AN366" s="590"/>
      <c r="AQ366" s="563"/>
      <c r="AR366" s="563"/>
    </row>
    <row r="367" spans="1:44" s="544" customFormat="1" ht="12.75" customHeight="1">
      <c r="A367" s="596"/>
      <c r="B367" s="604"/>
      <c r="C367" s="2534"/>
      <c r="D367" s="2534"/>
      <c r="E367" s="2534"/>
      <c r="F367" s="2534"/>
      <c r="G367" s="2534"/>
      <c r="H367" s="2534"/>
      <c r="I367" s="2534"/>
      <c r="J367" s="2534"/>
      <c r="K367" s="2534"/>
      <c r="L367" s="2534"/>
      <c r="M367" s="2534"/>
      <c r="N367" s="2534"/>
      <c r="O367" s="2534"/>
      <c r="P367" s="2534"/>
      <c r="Q367" s="2534"/>
      <c r="R367" s="2534"/>
      <c r="S367" s="2534"/>
      <c r="T367" s="2534"/>
      <c r="U367" s="2534"/>
      <c r="V367" s="2534"/>
      <c r="W367" s="2534"/>
      <c r="X367" s="2534"/>
      <c r="Y367" s="2534"/>
      <c r="Z367" s="2534"/>
      <c r="AA367" s="2534"/>
      <c r="AB367" s="2534"/>
      <c r="AC367" s="2534"/>
      <c r="AD367" s="2534"/>
      <c r="AE367" s="2534"/>
      <c r="AF367" s="2534"/>
      <c r="AG367" s="2534"/>
      <c r="AH367" s="2534"/>
      <c r="AI367" s="2534"/>
      <c r="AJ367" s="2534"/>
      <c r="AK367" s="596"/>
      <c r="AL367" s="596"/>
      <c r="AM367" s="596"/>
      <c r="AN367" s="590"/>
      <c r="AQ367" s="563"/>
      <c r="AR367" s="563"/>
    </row>
    <row r="368" spans="1:44" s="544" customFormat="1" ht="13.2" customHeight="1">
      <c r="A368" s="596"/>
      <c r="B368" s="604"/>
      <c r="C368" s="2534"/>
      <c r="D368" s="2534"/>
      <c r="E368" s="2534"/>
      <c r="F368" s="2534"/>
      <c r="G368" s="2534"/>
      <c r="H368" s="2534"/>
      <c r="I368" s="2534"/>
      <c r="J368" s="2534"/>
      <c r="K368" s="2534"/>
      <c r="L368" s="2534"/>
      <c r="M368" s="2534"/>
      <c r="N368" s="2534"/>
      <c r="O368" s="2534"/>
      <c r="P368" s="2534"/>
      <c r="Q368" s="2534"/>
      <c r="R368" s="2534"/>
      <c r="S368" s="2534"/>
      <c r="T368" s="2534"/>
      <c r="U368" s="2534"/>
      <c r="V368" s="2534"/>
      <c r="W368" s="2534"/>
      <c r="X368" s="2534"/>
      <c r="Y368" s="2534"/>
      <c r="Z368" s="2534"/>
      <c r="AA368" s="2534"/>
      <c r="AB368" s="2534"/>
      <c r="AC368" s="2534"/>
      <c r="AD368" s="2534"/>
      <c r="AE368" s="2534"/>
      <c r="AF368" s="2534"/>
      <c r="AG368" s="2534"/>
      <c r="AH368" s="2534"/>
      <c r="AI368" s="2534"/>
      <c r="AJ368" s="2534"/>
      <c r="AK368" s="596"/>
      <c r="AL368" s="596"/>
      <c r="AM368" s="596"/>
      <c r="AN368" s="590"/>
      <c r="AQ368" s="563"/>
      <c r="AR368" s="563"/>
    </row>
    <row r="369" spans="1:46" s="544" customFormat="1" ht="12.75" customHeight="1">
      <c r="A369" s="596"/>
      <c r="B369" s="604"/>
      <c r="C369" s="2534"/>
      <c r="D369" s="2534"/>
      <c r="E369" s="2534"/>
      <c r="F369" s="2534"/>
      <c r="G369" s="2534"/>
      <c r="H369" s="2534"/>
      <c r="I369" s="2534"/>
      <c r="J369" s="2534"/>
      <c r="K369" s="2534"/>
      <c r="L369" s="2534"/>
      <c r="M369" s="2534"/>
      <c r="N369" s="2534"/>
      <c r="O369" s="2534"/>
      <c r="P369" s="2534"/>
      <c r="Q369" s="2534"/>
      <c r="R369" s="2534"/>
      <c r="S369" s="2534"/>
      <c r="T369" s="2534"/>
      <c r="U369" s="2534"/>
      <c r="V369" s="2534"/>
      <c r="W369" s="2534"/>
      <c r="X369" s="2534"/>
      <c r="Y369" s="2534"/>
      <c r="Z369" s="2534"/>
      <c r="AA369" s="2534"/>
      <c r="AB369" s="2534"/>
      <c r="AC369" s="2534"/>
      <c r="AD369" s="2534"/>
      <c r="AE369" s="2534"/>
      <c r="AF369" s="2534"/>
      <c r="AG369" s="2534"/>
      <c r="AH369" s="2534"/>
      <c r="AI369" s="2534"/>
      <c r="AJ369" s="2534"/>
      <c r="AK369" s="596"/>
      <c r="AL369" s="596"/>
      <c r="AM369" s="596"/>
      <c r="AN369" s="590"/>
      <c r="AO369" s="685"/>
      <c r="AP369" s="685"/>
      <c r="AQ369" s="563"/>
    </row>
    <row r="370" spans="1:46" s="544" customFormat="1" ht="11.85" customHeight="1">
      <c r="A370" s="596"/>
      <c r="B370" s="604"/>
      <c r="C370" s="2534"/>
      <c r="D370" s="2534"/>
      <c r="E370" s="2534"/>
      <c r="F370" s="2534"/>
      <c r="G370" s="2534"/>
      <c r="H370" s="2534"/>
      <c r="I370" s="2534"/>
      <c r="J370" s="2534"/>
      <c r="K370" s="2534"/>
      <c r="L370" s="2534"/>
      <c r="M370" s="2534"/>
      <c r="N370" s="2534"/>
      <c r="O370" s="2534"/>
      <c r="P370" s="2534"/>
      <c r="Q370" s="2534"/>
      <c r="R370" s="2534"/>
      <c r="S370" s="2534"/>
      <c r="T370" s="2534"/>
      <c r="U370" s="2534"/>
      <c r="V370" s="2534"/>
      <c r="W370" s="2534"/>
      <c r="X370" s="2534"/>
      <c r="Y370" s="2534"/>
      <c r="Z370" s="2534"/>
      <c r="AA370" s="2534"/>
      <c r="AB370" s="2534"/>
      <c r="AC370" s="2534"/>
      <c r="AD370" s="2534"/>
      <c r="AE370" s="2534"/>
      <c r="AF370" s="2534"/>
      <c r="AG370" s="2534"/>
      <c r="AH370" s="2534"/>
      <c r="AI370" s="2534"/>
      <c r="AJ370" s="2534"/>
      <c r="AK370" s="596"/>
      <c r="AL370" s="596"/>
      <c r="AM370" s="596"/>
      <c r="AN370" s="590"/>
      <c r="AO370" s="686" t="s">
        <v>112</v>
      </c>
      <c r="AP370" s="687">
        <f>IF(C394="Yes",5,0)</f>
        <v>0</v>
      </c>
      <c r="AS370" s="535" t="s">
        <v>1446</v>
      </c>
    </row>
    <row r="371" spans="1:46" s="544" customFormat="1" ht="12.75" customHeight="1">
      <c r="A371" s="596"/>
      <c r="B371" s="604"/>
      <c r="C371" s="2534"/>
      <c r="D371" s="2534"/>
      <c r="E371" s="2534"/>
      <c r="F371" s="2534"/>
      <c r="G371" s="2534"/>
      <c r="H371" s="2534"/>
      <c r="I371" s="2534"/>
      <c r="J371" s="2534"/>
      <c r="K371" s="2534"/>
      <c r="L371" s="2534"/>
      <c r="M371" s="2534"/>
      <c r="N371" s="2534"/>
      <c r="O371" s="2534"/>
      <c r="P371" s="2534"/>
      <c r="Q371" s="2534"/>
      <c r="R371" s="2534"/>
      <c r="S371" s="2534"/>
      <c r="T371" s="2534"/>
      <c r="U371" s="2534"/>
      <c r="V371" s="2534"/>
      <c r="W371" s="2534"/>
      <c r="X371" s="2534"/>
      <c r="Y371" s="2534"/>
      <c r="Z371" s="2534"/>
      <c r="AA371" s="2534"/>
      <c r="AB371" s="2534"/>
      <c r="AC371" s="2534"/>
      <c r="AD371" s="2534"/>
      <c r="AE371" s="2534"/>
      <c r="AF371" s="2534"/>
      <c r="AG371" s="2534"/>
      <c r="AH371" s="2534"/>
      <c r="AI371" s="2534"/>
      <c r="AJ371" s="2534"/>
      <c r="AK371" s="596"/>
      <c r="AL371" s="596"/>
      <c r="AM371" s="596"/>
      <c r="AN371" s="590"/>
      <c r="AO371" s="686" t="s">
        <v>113</v>
      </c>
      <c r="AP371" s="687">
        <f>IF(C402="Yes",5,0)</f>
        <v>0</v>
      </c>
      <c r="AS371" s="2564">
        <f>IF(Application!D211="Non-Targeted",(SUM(AQ379+AQ388)),AS375)</f>
        <v>10</v>
      </c>
      <c r="AT371" s="2564"/>
    </row>
    <row r="372" spans="1:46" s="544" customFormat="1" ht="12.75" customHeight="1">
      <c r="A372" s="596"/>
      <c r="B372" s="604"/>
      <c r="C372" s="2534"/>
      <c r="D372" s="2534"/>
      <c r="E372" s="2534"/>
      <c r="F372" s="2534"/>
      <c r="G372" s="2534"/>
      <c r="H372" s="2534"/>
      <c r="I372" s="2534"/>
      <c r="J372" s="2534"/>
      <c r="K372" s="2534"/>
      <c r="L372" s="2534"/>
      <c r="M372" s="2534"/>
      <c r="N372" s="2534"/>
      <c r="O372" s="2534"/>
      <c r="P372" s="2534"/>
      <c r="Q372" s="2534"/>
      <c r="R372" s="2534"/>
      <c r="S372" s="2534"/>
      <c r="T372" s="2534"/>
      <c r="U372" s="2534"/>
      <c r="V372" s="2534"/>
      <c r="W372" s="2534"/>
      <c r="X372" s="2534"/>
      <c r="Y372" s="2534"/>
      <c r="Z372" s="2534"/>
      <c r="AA372" s="2534"/>
      <c r="AB372" s="2534"/>
      <c r="AC372" s="2534"/>
      <c r="AD372" s="2534"/>
      <c r="AE372" s="2534"/>
      <c r="AF372" s="2534"/>
      <c r="AG372" s="2534"/>
      <c r="AH372" s="2534"/>
      <c r="AI372" s="2534"/>
      <c r="AJ372" s="2534"/>
      <c r="AK372" s="596"/>
      <c r="AL372" s="596"/>
      <c r="AM372" s="596"/>
      <c r="AN372" s="590"/>
      <c r="AO372" s="686" t="s">
        <v>119</v>
      </c>
      <c r="AP372" s="687">
        <f>IF(C410="Yes",7,0)</f>
        <v>7</v>
      </c>
      <c r="AS372" s="535" t="s">
        <v>1447</v>
      </c>
    </row>
    <row r="373" spans="1:46" s="544" customFormat="1" ht="12.75" customHeight="1">
      <c r="B373" s="604"/>
      <c r="C373" s="2534"/>
      <c r="D373" s="2534"/>
      <c r="E373" s="2534"/>
      <c r="F373" s="2534"/>
      <c r="G373" s="2534"/>
      <c r="H373" s="2534"/>
      <c r="I373" s="2534"/>
      <c r="J373" s="2534"/>
      <c r="K373" s="2534"/>
      <c r="L373" s="2534"/>
      <c r="M373" s="2534"/>
      <c r="N373" s="2534"/>
      <c r="O373" s="2534"/>
      <c r="P373" s="2534"/>
      <c r="Q373" s="2534"/>
      <c r="R373" s="2534"/>
      <c r="S373" s="2534"/>
      <c r="T373" s="2534"/>
      <c r="U373" s="2534"/>
      <c r="V373" s="2534"/>
      <c r="W373" s="2534"/>
      <c r="X373" s="2534"/>
      <c r="Y373" s="2534"/>
      <c r="Z373" s="2534"/>
      <c r="AA373" s="2534"/>
      <c r="AB373" s="2534"/>
      <c r="AC373" s="2534"/>
      <c r="AD373" s="2534"/>
      <c r="AE373" s="2534"/>
      <c r="AF373" s="2534"/>
      <c r="AG373" s="2534"/>
      <c r="AH373" s="2534"/>
      <c r="AI373" s="2534"/>
      <c r="AJ373" s="2534"/>
      <c r="AK373" s="596"/>
      <c r="AL373" s="596"/>
      <c r="AM373" s="596"/>
      <c r="AN373" s="590"/>
      <c r="AO373" s="590"/>
      <c r="AP373" s="687">
        <f>IF(C412="Yes",5,0)</f>
        <v>0</v>
      </c>
      <c r="AS373" s="2564">
        <f>IF(AND(AQ379&gt;0,AQ388&gt;0),(AQ379+AQ388)/2,0)</f>
        <v>0</v>
      </c>
      <c r="AT373" s="2564"/>
    </row>
    <row r="374" spans="1:46" s="544" customFormat="1" ht="12.75" customHeight="1">
      <c r="A374" s="596"/>
      <c r="B374" s="604"/>
      <c r="C374" s="2534"/>
      <c r="D374" s="2534"/>
      <c r="E374" s="2534"/>
      <c r="F374" s="2534"/>
      <c r="G374" s="2534"/>
      <c r="H374" s="2534"/>
      <c r="I374" s="2534"/>
      <c r="J374" s="2534"/>
      <c r="K374" s="2534"/>
      <c r="L374" s="2534"/>
      <c r="M374" s="2534"/>
      <c r="N374" s="2534"/>
      <c r="O374" s="2534"/>
      <c r="P374" s="2534"/>
      <c r="Q374" s="2534"/>
      <c r="R374" s="2534"/>
      <c r="S374" s="2534"/>
      <c r="T374" s="2534"/>
      <c r="U374" s="2534"/>
      <c r="V374" s="2534"/>
      <c r="W374" s="2534"/>
      <c r="X374" s="2534"/>
      <c r="Y374" s="2534"/>
      <c r="Z374" s="2534"/>
      <c r="AA374" s="2534"/>
      <c r="AB374" s="2534"/>
      <c r="AC374" s="2534"/>
      <c r="AD374" s="2534"/>
      <c r="AE374" s="2534"/>
      <c r="AF374" s="2534"/>
      <c r="AG374" s="2534"/>
      <c r="AH374" s="2534"/>
      <c r="AI374" s="2534"/>
      <c r="AJ374" s="2534"/>
      <c r="AK374" s="596"/>
      <c r="AL374" s="596"/>
      <c r="AM374" s="596"/>
      <c r="AN374" s="590"/>
      <c r="AO374" s="686" t="s">
        <v>581</v>
      </c>
      <c r="AP374" s="687">
        <f>IF(C420="Yes",5,0)</f>
        <v>0</v>
      </c>
      <c r="AS374" s="535" t="s">
        <v>1847</v>
      </c>
    </row>
    <row r="375" spans="1:46" s="544" customFormat="1" ht="12.75" customHeight="1">
      <c r="A375" s="596"/>
      <c r="B375" s="604"/>
      <c r="C375" s="2565" t="s">
        <v>2180</v>
      </c>
      <c r="D375" s="2565"/>
      <c r="E375" s="2565"/>
      <c r="F375" s="2565"/>
      <c r="G375" s="2565"/>
      <c r="H375" s="2565"/>
      <c r="I375" s="2565"/>
      <c r="J375" s="2565"/>
      <c r="K375" s="2565"/>
      <c r="L375" s="2565"/>
      <c r="M375" s="2565"/>
      <c r="N375" s="2565"/>
      <c r="O375" s="2565"/>
      <c r="P375" s="2565"/>
      <c r="Q375" s="2565"/>
      <c r="R375" s="2565"/>
      <c r="S375" s="2565"/>
      <c r="T375" s="2565"/>
      <c r="U375" s="2565"/>
      <c r="V375" s="2565"/>
      <c r="W375" s="2565"/>
      <c r="X375" s="2565"/>
      <c r="Y375" s="2565"/>
      <c r="Z375" s="2565"/>
      <c r="AA375" s="2565"/>
      <c r="AB375" s="2565"/>
      <c r="AC375" s="2565"/>
      <c r="AD375" s="2565"/>
      <c r="AE375" s="2565"/>
      <c r="AF375" s="2565"/>
      <c r="AG375" s="2565"/>
      <c r="AH375" s="2565"/>
      <c r="AI375" s="2565"/>
      <c r="AJ375" s="2565"/>
      <c r="AK375" s="596"/>
      <c r="AL375" s="596"/>
      <c r="AM375" s="596"/>
      <c r="AN375" s="590"/>
      <c r="AO375" s="590"/>
      <c r="AP375" s="687">
        <f>IF(C422="Yes",3,0)</f>
        <v>3</v>
      </c>
      <c r="AS375" s="2564">
        <f>IF(AQ379=0,AQ388,AQ379)</f>
        <v>10</v>
      </c>
      <c r="AT375" s="2564"/>
    </row>
    <row r="376" spans="1:46" s="544" customFormat="1" ht="12.75" customHeight="1">
      <c r="A376" s="596"/>
      <c r="B376" s="604"/>
      <c r="C376" s="2565"/>
      <c r="D376" s="2565"/>
      <c r="E376" s="2565"/>
      <c r="F376" s="2565"/>
      <c r="G376" s="2565"/>
      <c r="H376" s="2565"/>
      <c r="I376" s="2565"/>
      <c r="J376" s="2565"/>
      <c r="K376" s="2565"/>
      <c r="L376" s="2565"/>
      <c r="M376" s="2565"/>
      <c r="N376" s="2565"/>
      <c r="O376" s="2565"/>
      <c r="P376" s="2565"/>
      <c r="Q376" s="2565"/>
      <c r="R376" s="2565"/>
      <c r="S376" s="2565"/>
      <c r="T376" s="2565"/>
      <c r="U376" s="2565"/>
      <c r="V376" s="2565"/>
      <c r="W376" s="2565"/>
      <c r="X376" s="2565"/>
      <c r="Y376" s="2565"/>
      <c r="Z376" s="2565"/>
      <c r="AA376" s="2565"/>
      <c r="AB376" s="2565"/>
      <c r="AC376" s="2565"/>
      <c r="AD376" s="2565"/>
      <c r="AE376" s="2565"/>
      <c r="AF376" s="2565"/>
      <c r="AG376" s="2565"/>
      <c r="AH376" s="2565"/>
      <c r="AI376" s="2565"/>
      <c r="AJ376" s="2565"/>
      <c r="AK376" s="596"/>
      <c r="AL376" s="596"/>
      <c r="AM376" s="596"/>
      <c r="AN376" s="590"/>
      <c r="AO376" s="686" t="s">
        <v>763</v>
      </c>
      <c r="AP376" s="687">
        <f>IF(C425="Yes",5,0)</f>
        <v>0</v>
      </c>
    </row>
    <row r="377" spans="1:46" s="544" customFormat="1" ht="12.75" customHeight="1">
      <c r="A377" s="596"/>
      <c r="B377" s="604"/>
      <c r="C377" s="2565"/>
      <c r="D377" s="2565"/>
      <c r="E377" s="2565"/>
      <c r="F377" s="2565"/>
      <c r="G377" s="2565"/>
      <c r="H377" s="2565"/>
      <c r="I377" s="2565"/>
      <c r="J377" s="2565"/>
      <c r="K377" s="2565"/>
      <c r="L377" s="2565"/>
      <c r="M377" s="2565"/>
      <c r="N377" s="2565"/>
      <c r="O377" s="2565"/>
      <c r="P377" s="2565"/>
      <c r="Q377" s="2565"/>
      <c r="R377" s="2565"/>
      <c r="S377" s="2565"/>
      <c r="T377" s="2565"/>
      <c r="U377" s="2565"/>
      <c r="V377" s="2565"/>
      <c r="W377" s="2565"/>
      <c r="X377" s="2565"/>
      <c r="Y377" s="2565"/>
      <c r="Z377" s="2565"/>
      <c r="AA377" s="2565"/>
      <c r="AB377" s="2565"/>
      <c r="AC377" s="2565"/>
      <c r="AD377" s="2565"/>
      <c r="AE377" s="2565"/>
      <c r="AF377" s="2565"/>
      <c r="AG377" s="2565"/>
      <c r="AH377" s="2565"/>
      <c r="AI377" s="2565"/>
      <c r="AJ377" s="2565"/>
      <c r="AK377" s="596"/>
      <c r="AL377" s="596"/>
      <c r="AM377" s="596"/>
      <c r="AN377" s="590"/>
      <c r="AO377" s="686" t="s">
        <v>584</v>
      </c>
      <c r="AP377" s="687">
        <f>IF(C434="Yes",5,0)</f>
        <v>0</v>
      </c>
    </row>
    <row r="378" spans="1:46" s="544" customFormat="1" ht="11.85" customHeight="1">
      <c r="A378" s="596"/>
      <c r="B378" s="604"/>
      <c r="C378" s="2565"/>
      <c r="D378" s="2565"/>
      <c r="E378" s="2565"/>
      <c r="F378" s="2565"/>
      <c r="G378" s="2565"/>
      <c r="H378" s="2565"/>
      <c r="I378" s="2565"/>
      <c r="J378" s="2565"/>
      <c r="K378" s="2565"/>
      <c r="L378" s="2565"/>
      <c r="M378" s="2565"/>
      <c r="N378" s="2565"/>
      <c r="O378" s="2565"/>
      <c r="P378" s="2565"/>
      <c r="Q378" s="2565"/>
      <c r="R378" s="2565"/>
      <c r="S378" s="2565"/>
      <c r="T378" s="2565"/>
      <c r="U378" s="2565"/>
      <c r="V378" s="2565"/>
      <c r="W378" s="2565"/>
      <c r="X378" s="2565"/>
      <c r="Y378" s="2565"/>
      <c r="Z378" s="2565"/>
      <c r="AA378" s="2565"/>
      <c r="AB378" s="2565"/>
      <c r="AC378" s="2565"/>
      <c r="AD378" s="2565"/>
      <c r="AE378" s="2565"/>
      <c r="AF378" s="2565"/>
      <c r="AG378" s="2565"/>
      <c r="AH378" s="2565"/>
      <c r="AI378" s="2565"/>
      <c r="AJ378" s="2565"/>
      <c r="AK378" s="596"/>
      <c r="AL378" s="596"/>
      <c r="AM378" s="596"/>
      <c r="AN378" s="590"/>
      <c r="AO378" s="688"/>
      <c r="AP378" s="689">
        <f>IF(C436="Yes",3,0)</f>
        <v>0</v>
      </c>
    </row>
    <row r="379" spans="1:46" s="544" customFormat="1" ht="12.45" customHeight="1">
      <c r="A379" s="596"/>
      <c r="B379" s="604"/>
      <c r="C379" s="2565"/>
      <c r="D379" s="2565"/>
      <c r="E379" s="2565"/>
      <c r="F379" s="2565"/>
      <c r="G379" s="2565"/>
      <c r="H379" s="2565"/>
      <c r="I379" s="2565"/>
      <c r="J379" s="2565"/>
      <c r="K379" s="2565"/>
      <c r="L379" s="2565"/>
      <c r="M379" s="2565"/>
      <c r="N379" s="2565"/>
      <c r="O379" s="2565"/>
      <c r="P379" s="2565"/>
      <c r="Q379" s="2565"/>
      <c r="R379" s="2565"/>
      <c r="S379" s="2565"/>
      <c r="T379" s="2565"/>
      <c r="U379" s="2565"/>
      <c r="V379" s="2565"/>
      <c r="W379" s="2565"/>
      <c r="X379" s="2565"/>
      <c r="Y379" s="2565"/>
      <c r="Z379" s="2565"/>
      <c r="AA379" s="2565"/>
      <c r="AB379" s="2565"/>
      <c r="AC379" s="2565"/>
      <c r="AD379" s="2565"/>
      <c r="AE379" s="2565"/>
      <c r="AF379" s="2565"/>
      <c r="AG379" s="2565"/>
      <c r="AH379" s="2565"/>
      <c r="AI379" s="2565"/>
      <c r="AJ379" s="2565"/>
      <c r="AK379" s="596"/>
      <c r="AL379" s="596"/>
      <c r="AM379" s="596"/>
      <c r="AN379" s="590"/>
      <c r="AO379" s="690" t="s">
        <v>227</v>
      </c>
      <c r="AP379" s="691">
        <f>SUM(AP370:AP378)</f>
        <v>10</v>
      </c>
      <c r="AQ379" s="2566">
        <f>IF(AP379&gt;0,AP379,0)</f>
        <v>10</v>
      </c>
      <c r="AR379" s="2566"/>
    </row>
    <row r="380" spans="1:46" s="544" customFormat="1" ht="12.75" customHeight="1">
      <c r="A380" s="596"/>
      <c r="B380" s="604"/>
      <c r="C380" s="2565"/>
      <c r="D380" s="2565"/>
      <c r="E380" s="2565"/>
      <c r="F380" s="2565"/>
      <c r="G380" s="2565"/>
      <c r="H380" s="2565"/>
      <c r="I380" s="2565"/>
      <c r="J380" s="2565"/>
      <c r="K380" s="2565"/>
      <c r="L380" s="2565"/>
      <c r="M380" s="2565"/>
      <c r="N380" s="2565"/>
      <c r="O380" s="2565"/>
      <c r="P380" s="2565"/>
      <c r="Q380" s="2565"/>
      <c r="R380" s="2565"/>
      <c r="S380" s="2565"/>
      <c r="T380" s="2565"/>
      <c r="U380" s="2565"/>
      <c r="V380" s="2565"/>
      <c r="W380" s="2565"/>
      <c r="X380" s="2565"/>
      <c r="Y380" s="2565"/>
      <c r="Z380" s="2565"/>
      <c r="AA380" s="2565"/>
      <c r="AB380" s="2565"/>
      <c r="AC380" s="2565"/>
      <c r="AD380" s="2565"/>
      <c r="AE380" s="2565"/>
      <c r="AF380" s="2565"/>
      <c r="AG380" s="2565"/>
      <c r="AH380" s="2565"/>
      <c r="AI380" s="2565"/>
      <c r="AJ380" s="256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4" t="s">
        <v>1448</v>
      </c>
      <c r="D382" s="2534"/>
      <c r="E382" s="2534"/>
      <c r="F382" s="2534"/>
      <c r="G382" s="2534"/>
      <c r="H382" s="2534"/>
      <c r="I382" s="2534"/>
      <c r="J382" s="2534"/>
      <c r="K382" s="2534"/>
      <c r="L382" s="2534"/>
      <c r="M382" s="2534"/>
      <c r="N382" s="2534"/>
      <c r="O382" s="2534"/>
      <c r="P382" s="2534"/>
      <c r="Q382" s="2534"/>
      <c r="R382" s="2534"/>
      <c r="S382" s="2534"/>
      <c r="T382" s="2534"/>
      <c r="U382" s="2534"/>
      <c r="V382" s="2534"/>
      <c r="W382" s="2534"/>
      <c r="X382" s="2534"/>
      <c r="Y382" s="2534"/>
      <c r="Z382" s="2534"/>
      <c r="AA382" s="2534"/>
      <c r="AB382" s="2534"/>
      <c r="AC382" s="2534"/>
      <c r="AD382" s="2534"/>
      <c r="AE382" s="2534"/>
      <c r="AF382" s="2534"/>
      <c r="AG382" s="2534"/>
      <c r="AH382" s="2534"/>
      <c r="AI382" s="2534"/>
      <c r="AJ382" s="2534"/>
      <c r="AK382" s="596"/>
      <c r="AL382" s="596"/>
      <c r="AM382" s="596"/>
      <c r="AN382" s="590"/>
      <c r="AO382" s="686" t="s">
        <v>456</v>
      </c>
      <c r="AP382" s="687">
        <f>IF(C455="Yes",5,0)</f>
        <v>0</v>
      </c>
    </row>
    <row r="383" spans="1:46" s="544" customFormat="1" ht="12.75" customHeight="1">
      <c r="A383" s="596"/>
      <c r="B383" s="604"/>
      <c r="C383" s="2534"/>
      <c r="D383" s="2534"/>
      <c r="E383" s="2534"/>
      <c r="F383" s="2534"/>
      <c r="G383" s="2534"/>
      <c r="H383" s="2534"/>
      <c r="I383" s="2534"/>
      <c r="J383" s="2534"/>
      <c r="K383" s="2534"/>
      <c r="L383" s="2534"/>
      <c r="M383" s="2534"/>
      <c r="N383" s="2534"/>
      <c r="O383" s="2534"/>
      <c r="P383" s="2534"/>
      <c r="Q383" s="2534"/>
      <c r="R383" s="2534"/>
      <c r="S383" s="2534"/>
      <c r="T383" s="2534"/>
      <c r="U383" s="2534"/>
      <c r="V383" s="2534"/>
      <c r="W383" s="2534"/>
      <c r="X383" s="2534"/>
      <c r="Y383" s="2534"/>
      <c r="Z383" s="2534"/>
      <c r="AA383" s="2534"/>
      <c r="AB383" s="2534"/>
      <c r="AC383" s="2534"/>
      <c r="AD383" s="2534"/>
      <c r="AE383" s="2534"/>
      <c r="AF383" s="2534"/>
      <c r="AG383" s="2534"/>
      <c r="AH383" s="2534"/>
      <c r="AI383" s="2534"/>
      <c r="AJ383" s="2534"/>
      <c r="AK383" s="596"/>
      <c r="AL383" s="596"/>
      <c r="AM383" s="596"/>
      <c r="AN383" s="590"/>
      <c r="AO383" s="686" t="s">
        <v>461</v>
      </c>
      <c r="AP383" s="687">
        <f>IF(C462="Yes",5,0)</f>
        <v>0</v>
      </c>
    </row>
    <row r="384" spans="1:46" s="544" customFormat="1" ht="68.099999999999994" customHeight="1">
      <c r="A384" s="596"/>
      <c r="B384" s="604"/>
      <c r="C384" s="2534"/>
      <c r="D384" s="2534"/>
      <c r="E384" s="2534"/>
      <c r="F384" s="2534"/>
      <c r="G384" s="2534"/>
      <c r="H384" s="2534"/>
      <c r="I384" s="2534"/>
      <c r="J384" s="2534"/>
      <c r="K384" s="2534"/>
      <c r="L384" s="2534"/>
      <c r="M384" s="2534"/>
      <c r="N384" s="2534"/>
      <c r="O384" s="2534"/>
      <c r="P384" s="2534"/>
      <c r="Q384" s="2534"/>
      <c r="R384" s="2534"/>
      <c r="S384" s="2534"/>
      <c r="T384" s="2534"/>
      <c r="U384" s="2534"/>
      <c r="V384" s="2534"/>
      <c r="W384" s="2534"/>
      <c r="X384" s="2534"/>
      <c r="Y384" s="2534"/>
      <c r="Z384" s="2534"/>
      <c r="AA384" s="2534"/>
      <c r="AB384" s="2534"/>
      <c r="AC384" s="2534"/>
      <c r="AD384" s="2534"/>
      <c r="AE384" s="2534"/>
      <c r="AF384" s="2534"/>
      <c r="AG384" s="2534"/>
      <c r="AH384" s="2534"/>
      <c r="AI384" s="2534"/>
      <c r="AJ384" s="2534"/>
      <c r="AK384" s="596"/>
      <c r="AL384" s="596"/>
      <c r="AM384" s="596"/>
      <c r="AN384" s="590"/>
      <c r="AO384" s="686" t="s">
        <v>646</v>
      </c>
      <c r="AP384" s="692">
        <f>IF(C466="Yes",5,0)</f>
        <v>0</v>
      </c>
    </row>
    <row r="385" spans="1:81" s="544" customFormat="1" ht="12.45"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30">
        <f>Application!DU810-U387</f>
        <v>226</v>
      </c>
      <c r="V386" s="2630"/>
      <c r="W386" s="2630"/>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31">
        <f>IF(Application!D211="SRO",Application!DU763,Application!AG764)</f>
        <v>0</v>
      </c>
      <c r="V387" s="2631"/>
      <c r="W387" s="2631"/>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6">
        <f>IF(AP388&gt;0,AP388,0)</f>
        <v>0</v>
      </c>
      <c r="AR388" s="2566"/>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8" t="s">
        <v>1450</v>
      </c>
      <c r="G390" s="2538"/>
      <c r="H390" s="2538"/>
      <c r="I390" s="2538"/>
      <c r="J390" s="2538"/>
      <c r="K390" s="2538"/>
      <c r="L390" s="2538"/>
      <c r="M390" s="2538"/>
      <c r="N390" s="2538"/>
      <c r="O390" s="2538"/>
      <c r="P390" s="2538"/>
      <c r="Q390" s="2538"/>
      <c r="R390" s="2538"/>
      <c r="S390" s="2538"/>
      <c r="T390" s="2538"/>
      <c r="U390" s="2538"/>
      <c r="V390" s="2538"/>
      <c r="W390" s="2538"/>
      <c r="X390" s="2538"/>
      <c r="Y390" s="2538"/>
      <c r="Z390" s="2538"/>
      <c r="AA390" s="2538"/>
      <c r="AB390" s="2538"/>
      <c r="AC390" s="2538"/>
      <c r="AD390" s="2538"/>
      <c r="AE390" s="2538"/>
      <c r="AF390" s="253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1"/>
      <c r="G391" s="2411"/>
      <c r="H391" s="2411"/>
      <c r="I391" s="2411"/>
      <c r="J391" s="2411"/>
      <c r="K391" s="2411"/>
      <c r="L391" s="2411"/>
      <c r="M391" s="2411"/>
      <c r="N391" s="2411"/>
      <c r="O391" s="2411"/>
      <c r="P391" s="2411"/>
      <c r="Q391" s="2411"/>
      <c r="R391" s="2411"/>
      <c r="S391" s="2411"/>
      <c r="T391" s="2411"/>
      <c r="U391" s="2411"/>
      <c r="V391" s="2411"/>
      <c r="W391" s="2411"/>
      <c r="X391" s="2411"/>
      <c r="Y391" s="2411"/>
      <c r="Z391" s="2411"/>
      <c r="AA391" s="2411"/>
      <c r="AB391" s="2411"/>
      <c r="AC391" s="2411"/>
      <c r="AD391" s="2411"/>
      <c r="AE391" s="2411"/>
      <c r="AF391" s="241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1"/>
      <c r="G392" s="2411"/>
      <c r="H392" s="2411"/>
      <c r="I392" s="2411"/>
      <c r="J392" s="2411"/>
      <c r="K392" s="2411"/>
      <c r="L392" s="2411"/>
      <c r="M392" s="2411"/>
      <c r="N392" s="2411"/>
      <c r="O392" s="2411"/>
      <c r="P392" s="2411"/>
      <c r="Q392" s="2411"/>
      <c r="R392" s="2411"/>
      <c r="S392" s="2411"/>
      <c r="T392" s="2411"/>
      <c r="U392" s="2411"/>
      <c r="V392" s="2411"/>
      <c r="W392" s="2411"/>
      <c r="X392" s="2411"/>
      <c r="Y392" s="2411"/>
      <c r="Z392" s="2411"/>
      <c r="AA392" s="2411"/>
      <c r="AB392" s="2411"/>
      <c r="AC392" s="2411"/>
      <c r="AD392" s="2411"/>
      <c r="AE392" s="2411"/>
      <c r="AF392" s="241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1"/>
      <c r="G393" s="2411"/>
      <c r="H393" s="2411"/>
      <c r="I393" s="2411"/>
      <c r="J393" s="2411"/>
      <c r="K393" s="2411"/>
      <c r="L393" s="2411"/>
      <c r="M393" s="2411"/>
      <c r="N393" s="2411"/>
      <c r="O393" s="2411"/>
      <c r="P393" s="2411"/>
      <c r="Q393" s="2411"/>
      <c r="R393" s="2411"/>
      <c r="S393" s="2411"/>
      <c r="T393" s="2411"/>
      <c r="U393" s="2411"/>
      <c r="V393" s="2411"/>
      <c r="W393" s="2411"/>
      <c r="X393" s="2411"/>
      <c r="Y393" s="2411"/>
      <c r="Z393" s="2411"/>
      <c r="AA393" s="2411"/>
      <c r="AB393" s="2411"/>
      <c r="AC393" s="2411"/>
      <c r="AD393" s="2411"/>
      <c r="AE393" s="2411"/>
      <c r="AF393" s="241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5" t="s">
        <v>591</v>
      </c>
      <c r="D394" s="2495"/>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6" t="s">
        <v>1452</v>
      </c>
      <c r="AG394" s="2536"/>
      <c r="AH394" s="2536"/>
      <c r="AI394" s="2536"/>
      <c r="AJ394" s="2536"/>
      <c r="AK394" s="2536"/>
      <c r="AL394" s="253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8" t="s">
        <v>1453</v>
      </c>
      <c r="G397" s="2538"/>
      <c r="H397" s="2538"/>
      <c r="I397" s="2538"/>
      <c r="J397" s="2538"/>
      <c r="K397" s="2538"/>
      <c r="L397" s="2538"/>
      <c r="M397" s="2538"/>
      <c r="N397" s="2538"/>
      <c r="O397" s="2538"/>
      <c r="P397" s="2538"/>
      <c r="Q397" s="2538"/>
      <c r="R397" s="2538"/>
      <c r="S397" s="2538"/>
      <c r="T397" s="2538"/>
      <c r="U397" s="2538"/>
      <c r="V397" s="2538"/>
      <c r="W397" s="2538"/>
      <c r="X397" s="2538"/>
      <c r="Y397" s="2538"/>
      <c r="Z397" s="2538"/>
      <c r="AA397" s="2538"/>
      <c r="AB397" s="2538"/>
      <c r="AC397" s="2538"/>
      <c r="AD397" s="2538"/>
      <c r="AE397" s="2538"/>
      <c r="AF397" s="253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1"/>
      <c r="G398" s="2411"/>
      <c r="H398" s="2411"/>
      <c r="I398" s="2411"/>
      <c r="J398" s="2411"/>
      <c r="K398" s="2411"/>
      <c r="L398" s="2411"/>
      <c r="M398" s="2411"/>
      <c r="N398" s="2411"/>
      <c r="O398" s="2411"/>
      <c r="P398" s="2411"/>
      <c r="Q398" s="2411"/>
      <c r="R398" s="2411"/>
      <c r="S398" s="2411"/>
      <c r="T398" s="2411"/>
      <c r="U398" s="2411"/>
      <c r="V398" s="2411"/>
      <c r="W398" s="2411"/>
      <c r="X398" s="2411"/>
      <c r="Y398" s="2411"/>
      <c r="Z398" s="2411"/>
      <c r="AA398" s="2411"/>
      <c r="AB398" s="2411"/>
      <c r="AC398" s="2411"/>
      <c r="AD398" s="2411"/>
      <c r="AE398" s="2411"/>
      <c r="AF398" s="241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1"/>
      <c r="G399" s="2411"/>
      <c r="H399" s="2411"/>
      <c r="I399" s="2411"/>
      <c r="J399" s="2411"/>
      <c r="K399" s="2411"/>
      <c r="L399" s="2411"/>
      <c r="M399" s="2411"/>
      <c r="N399" s="2411"/>
      <c r="O399" s="2411"/>
      <c r="P399" s="2411"/>
      <c r="Q399" s="2411"/>
      <c r="R399" s="2411"/>
      <c r="S399" s="2411"/>
      <c r="T399" s="2411"/>
      <c r="U399" s="2411"/>
      <c r="V399" s="2411"/>
      <c r="W399" s="2411"/>
      <c r="X399" s="2411"/>
      <c r="Y399" s="2411"/>
      <c r="Z399" s="2411"/>
      <c r="AA399" s="2411"/>
      <c r="AB399" s="2411"/>
      <c r="AC399" s="2411"/>
      <c r="AD399" s="2411"/>
      <c r="AE399" s="2411"/>
      <c r="AF399" s="241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1"/>
      <c r="G400" s="2411"/>
      <c r="H400" s="2411"/>
      <c r="I400" s="2411"/>
      <c r="J400" s="2411"/>
      <c r="K400" s="2411"/>
      <c r="L400" s="2411"/>
      <c r="M400" s="2411"/>
      <c r="N400" s="2411"/>
      <c r="O400" s="2411"/>
      <c r="P400" s="2411"/>
      <c r="Q400" s="2411"/>
      <c r="R400" s="2411"/>
      <c r="S400" s="2411"/>
      <c r="T400" s="2411"/>
      <c r="U400" s="2411"/>
      <c r="V400" s="2411"/>
      <c r="W400" s="2411"/>
      <c r="X400" s="2411"/>
      <c r="Y400" s="2411"/>
      <c r="Z400" s="2411"/>
      <c r="AA400" s="2411"/>
      <c r="AB400" s="2411"/>
      <c r="AC400" s="2411"/>
      <c r="AD400" s="2411"/>
      <c r="AE400" s="2411"/>
      <c r="AF400" s="241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1"/>
      <c r="G401" s="2411"/>
      <c r="H401" s="2411"/>
      <c r="I401" s="2411"/>
      <c r="J401" s="2411"/>
      <c r="K401" s="2411"/>
      <c r="L401" s="2411"/>
      <c r="M401" s="2411"/>
      <c r="N401" s="2411"/>
      <c r="O401" s="2411"/>
      <c r="P401" s="2411"/>
      <c r="Q401" s="2411"/>
      <c r="R401" s="2411"/>
      <c r="S401" s="2411"/>
      <c r="T401" s="2411"/>
      <c r="U401" s="2411"/>
      <c r="V401" s="2411"/>
      <c r="W401" s="2411"/>
      <c r="X401" s="2411"/>
      <c r="Y401" s="2411"/>
      <c r="Z401" s="2411"/>
      <c r="AA401" s="2411"/>
      <c r="AB401" s="2411"/>
      <c r="AC401" s="2411"/>
      <c r="AD401" s="2411"/>
      <c r="AE401" s="2411"/>
      <c r="AF401" s="2411"/>
      <c r="AL401" s="723"/>
      <c r="AN401" s="590"/>
      <c r="BS401" s="30"/>
      <c r="BT401" s="30"/>
      <c r="BU401" s="14"/>
      <c r="BV401" s="14"/>
      <c r="BW401" s="14"/>
      <c r="BX401" s="14"/>
      <c r="BY401" s="14"/>
      <c r="BZ401" s="14"/>
      <c r="CA401" s="14"/>
      <c r="CB401" s="14"/>
      <c r="CC401" s="14"/>
    </row>
    <row r="402" spans="1:81" s="544" customFormat="1" ht="12.75" customHeight="1">
      <c r="A402" s="532"/>
      <c r="B402" s="14"/>
      <c r="C402" s="2535" t="s">
        <v>591</v>
      </c>
      <c r="D402" s="2495"/>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6" t="s">
        <v>1452</v>
      </c>
      <c r="AG402" s="2536"/>
      <c r="AH402" s="2536"/>
      <c r="AI402" s="2536"/>
      <c r="AJ402" s="2536"/>
      <c r="AK402" s="2536"/>
      <c r="AL402" s="253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8" t="s">
        <v>1455</v>
      </c>
      <c r="G405" s="2538"/>
      <c r="H405" s="2538"/>
      <c r="I405" s="2538"/>
      <c r="J405" s="2538"/>
      <c r="K405" s="2538"/>
      <c r="L405" s="2538"/>
      <c r="M405" s="2538"/>
      <c r="N405" s="2538"/>
      <c r="O405" s="2538"/>
      <c r="P405" s="2538"/>
      <c r="Q405" s="2538"/>
      <c r="R405" s="2538"/>
      <c r="S405" s="2538"/>
      <c r="T405" s="2538"/>
      <c r="U405" s="2538"/>
      <c r="V405" s="2538"/>
      <c r="W405" s="2538"/>
      <c r="X405" s="2538"/>
      <c r="Y405" s="2538"/>
      <c r="Z405" s="2538"/>
      <c r="AA405" s="2538"/>
      <c r="AB405" s="2538"/>
      <c r="AC405" s="2538"/>
      <c r="AD405" s="2538"/>
      <c r="AE405" s="2538"/>
      <c r="AF405" s="253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1"/>
      <c r="G406" s="2411"/>
      <c r="H406" s="2411"/>
      <c r="I406" s="2411"/>
      <c r="J406" s="2411"/>
      <c r="K406" s="2411"/>
      <c r="L406" s="2411"/>
      <c r="M406" s="2411"/>
      <c r="N406" s="2411"/>
      <c r="O406" s="2411"/>
      <c r="P406" s="2411"/>
      <c r="Q406" s="2411"/>
      <c r="R406" s="2411"/>
      <c r="S406" s="2411"/>
      <c r="T406" s="2411"/>
      <c r="U406" s="2411"/>
      <c r="V406" s="2411"/>
      <c r="W406" s="2411"/>
      <c r="X406" s="2411"/>
      <c r="Y406" s="2411"/>
      <c r="Z406" s="2411"/>
      <c r="AA406" s="2411"/>
      <c r="AB406" s="2411"/>
      <c r="AC406" s="2411"/>
      <c r="AD406" s="2411"/>
      <c r="AE406" s="2411"/>
      <c r="AF406" s="241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1"/>
      <c r="G407" s="2411"/>
      <c r="H407" s="2411"/>
      <c r="I407" s="2411"/>
      <c r="J407" s="2411"/>
      <c r="K407" s="2411"/>
      <c r="L407" s="2411"/>
      <c r="M407" s="2411"/>
      <c r="N407" s="2411"/>
      <c r="O407" s="2411"/>
      <c r="P407" s="2411"/>
      <c r="Q407" s="2411"/>
      <c r="R407" s="2411"/>
      <c r="S407" s="2411"/>
      <c r="T407" s="2411"/>
      <c r="U407" s="2411"/>
      <c r="V407" s="2411"/>
      <c r="W407" s="2411"/>
      <c r="X407" s="2411"/>
      <c r="Y407" s="2411"/>
      <c r="Z407" s="2411"/>
      <c r="AA407" s="2411"/>
      <c r="AB407" s="2411"/>
      <c r="AC407" s="2411"/>
      <c r="AD407" s="2411"/>
      <c r="AE407" s="2411"/>
      <c r="AF407" s="241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1"/>
      <c r="G408" s="2411"/>
      <c r="H408" s="2411"/>
      <c r="I408" s="2411"/>
      <c r="J408" s="2411"/>
      <c r="K408" s="2411"/>
      <c r="L408" s="2411"/>
      <c r="M408" s="2411"/>
      <c r="N408" s="2411"/>
      <c r="O408" s="2411"/>
      <c r="P408" s="2411"/>
      <c r="Q408" s="2411"/>
      <c r="R408" s="2411"/>
      <c r="S408" s="2411"/>
      <c r="T408" s="2411"/>
      <c r="U408" s="2411"/>
      <c r="V408" s="2411"/>
      <c r="W408" s="2411"/>
      <c r="X408" s="2411"/>
      <c r="Y408" s="2411"/>
      <c r="Z408" s="2411"/>
      <c r="AA408" s="2411"/>
      <c r="AB408" s="2411"/>
      <c r="AC408" s="2411"/>
      <c r="AD408" s="2411"/>
      <c r="AE408" s="2411"/>
      <c r="AF408" s="241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1"/>
      <c r="G409" s="2411"/>
      <c r="H409" s="2411"/>
      <c r="I409" s="2411"/>
      <c r="J409" s="2411"/>
      <c r="K409" s="2411"/>
      <c r="L409" s="2411"/>
      <c r="M409" s="2411"/>
      <c r="N409" s="2411"/>
      <c r="O409" s="2411"/>
      <c r="P409" s="2411"/>
      <c r="Q409" s="2411"/>
      <c r="R409" s="2411"/>
      <c r="S409" s="2411"/>
      <c r="T409" s="2411"/>
      <c r="U409" s="2411"/>
      <c r="V409" s="2411"/>
      <c r="W409" s="2411"/>
      <c r="X409" s="2411"/>
      <c r="Y409" s="2411"/>
      <c r="Z409" s="2411"/>
      <c r="AA409" s="2411"/>
      <c r="AB409" s="2411"/>
      <c r="AC409" s="2411"/>
      <c r="AD409" s="2411"/>
      <c r="AE409" s="2411"/>
      <c r="AF409" s="241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5" t="s">
        <v>545</v>
      </c>
      <c r="D410" s="2495"/>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6" t="s">
        <v>1457</v>
      </c>
      <c r="AG410" s="2536"/>
      <c r="AH410" s="2536"/>
      <c r="AI410" s="2536"/>
      <c r="AJ410" s="2536"/>
      <c r="AK410" s="2536"/>
      <c r="AL410" s="253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5" t="s">
        <v>591</v>
      </c>
      <c r="D412" s="2495"/>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6" t="s">
        <v>1452</v>
      </c>
      <c r="AG412" s="2536"/>
      <c r="AH412" s="2536"/>
      <c r="AI412" s="2536"/>
      <c r="AJ412" s="2536"/>
      <c r="AK412" s="2536"/>
      <c r="AL412" s="253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8" t="s">
        <v>1461</v>
      </c>
      <c r="G416" s="2538"/>
      <c r="H416" s="2538"/>
      <c r="I416" s="2538"/>
      <c r="J416" s="2538"/>
      <c r="K416" s="2538"/>
      <c r="L416" s="2538"/>
      <c r="M416" s="2538"/>
      <c r="N416" s="2538"/>
      <c r="O416" s="2538"/>
      <c r="P416" s="2538"/>
      <c r="Q416" s="2538"/>
      <c r="R416" s="2538"/>
      <c r="S416" s="2538"/>
      <c r="T416" s="2538"/>
      <c r="U416" s="2538"/>
      <c r="V416" s="2538"/>
      <c r="W416" s="2538"/>
      <c r="X416" s="2538"/>
      <c r="Y416" s="2538"/>
      <c r="Z416" s="2538"/>
      <c r="AA416" s="2538"/>
      <c r="AB416" s="2538"/>
      <c r="AC416" s="2538"/>
      <c r="AD416" s="2538"/>
      <c r="AE416" s="2538"/>
      <c r="AF416" s="253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1"/>
      <c r="G417" s="2411"/>
      <c r="H417" s="2411"/>
      <c r="I417" s="2411"/>
      <c r="J417" s="2411"/>
      <c r="K417" s="2411"/>
      <c r="L417" s="2411"/>
      <c r="M417" s="2411"/>
      <c r="N417" s="2411"/>
      <c r="O417" s="2411"/>
      <c r="P417" s="2411"/>
      <c r="Q417" s="2411"/>
      <c r="R417" s="2411"/>
      <c r="S417" s="2411"/>
      <c r="T417" s="2411"/>
      <c r="U417" s="2411"/>
      <c r="V417" s="2411"/>
      <c r="W417" s="2411"/>
      <c r="X417" s="2411"/>
      <c r="Y417" s="2411"/>
      <c r="Z417" s="2411"/>
      <c r="AA417" s="2411"/>
      <c r="AB417" s="2411"/>
      <c r="AC417" s="2411"/>
      <c r="AD417" s="2411"/>
      <c r="AE417" s="2411"/>
      <c r="AF417" s="241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1"/>
      <c r="G418" s="2411"/>
      <c r="H418" s="2411"/>
      <c r="I418" s="2411"/>
      <c r="J418" s="2411"/>
      <c r="K418" s="2411"/>
      <c r="L418" s="2411"/>
      <c r="M418" s="2411"/>
      <c r="N418" s="2411"/>
      <c r="O418" s="2411"/>
      <c r="P418" s="2411"/>
      <c r="Q418" s="2411"/>
      <c r="R418" s="2411"/>
      <c r="S418" s="2411"/>
      <c r="T418" s="2411"/>
      <c r="U418" s="2411"/>
      <c r="V418" s="2411"/>
      <c r="W418" s="2411"/>
      <c r="X418" s="2411"/>
      <c r="Y418" s="2411"/>
      <c r="Z418" s="2411"/>
      <c r="AA418" s="2411"/>
      <c r="AB418" s="2411"/>
      <c r="AC418" s="2411"/>
      <c r="AD418" s="2411"/>
      <c r="AE418" s="2411"/>
      <c r="AF418" s="241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1"/>
      <c r="G419" s="2411"/>
      <c r="H419" s="2411"/>
      <c r="I419" s="2411"/>
      <c r="J419" s="2411"/>
      <c r="K419" s="2411"/>
      <c r="L419" s="2411"/>
      <c r="M419" s="2411"/>
      <c r="N419" s="2411"/>
      <c r="O419" s="2411"/>
      <c r="P419" s="2411"/>
      <c r="Q419" s="2411"/>
      <c r="R419" s="2411"/>
      <c r="S419" s="2411"/>
      <c r="T419" s="2411"/>
      <c r="U419" s="2411"/>
      <c r="V419" s="2411"/>
      <c r="W419" s="2411"/>
      <c r="X419" s="2411"/>
      <c r="Y419" s="2411"/>
      <c r="Z419" s="2411"/>
      <c r="AA419" s="2411"/>
      <c r="AB419" s="2411"/>
      <c r="AC419" s="2411"/>
      <c r="AD419" s="2411"/>
      <c r="AE419" s="2411"/>
      <c r="AF419" s="241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5" t="s">
        <v>591</v>
      </c>
      <c r="D420" s="2495"/>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6" t="s">
        <v>1452</v>
      </c>
      <c r="AG420" s="2536"/>
      <c r="AH420" s="2536"/>
      <c r="AI420" s="2536"/>
      <c r="AJ420" s="2536"/>
      <c r="AK420" s="2536"/>
      <c r="AL420" s="253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5" t="s">
        <v>545</v>
      </c>
      <c r="D422" s="2495"/>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6" t="s">
        <v>1464</v>
      </c>
      <c r="AG422" s="2536"/>
      <c r="AH422" s="2536"/>
      <c r="AI422" s="2536"/>
      <c r="AJ422" s="2536"/>
      <c r="AK422" s="2536"/>
      <c r="AL422" s="253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5" t="s">
        <v>591</v>
      </c>
      <c r="D425" s="2495"/>
      <c r="E425" s="706" t="s">
        <v>1465</v>
      </c>
      <c r="F425" s="2538" t="s">
        <v>1466</v>
      </c>
      <c r="G425" s="2538"/>
      <c r="H425" s="2538"/>
      <c r="I425" s="2538"/>
      <c r="J425" s="2538"/>
      <c r="K425" s="2538"/>
      <c r="L425" s="2538"/>
      <c r="M425" s="2538"/>
      <c r="N425" s="2538"/>
      <c r="O425" s="2538"/>
      <c r="P425" s="2538"/>
      <c r="Q425" s="2538"/>
      <c r="R425" s="2538"/>
      <c r="S425" s="2538"/>
      <c r="T425" s="2538"/>
      <c r="U425" s="2538"/>
      <c r="V425" s="2538"/>
      <c r="W425" s="2538"/>
      <c r="X425" s="2538"/>
      <c r="Y425" s="2538"/>
      <c r="Z425" s="2538"/>
      <c r="AA425" s="2538"/>
      <c r="AB425" s="2538"/>
      <c r="AC425" s="2538"/>
      <c r="AD425" s="2538"/>
      <c r="AE425" s="253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1"/>
      <c r="G426" s="2411"/>
      <c r="H426" s="2411"/>
      <c r="I426" s="2411"/>
      <c r="J426" s="2411"/>
      <c r="K426" s="2411"/>
      <c r="L426" s="2411"/>
      <c r="M426" s="2411"/>
      <c r="N426" s="2411"/>
      <c r="O426" s="2411"/>
      <c r="P426" s="2411"/>
      <c r="Q426" s="2411"/>
      <c r="R426" s="2411"/>
      <c r="S426" s="2411"/>
      <c r="T426" s="2411"/>
      <c r="U426" s="2411"/>
      <c r="V426" s="2411"/>
      <c r="W426" s="2411"/>
      <c r="X426" s="2411"/>
      <c r="Y426" s="2411"/>
      <c r="Z426" s="2411"/>
      <c r="AA426" s="2411"/>
      <c r="AB426" s="2411"/>
      <c r="AC426" s="2411"/>
      <c r="AD426" s="2411"/>
      <c r="AE426" s="2411"/>
      <c r="AF426" s="2473" t="s">
        <v>1452</v>
      </c>
      <c r="AG426" s="2473"/>
      <c r="AH426" s="2473"/>
      <c r="AI426" s="2473"/>
      <c r="AJ426" s="2473"/>
      <c r="AK426" s="2473"/>
      <c r="AL426" s="2539"/>
      <c r="AM426" s="563"/>
      <c r="AN426" s="590"/>
      <c r="BS426" s="563"/>
      <c r="BT426" s="563"/>
      <c r="BY426" s="563"/>
      <c r="BZ426" s="563"/>
      <c r="CA426" s="563"/>
      <c r="CB426" s="563"/>
      <c r="CC426" s="563"/>
    </row>
    <row r="427" spans="1:81" s="544" customFormat="1" ht="12.75" customHeight="1">
      <c r="A427" s="532"/>
      <c r="B427" s="14"/>
      <c r="C427" s="722"/>
      <c r="D427" s="14"/>
      <c r="E427" s="682"/>
      <c r="F427" s="2411"/>
      <c r="G427" s="2411"/>
      <c r="H427" s="2411"/>
      <c r="I427" s="2411"/>
      <c r="J427" s="2411"/>
      <c r="K427" s="2411"/>
      <c r="L427" s="2411"/>
      <c r="M427" s="2411"/>
      <c r="N427" s="2411"/>
      <c r="O427" s="2411"/>
      <c r="P427" s="2411"/>
      <c r="Q427" s="2411"/>
      <c r="R427" s="2411"/>
      <c r="S427" s="2411"/>
      <c r="T427" s="2411"/>
      <c r="U427" s="2411"/>
      <c r="V427" s="2411"/>
      <c r="W427" s="2411"/>
      <c r="X427" s="2411"/>
      <c r="Y427" s="2411"/>
      <c r="Z427" s="2411"/>
      <c r="AA427" s="2411"/>
      <c r="AB427" s="2411"/>
      <c r="AC427" s="2411"/>
      <c r="AD427" s="2411"/>
      <c r="AE427" s="241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7"/>
      <c r="G428" s="2567"/>
      <c r="H428" s="2567"/>
      <c r="I428" s="2567"/>
      <c r="J428" s="2567"/>
      <c r="K428" s="2567"/>
      <c r="L428" s="2567"/>
      <c r="M428" s="2567"/>
      <c r="N428" s="2567"/>
      <c r="O428" s="2567"/>
      <c r="P428" s="2567"/>
      <c r="Q428" s="2567"/>
      <c r="R428" s="2567"/>
      <c r="S428" s="2567"/>
      <c r="T428" s="2567"/>
      <c r="U428" s="2567"/>
      <c r="V428" s="2567"/>
      <c r="W428" s="2567"/>
      <c r="X428" s="2567"/>
      <c r="Y428" s="2567"/>
      <c r="Z428" s="2567"/>
      <c r="AA428" s="2567"/>
      <c r="AB428" s="2567"/>
      <c r="AC428" s="2567"/>
      <c r="AD428" s="2567"/>
      <c r="AE428" s="256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8" t="s">
        <v>1468</v>
      </c>
      <c r="G430" s="2538"/>
      <c r="H430" s="2538"/>
      <c r="I430" s="2538"/>
      <c r="J430" s="2538"/>
      <c r="K430" s="2538"/>
      <c r="L430" s="2538"/>
      <c r="M430" s="2538"/>
      <c r="N430" s="2538"/>
      <c r="O430" s="2538"/>
      <c r="P430" s="2538"/>
      <c r="Q430" s="2538"/>
      <c r="R430" s="2538"/>
      <c r="S430" s="2538"/>
      <c r="T430" s="2538"/>
      <c r="U430" s="2538"/>
      <c r="V430" s="2538"/>
      <c r="W430" s="2538"/>
      <c r="X430" s="2538"/>
      <c r="Y430" s="2538"/>
      <c r="Z430" s="2538"/>
      <c r="AA430" s="2538"/>
      <c r="AB430" s="2538"/>
      <c r="AC430" s="2538"/>
      <c r="AD430" s="2538"/>
      <c r="AE430" s="2538"/>
      <c r="AF430" s="738"/>
      <c r="AG430" s="738"/>
      <c r="AH430" s="738"/>
      <c r="AI430" s="738"/>
      <c r="AJ430" s="738"/>
      <c r="AK430" s="738"/>
      <c r="AL430" s="739"/>
      <c r="AM430" s="563"/>
    </row>
    <row r="431" spans="1:81">
      <c r="A431" s="532"/>
      <c r="C431" s="722"/>
      <c r="E431" s="682"/>
      <c r="F431" s="2411"/>
      <c r="G431" s="2411"/>
      <c r="H431" s="2411"/>
      <c r="I431" s="2411"/>
      <c r="J431" s="2411"/>
      <c r="K431" s="2411"/>
      <c r="L431" s="2411"/>
      <c r="M431" s="2411"/>
      <c r="N431" s="2411"/>
      <c r="O431" s="2411"/>
      <c r="P431" s="2411"/>
      <c r="Q431" s="2411"/>
      <c r="R431" s="2411"/>
      <c r="S431" s="2411"/>
      <c r="T431" s="2411"/>
      <c r="U431" s="2411"/>
      <c r="V431" s="2411"/>
      <c r="W431" s="2411"/>
      <c r="X431" s="2411"/>
      <c r="Y431" s="2411"/>
      <c r="Z431" s="2411"/>
      <c r="AA431" s="2411"/>
      <c r="AB431" s="2411"/>
      <c r="AC431" s="2411"/>
      <c r="AD431" s="2411"/>
      <c r="AE431" s="2411"/>
      <c r="AF431" s="535"/>
      <c r="AG431" s="532"/>
      <c r="AH431" s="544"/>
      <c r="AI431" s="544"/>
      <c r="AJ431" s="544"/>
      <c r="AK431" s="544"/>
      <c r="AL431" s="723"/>
      <c r="AM431" s="563"/>
    </row>
    <row r="432" spans="1:81" s="544" customFormat="1" ht="12.75" customHeight="1">
      <c r="A432" s="532"/>
      <c r="B432" s="14"/>
      <c r="C432" s="722"/>
      <c r="D432" s="14"/>
      <c r="E432" s="682"/>
      <c r="F432" s="2411"/>
      <c r="G432" s="2411"/>
      <c r="H432" s="2411"/>
      <c r="I432" s="2411"/>
      <c r="J432" s="2411"/>
      <c r="K432" s="2411"/>
      <c r="L432" s="2411"/>
      <c r="M432" s="2411"/>
      <c r="N432" s="2411"/>
      <c r="O432" s="2411"/>
      <c r="P432" s="2411"/>
      <c r="Q432" s="2411"/>
      <c r="R432" s="2411"/>
      <c r="S432" s="2411"/>
      <c r="T432" s="2411"/>
      <c r="U432" s="2411"/>
      <c r="V432" s="2411"/>
      <c r="W432" s="2411"/>
      <c r="X432" s="2411"/>
      <c r="Y432" s="2411"/>
      <c r="Z432" s="2411"/>
      <c r="AA432" s="2411"/>
      <c r="AB432" s="2411"/>
      <c r="AC432" s="2411"/>
      <c r="AD432" s="2411"/>
      <c r="AE432" s="2411"/>
      <c r="AL432" s="723"/>
      <c r="AM432" s="563"/>
      <c r="AN432" s="590"/>
    </row>
    <row r="433" spans="1:60" s="544" customFormat="1" ht="12.75" customHeight="1">
      <c r="A433" s="532"/>
      <c r="B433" s="14"/>
      <c r="C433" s="730"/>
      <c r="F433" s="2411"/>
      <c r="G433" s="2411"/>
      <c r="H433" s="2411"/>
      <c r="I433" s="2411"/>
      <c r="J433" s="2411"/>
      <c r="K433" s="2411"/>
      <c r="L433" s="2411"/>
      <c r="M433" s="2411"/>
      <c r="N433" s="2411"/>
      <c r="O433" s="2411"/>
      <c r="P433" s="2411"/>
      <c r="Q433" s="2411"/>
      <c r="R433" s="2411"/>
      <c r="S433" s="2411"/>
      <c r="T433" s="2411"/>
      <c r="U433" s="2411"/>
      <c r="V433" s="2411"/>
      <c r="W433" s="2411"/>
      <c r="X433" s="2411"/>
      <c r="Y433" s="2411"/>
      <c r="Z433" s="2411"/>
      <c r="AA433" s="2411"/>
      <c r="AB433" s="2411"/>
      <c r="AC433" s="2411"/>
      <c r="AD433" s="2411"/>
      <c r="AE433" s="2411"/>
      <c r="AL433" s="723"/>
      <c r="AM433" s="563"/>
      <c r="AN433" s="590"/>
    </row>
    <row r="434" spans="1:60" s="544" customFormat="1" ht="12.75" customHeight="1">
      <c r="A434" s="532"/>
      <c r="B434" s="14"/>
      <c r="C434" s="2535" t="s">
        <v>591</v>
      </c>
      <c r="D434" s="2495"/>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3" t="s">
        <v>1452</v>
      </c>
      <c r="AG434" s="2473"/>
      <c r="AH434" s="2473"/>
      <c r="AI434" s="2473"/>
      <c r="AJ434" s="2473"/>
      <c r="AK434" s="2473"/>
      <c r="AL434" s="2539"/>
      <c r="AM434" s="563"/>
      <c r="AN434" s="590"/>
    </row>
    <row r="435" spans="1:60" s="544" customFormat="1" ht="12.75" customHeight="1">
      <c r="A435" s="532"/>
      <c r="B435" s="14"/>
      <c r="C435" s="730"/>
      <c r="AL435" s="723"/>
      <c r="AM435" s="563"/>
      <c r="AN435" s="590"/>
    </row>
    <row r="436" spans="1:60" s="544" customFormat="1" ht="12.75" customHeight="1">
      <c r="A436" s="532"/>
      <c r="B436" s="14"/>
      <c r="C436" s="2535" t="s">
        <v>591</v>
      </c>
      <c r="D436" s="2495"/>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3" t="s">
        <v>1464</v>
      </c>
      <c r="AG436" s="2473"/>
      <c r="AH436" s="2473"/>
      <c r="AI436" s="2473"/>
      <c r="AJ436" s="2473"/>
      <c r="AK436" s="2473"/>
      <c r="AL436" s="253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8" t="s">
        <v>1472</v>
      </c>
      <c r="G440" s="2538"/>
      <c r="H440" s="2538"/>
      <c r="I440" s="2538"/>
      <c r="J440" s="2538"/>
      <c r="K440" s="2538"/>
      <c r="L440" s="2538"/>
      <c r="M440" s="2538"/>
      <c r="N440" s="2538"/>
      <c r="O440" s="2538"/>
      <c r="P440" s="2538"/>
      <c r="Q440" s="2538"/>
      <c r="R440" s="2538"/>
      <c r="S440" s="2538"/>
      <c r="T440" s="2538"/>
      <c r="U440" s="2538"/>
      <c r="V440" s="2538"/>
      <c r="W440" s="2538"/>
      <c r="X440" s="2538"/>
      <c r="Y440" s="2538"/>
      <c r="Z440" s="2538"/>
      <c r="AA440" s="2538"/>
      <c r="AB440" s="2538"/>
      <c r="AC440" s="2538"/>
      <c r="AD440" s="2538"/>
      <c r="AE440" s="2538"/>
      <c r="AF440" s="705"/>
      <c r="AG440" s="705"/>
      <c r="AH440" s="705"/>
      <c r="AI440" s="705"/>
      <c r="AJ440" s="705"/>
      <c r="AK440" s="705"/>
      <c r="AL440" s="736"/>
      <c r="AM440" s="563"/>
      <c r="AN440" s="590"/>
    </row>
    <row r="441" spans="1:60" s="544" customFormat="1" ht="12.75" customHeight="1">
      <c r="A441" s="532"/>
      <c r="B441" s="14"/>
      <c r="C441" s="722"/>
      <c r="D441" s="14"/>
      <c r="E441" s="682"/>
      <c r="F441" s="2411"/>
      <c r="G441" s="2411"/>
      <c r="H441" s="2411"/>
      <c r="I441" s="2411"/>
      <c r="J441" s="2411"/>
      <c r="K441" s="2411"/>
      <c r="L441" s="2411"/>
      <c r="M441" s="2411"/>
      <c r="N441" s="2411"/>
      <c r="O441" s="2411"/>
      <c r="P441" s="2411"/>
      <c r="Q441" s="2411"/>
      <c r="R441" s="2411"/>
      <c r="S441" s="2411"/>
      <c r="T441" s="2411"/>
      <c r="U441" s="2411"/>
      <c r="V441" s="2411"/>
      <c r="W441" s="2411"/>
      <c r="X441" s="2411"/>
      <c r="Y441" s="2411"/>
      <c r="Z441" s="2411"/>
      <c r="AA441" s="2411"/>
      <c r="AB441" s="2411"/>
      <c r="AC441" s="2411"/>
      <c r="AD441" s="2411"/>
      <c r="AE441" s="2411"/>
      <c r="AF441" s="535"/>
      <c r="AG441" s="532"/>
      <c r="AL441" s="723"/>
      <c r="AM441" s="563"/>
      <c r="AN441" s="590"/>
    </row>
    <row r="442" spans="1:60" s="544" customFormat="1" ht="12.45" customHeight="1">
      <c r="A442" s="532"/>
      <c r="B442" s="14"/>
      <c r="C442" s="722"/>
      <c r="D442" s="14"/>
      <c r="E442" s="682"/>
      <c r="F442" s="2411"/>
      <c r="G442" s="2411"/>
      <c r="H442" s="2411"/>
      <c r="I442" s="2411"/>
      <c r="J442" s="2411"/>
      <c r="K442" s="2411"/>
      <c r="L442" s="2411"/>
      <c r="M442" s="2411"/>
      <c r="N442" s="2411"/>
      <c r="O442" s="2411"/>
      <c r="P442" s="2411"/>
      <c r="Q442" s="2411"/>
      <c r="R442" s="2411"/>
      <c r="S442" s="2411"/>
      <c r="T442" s="2411"/>
      <c r="U442" s="2411"/>
      <c r="V442" s="2411"/>
      <c r="W442" s="2411"/>
      <c r="X442" s="2411"/>
      <c r="Y442" s="2411"/>
      <c r="Z442" s="2411"/>
      <c r="AA442" s="2411"/>
      <c r="AB442" s="2411"/>
      <c r="AC442" s="2411"/>
      <c r="AD442" s="2411"/>
      <c r="AE442" s="2411"/>
      <c r="AL442" s="723"/>
      <c r="AM442" s="563"/>
      <c r="AN442" s="590"/>
    </row>
    <row r="443" spans="1:60" s="544" customFormat="1" ht="12.75" customHeight="1">
      <c r="A443" s="532"/>
      <c r="B443" s="14"/>
      <c r="C443" s="2535" t="s">
        <v>591</v>
      </c>
      <c r="D443" s="2495"/>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3" t="s">
        <v>1452</v>
      </c>
      <c r="AG443" s="2473"/>
      <c r="AH443" s="2473"/>
      <c r="AI443" s="2473"/>
      <c r="AJ443" s="2473"/>
      <c r="AK443" s="2473"/>
      <c r="AL443" s="253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1474</v>
      </c>
      <c r="F446" s="2538" t="s">
        <v>1475</v>
      </c>
      <c r="G446" s="2538"/>
      <c r="H446" s="2538"/>
      <c r="I446" s="2538"/>
      <c r="J446" s="2538"/>
      <c r="K446" s="2538"/>
      <c r="L446" s="2538"/>
      <c r="M446" s="2538"/>
      <c r="N446" s="2538"/>
      <c r="O446" s="2538"/>
      <c r="P446" s="2538"/>
      <c r="Q446" s="2538"/>
      <c r="R446" s="2538"/>
      <c r="S446" s="2538"/>
      <c r="T446" s="2538"/>
      <c r="U446" s="2538"/>
      <c r="V446" s="2538"/>
      <c r="W446" s="2538"/>
      <c r="X446" s="2538"/>
      <c r="Y446" s="2538"/>
      <c r="Z446" s="2538"/>
      <c r="AA446" s="2538"/>
      <c r="AB446" s="2538"/>
      <c r="AC446" s="2538"/>
      <c r="AD446" s="2538"/>
      <c r="AE446" s="2538"/>
      <c r="AF446" s="738"/>
      <c r="AG446" s="738"/>
      <c r="AH446" s="738"/>
      <c r="AI446" s="738"/>
      <c r="AJ446" s="738"/>
      <c r="AK446" s="738"/>
      <c r="AL446" s="739"/>
      <c r="AM446" s="563"/>
      <c r="AO446" s="544"/>
      <c r="AP446" s="544"/>
      <c r="BD446" s="14"/>
      <c r="BE446" s="14"/>
      <c r="BF446" s="14"/>
      <c r="BG446" s="14"/>
      <c r="BH446" s="14"/>
    </row>
    <row r="447" spans="1:60">
      <c r="A447" s="532"/>
      <c r="C447" s="722"/>
      <c r="E447" s="682"/>
      <c r="F447" s="2411"/>
      <c r="G447" s="2411"/>
      <c r="H447" s="2411"/>
      <c r="I447" s="2411"/>
      <c r="J447" s="2411"/>
      <c r="K447" s="2411"/>
      <c r="L447" s="2411"/>
      <c r="M447" s="2411"/>
      <c r="N447" s="2411"/>
      <c r="O447" s="2411"/>
      <c r="P447" s="2411"/>
      <c r="Q447" s="2411"/>
      <c r="R447" s="2411"/>
      <c r="S447" s="2411"/>
      <c r="T447" s="2411"/>
      <c r="U447" s="2411"/>
      <c r="V447" s="2411"/>
      <c r="W447" s="2411"/>
      <c r="X447" s="2411"/>
      <c r="Y447" s="2411"/>
      <c r="Z447" s="2411"/>
      <c r="AA447" s="2411"/>
      <c r="AB447" s="2411"/>
      <c r="AC447" s="2411"/>
      <c r="AD447" s="2411"/>
      <c r="AE447" s="2411"/>
      <c r="AF447" s="587"/>
      <c r="AG447" s="587"/>
      <c r="AH447" s="587"/>
      <c r="AI447" s="587"/>
      <c r="AJ447" s="587"/>
      <c r="AK447" s="587"/>
      <c r="AL447" s="741"/>
      <c r="AM447" s="563"/>
      <c r="AO447" s="544"/>
      <c r="AP447" s="544"/>
    </row>
    <row r="448" spans="1:60" s="544" customFormat="1" ht="12.75" customHeight="1">
      <c r="A448" s="532"/>
      <c r="B448" s="14"/>
      <c r="C448" s="722"/>
      <c r="D448" s="14"/>
      <c r="E448" s="682"/>
      <c r="F448" s="2411"/>
      <c r="G448" s="2411"/>
      <c r="H448" s="2411"/>
      <c r="I448" s="2411"/>
      <c r="J448" s="2411"/>
      <c r="K448" s="2411"/>
      <c r="L448" s="2411"/>
      <c r="M448" s="2411"/>
      <c r="N448" s="2411"/>
      <c r="O448" s="2411"/>
      <c r="P448" s="2411"/>
      <c r="Q448" s="2411"/>
      <c r="R448" s="2411"/>
      <c r="S448" s="2411"/>
      <c r="T448" s="2411"/>
      <c r="U448" s="2411"/>
      <c r="V448" s="2411"/>
      <c r="W448" s="2411"/>
      <c r="X448" s="2411"/>
      <c r="Y448" s="2411"/>
      <c r="Z448" s="2411"/>
      <c r="AA448" s="2411"/>
      <c r="AB448" s="2411"/>
      <c r="AC448" s="2411"/>
      <c r="AD448" s="2411"/>
      <c r="AE448" s="2411"/>
      <c r="AF448" s="587"/>
      <c r="AG448" s="587"/>
      <c r="AH448" s="587"/>
      <c r="AI448" s="587"/>
      <c r="AJ448" s="587"/>
      <c r="AK448" s="587"/>
      <c r="AL448" s="741"/>
      <c r="AM448" s="563"/>
      <c r="AN448" s="590"/>
    </row>
    <row r="449" spans="1:42" s="544" customFormat="1" ht="12.75" customHeight="1">
      <c r="A449" s="532"/>
      <c r="B449" s="14"/>
      <c r="C449" s="742"/>
      <c r="D449" s="721"/>
      <c r="E449" s="710"/>
      <c r="F449" s="2411"/>
      <c r="G449" s="2411"/>
      <c r="H449" s="2411"/>
      <c r="I449" s="2411"/>
      <c r="J449" s="2411"/>
      <c r="K449" s="2411"/>
      <c r="L449" s="2411"/>
      <c r="M449" s="2411"/>
      <c r="N449" s="2411"/>
      <c r="O449" s="2411"/>
      <c r="P449" s="2411"/>
      <c r="Q449" s="2411"/>
      <c r="R449" s="2411"/>
      <c r="S449" s="2411"/>
      <c r="T449" s="2411"/>
      <c r="U449" s="2411"/>
      <c r="V449" s="2411"/>
      <c r="W449" s="2411"/>
      <c r="X449" s="2411"/>
      <c r="Y449" s="2411"/>
      <c r="Z449" s="2411"/>
      <c r="AA449" s="2411"/>
      <c r="AB449" s="2411"/>
      <c r="AC449" s="2411"/>
      <c r="AD449" s="2411"/>
      <c r="AE449" s="241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1"/>
      <c r="G450" s="2411"/>
      <c r="H450" s="2411"/>
      <c r="I450" s="2411"/>
      <c r="J450" s="2411"/>
      <c r="K450" s="2411"/>
      <c r="L450" s="2411"/>
      <c r="M450" s="2411"/>
      <c r="N450" s="2411"/>
      <c r="O450" s="2411"/>
      <c r="P450" s="2411"/>
      <c r="Q450" s="2411"/>
      <c r="R450" s="2411"/>
      <c r="S450" s="2411"/>
      <c r="T450" s="2411"/>
      <c r="U450" s="2411"/>
      <c r="V450" s="2411"/>
      <c r="W450" s="2411"/>
      <c r="X450" s="2411"/>
      <c r="Y450" s="2411"/>
      <c r="Z450" s="2411"/>
      <c r="AA450" s="2411"/>
      <c r="AB450" s="2411"/>
      <c r="AC450" s="2411"/>
      <c r="AD450" s="2411"/>
      <c r="AE450" s="2411"/>
      <c r="AF450" s="587"/>
      <c r="AG450" s="587"/>
      <c r="AH450" s="587"/>
      <c r="AI450" s="587"/>
      <c r="AJ450" s="587"/>
      <c r="AK450" s="587"/>
      <c r="AL450" s="741"/>
      <c r="AM450" s="563"/>
      <c r="AN450" s="590"/>
    </row>
    <row r="451" spans="1:42" s="544" customFormat="1" ht="12.75" customHeight="1">
      <c r="A451" s="532"/>
      <c r="B451" s="14"/>
      <c r="C451" s="742"/>
      <c r="D451" s="721"/>
      <c r="E451" s="710"/>
      <c r="F451" s="2411"/>
      <c r="G451" s="2411"/>
      <c r="H451" s="2411"/>
      <c r="I451" s="2411"/>
      <c r="J451" s="2411"/>
      <c r="K451" s="2411"/>
      <c r="L451" s="2411"/>
      <c r="M451" s="2411"/>
      <c r="N451" s="2411"/>
      <c r="O451" s="2411"/>
      <c r="P451" s="2411"/>
      <c r="Q451" s="2411"/>
      <c r="R451" s="2411"/>
      <c r="S451" s="2411"/>
      <c r="T451" s="2411"/>
      <c r="U451" s="2411"/>
      <c r="V451" s="2411"/>
      <c r="W451" s="2411"/>
      <c r="X451" s="2411"/>
      <c r="Y451" s="2411"/>
      <c r="Z451" s="2411"/>
      <c r="AA451" s="2411"/>
      <c r="AB451" s="2411"/>
      <c r="AC451" s="2411"/>
      <c r="AD451" s="2411"/>
      <c r="AE451" s="2411"/>
      <c r="AF451" s="587"/>
      <c r="AG451" s="587"/>
      <c r="AH451" s="587"/>
      <c r="AI451" s="587"/>
      <c r="AJ451" s="587"/>
      <c r="AK451" s="587"/>
      <c r="AL451" s="741"/>
      <c r="AM451" s="563"/>
      <c r="AN451" s="590"/>
    </row>
    <row r="452" spans="1:42" s="544" customFormat="1" ht="12.75" customHeight="1">
      <c r="A452" s="532"/>
      <c r="B452" s="14"/>
      <c r="C452" s="742"/>
      <c r="D452" s="721"/>
      <c r="E452" s="710"/>
      <c r="F452" s="2411"/>
      <c r="G452" s="2411"/>
      <c r="H452" s="2411"/>
      <c r="I452" s="2411"/>
      <c r="J452" s="2411"/>
      <c r="K452" s="2411"/>
      <c r="L452" s="2411"/>
      <c r="M452" s="2411"/>
      <c r="N452" s="2411"/>
      <c r="O452" s="2411"/>
      <c r="P452" s="2411"/>
      <c r="Q452" s="2411"/>
      <c r="R452" s="2411"/>
      <c r="S452" s="2411"/>
      <c r="T452" s="2411"/>
      <c r="U452" s="2411"/>
      <c r="V452" s="2411"/>
      <c r="W452" s="2411"/>
      <c r="X452" s="2411"/>
      <c r="Y452" s="2411"/>
      <c r="Z452" s="2411"/>
      <c r="AA452" s="2411"/>
      <c r="AB452" s="2411"/>
      <c r="AC452" s="2411"/>
      <c r="AD452" s="2411"/>
      <c r="AE452" s="2411"/>
      <c r="AF452" s="587"/>
      <c r="AG452" s="587"/>
      <c r="AH452" s="587"/>
      <c r="AI452" s="587"/>
      <c r="AJ452" s="587"/>
      <c r="AK452" s="587"/>
      <c r="AL452" s="741"/>
      <c r="AM452" s="563"/>
      <c r="AN452" s="590"/>
    </row>
    <row r="453" spans="1:42" s="544" customFormat="1" ht="12.75" customHeight="1">
      <c r="A453" s="532"/>
      <c r="B453" s="14"/>
      <c r="C453" s="742"/>
      <c r="D453" s="721"/>
      <c r="E453" s="710"/>
      <c r="F453" s="2411"/>
      <c r="G453" s="2411"/>
      <c r="H453" s="2411"/>
      <c r="I453" s="2411"/>
      <c r="J453" s="2411"/>
      <c r="K453" s="2411"/>
      <c r="L453" s="2411"/>
      <c r="M453" s="2411"/>
      <c r="N453" s="2411"/>
      <c r="O453" s="2411"/>
      <c r="P453" s="2411"/>
      <c r="Q453" s="2411"/>
      <c r="R453" s="2411"/>
      <c r="S453" s="2411"/>
      <c r="T453" s="2411"/>
      <c r="U453" s="2411"/>
      <c r="V453" s="2411"/>
      <c r="W453" s="2411"/>
      <c r="X453" s="2411"/>
      <c r="Y453" s="2411"/>
      <c r="Z453" s="2411"/>
      <c r="AA453" s="2411"/>
      <c r="AB453" s="2411"/>
      <c r="AC453" s="2411"/>
      <c r="AD453" s="2411"/>
      <c r="AE453" s="2411"/>
      <c r="AF453" s="587"/>
      <c r="AG453" s="587"/>
      <c r="AH453" s="587"/>
      <c r="AI453" s="587"/>
      <c r="AJ453" s="587"/>
      <c r="AK453" s="587"/>
      <c r="AL453" s="741"/>
      <c r="AM453" s="563"/>
      <c r="AN453" s="590"/>
    </row>
    <row r="454" spans="1:42" s="544" customFormat="1" ht="17.25" customHeight="1">
      <c r="A454" s="532"/>
      <c r="B454" s="14"/>
      <c r="C454" s="742"/>
      <c r="D454" s="721"/>
      <c r="E454" s="710"/>
      <c r="F454" s="2411"/>
      <c r="G454" s="2411"/>
      <c r="H454" s="2411"/>
      <c r="I454" s="2411"/>
      <c r="J454" s="2411"/>
      <c r="K454" s="2411"/>
      <c r="L454" s="2411"/>
      <c r="M454" s="2411"/>
      <c r="N454" s="2411"/>
      <c r="O454" s="2411"/>
      <c r="P454" s="2411"/>
      <c r="Q454" s="2411"/>
      <c r="R454" s="2411"/>
      <c r="S454" s="2411"/>
      <c r="T454" s="2411"/>
      <c r="U454" s="2411"/>
      <c r="V454" s="2411"/>
      <c r="W454" s="2411"/>
      <c r="X454" s="2411"/>
      <c r="Y454" s="2411"/>
      <c r="Z454" s="2411"/>
      <c r="AA454" s="2411"/>
      <c r="AB454" s="2411"/>
      <c r="AC454" s="2411"/>
      <c r="AD454" s="2411"/>
      <c r="AE454" s="2411"/>
      <c r="AL454" s="723"/>
      <c r="AM454" s="563"/>
      <c r="AN454" s="590"/>
    </row>
    <row r="455" spans="1:42" s="544" customFormat="1" ht="12.75" customHeight="1">
      <c r="A455" s="532"/>
      <c r="B455" s="14"/>
      <c r="C455" s="2535" t="s">
        <v>591</v>
      </c>
      <c r="D455" s="2495"/>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3" t="s">
        <v>1452</v>
      </c>
      <c r="AG455" s="2473"/>
      <c r="AH455" s="2473"/>
      <c r="AI455" s="2473"/>
      <c r="AJ455" s="2473"/>
      <c r="AK455" s="2473"/>
      <c r="AL455" s="253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8" t="s">
        <v>1478</v>
      </c>
      <c r="G458" s="2538"/>
      <c r="H458" s="2538"/>
      <c r="I458" s="2538"/>
      <c r="J458" s="2538"/>
      <c r="K458" s="2538"/>
      <c r="L458" s="2538"/>
      <c r="M458" s="2538"/>
      <c r="N458" s="2538"/>
      <c r="O458" s="2538"/>
      <c r="P458" s="2538"/>
      <c r="Q458" s="2538"/>
      <c r="R458" s="2538"/>
      <c r="S458" s="2538"/>
      <c r="T458" s="2538"/>
      <c r="U458" s="2538"/>
      <c r="V458" s="2538"/>
      <c r="W458" s="2538"/>
      <c r="X458" s="2538"/>
      <c r="Y458" s="2538"/>
      <c r="Z458" s="2538"/>
      <c r="AA458" s="2538"/>
      <c r="AB458" s="2538"/>
      <c r="AC458" s="2538"/>
      <c r="AD458" s="2538"/>
      <c r="AE458" s="2538"/>
      <c r="AF458" s="705"/>
      <c r="AG458" s="705"/>
      <c r="AH458" s="705"/>
      <c r="AI458" s="705"/>
      <c r="AJ458" s="705"/>
      <c r="AK458" s="705"/>
      <c r="AL458" s="736"/>
      <c r="AM458" s="563"/>
      <c r="AN458" s="590"/>
    </row>
    <row r="459" spans="1:42" s="544" customFormat="1" ht="12.75" customHeight="1">
      <c r="A459" s="532"/>
      <c r="B459" s="14"/>
      <c r="C459" s="742"/>
      <c r="D459" s="721"/>
      <c r="E459" s="710"/>
      <c r="F459" s="2411"/>
      <c r="G459" s="2411"/>
      <c r="H459" s="2411"/>
      <c r="I459" s="2411"/>
      <c r="J459" s="2411"/>
      <c r="K459" s="2411"/>
      <c r="L459" s="2411"/>
      <c r="M459" s="2411"/>
      <c r="N459" s="2411"/>
      <c r="O459" s="2411"/>
      <c r="P459" s="2411"/>
      <c r="Q459" s="2411"/>
      <c r="R459" s="2411"/>
      <c r="S459" s="2411"/>
      <c r="T459" s="2411"/>
      <c r="U459" s="2411"/>
      <c r="V459" s="2411"/>
      <c r="W459" s="2411"/>
      <c r="X459" s="2411"/>
      <c r="Y459" s="2411"/>
      <c r="Z459" s="2411"/>
      <c r="AA459" s="2411"/>
      <c r="AB459" s="2411"/>
      <c r="AC459" s="2411"/>
      <c r="AD459" s="2411"/>
      <c r="AE459" s="2411"/>
      <c r="AF459" s="584"/>
      <c r="AG459" s="584"/>
      <c r="AH459" s="584"/>
      <c r="AI459" s="584"/>
      <c r="AJ459" s="584"/>
      <c r="AK459" s="584"/>
      <c r="AL459" s="711"/>
      <c r="AM459" s="563"/>
      <c r="AN459" s="590"/>
    </row>
    <row r="460" spans="1:42" s="544" customFormat="1" ht="12.75" customHeight="1">
      <c r="A460" s="532"/>
      <c r="B460" s="14"/>
      <c r="C460" s="742"/>
      <c r="D460" s="721"/>
      <c r="E460" s="710"/>
      <c r="F460" s="2411"/>
      <c r="G460" s="2411"/>
      <c r="H460" s="2411"/>
      <c r="I460" s="2411"/>
      <c r="J460" s="2411"/>
      <c r="K460" s="2411"/>
      <c r="L460" s="2411"/>
      <c r="M460" s="2411"/>
      <c r="N460" s="2411"/>
      <c r="O460" s="2411"/>
      <c r="P460" s="2411"/>
      <c r="Q460" s="2411"/>
      <c r="R460" s="2411"/>
      <c r="S460" s="2411"/>
      <c r="T460" s="2411"/>
      <c r="U460" s="2411"/>
      <c r="V460" s="2411"/>
      <c r="W460" s="2411"/>
      <c r="X460" s="2411"/>
      <c r="Y460" s="2411"/>
      <c r="Z460" s="2411"/>
      <c r="AA460" s="2411"/>
      <c r="AB460" s="2411"/>
      <c r="AC460" s="2411"/>
      <c r="AD460" s="2411"/>
      <c r="AE460" s="2411"/>
      <c r="AF460" s="584"/>
      <c r="AG460" s="584"/>
      <c r="AH460" s="584"/>
      <c r="AI460" s="584"/>
      <c r="AJ460" s="584"/>
      <c r="AK460" s="584"/>
      <c r="AL460" s="711"/>
      <c r="AM460" s="563"/>
      <c r="AN460" s="590"/>
    </row>
    <row r="461" spans="1:42" s="544" customFormat="1" ht="12.75" customHeight="1">
      <c r="A461" s="532"/>
      <c r="B461" s="14"/>
      <c r="C461" s="742"/>
      <c r="D461" s="721"/>
      <c r="E461" s="710"/>
      <c r="F461" s="2411"/>
      <c r="G461" s="2411"/>
      <c r="H461" s="2411"/>
      <c r="I461" s="2411"/>
      <c r="J461" s="2411"/>
      <c r="K461" s="2411"/>
      <c r="L461" s="2411"/>
      <c r="M461" s="2411"/>
      <c r="N461" s="2411"/>
      <c r="O461" s="2411"/>
      <c r="P461" s="2411"/>
      <c r="Q461" s="2411"/>
      <c r="R461" s="2411"/>
      <c r="S461" s="2411"/>
      <c r="T461" s="2411"/>
      <c r="U461" s="2411"/>
      <c r="V461" s="2411"/>
      <c r="W461" s="2411"/>
      <c r="X461" s="2411"/>
      <c r="Y461" s="2411"/>
      <c r="Z461" s="2411"/>
      <c r="AA461" s="2411"/>
      <c r="AB461" s="2411"/>
      <c r="AC461" s="2411"/>
      <c r="AD461" s="2411"/>
      <c r="AE461" s="2411"/>
      <c r="AL461" s="723"/>
      <c r="AM461" s="563"/>
      <c r="AN461" s="590"/>
    </row>
    <row r="462" spans="1:42" s="544" customFormat="1" ht="12.75" customHeight="1">
      <c r="A462" s="532"/>
      <c r="B462" s="14"/>
      <c r="C462" s="2535" t="s">
        <v>591</v>
      </c>
      <c r="D462" s="2495"/>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3" t="s">
        <v>1452</v>
      </c>
      <c r="AG462" s="2473"/>
      <c r="AH462" s="2473"/>
      <c r="AI462" s="2473"/>
      <c r="AJ462" s="2473"/>
      <c r="AK462" s="2473"/>
      <c r="AL462" s="253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0" t="s">
        <v>591</v>
      </c>
      <c r="D466" s="2541"/>
      <c r="E466" s="706" t="s">
        <v>1487</v>
      </c>
      <c r="F466" s="2538" t="s">
        <v>1488</v>
      </c>
      <c r="G466" s="2538"/>
      <c r="H466" s="2538"/>
      <c r="I466" s="2538"/>
      <c r="J466" s="2538"/>
      <c r="K466" s="2538"/>
      <c r="L466" s="2538"/>
      <c r="M466" s="2538"/>
      <c r="N466" s="2538"/>
      <c r="O466" s="2538"/>
      <c r="P466" s="2538"/>
      <c r="Q466" s="2538"/>
      <c r="R466" s="2538"/>
      <c r="S466" s="2538"/>
      <c r="T466" s="2538"/>
      <c r="U466" s="2538"/>
      <c r="V466" s="2538"/>
      <c r="W466" s="2538"/>
      <c r="X466" s="2538"/>
      <c r="Y466" s="2538"/>
      <c r="Z466" s="2538"/>
      <c r="AA466" s="2538"/>
      <c r="AB466" s="2538"/>
      <c r="AC466" s="2538"/>
      <c r="AD466" s="2538"/>
      <c r="AE466" s="2538"/>
      <c r="AF466" s="2623" t="s">
        <v>1452</v>
      </c>
      <c r="AG466" s="2623"/>
      <c r="AH466" s="2623"/>
      <c r="AI466" s="2623"/>
      <c r="AJ466" s="2623"/>
      <c r="AK466" s="2623"/>
      <c r="AL466" s="2624"/>
      <c r="AM466" s="563"/>
      <c r="AN466" s="744"/>
    </row>
    <row r="467" spans="1:40" s="544" customFormat="1" ht="12.75" customHeight="1">
      <c r="A467" s="532"/>
      <c r="B467" s="14"/>
      <c r="C467" s="742"/>
      <c r="D467" s="721"/>
      <c r="E467" s="710"/>
      <c r="F467" s="2411"/>
      <c r="G467" s="2411"/>
      <c r="H467" s="2411"/>
      <c r="I467" s="2411"/>
      <c r="J467" s="2411"/>
      <c r="K467" s="2411"/>
      <c r="L467" s="2411"/>
      <c r="M467" s="2411"/>
      <c r="N467" s="2411"/>
      <c r="O467" s="2411"/>
      <c r="P467" s="2411"/>
      <c r="Q467" s="2411"/>
      <c r="R467" s="2411"/>
      <c r="S467" s="2411"/>
      <c r="T467" s="2411"/>
      <c r="U467" s="2411"/>
      <c r="V467" s="2411"/>
      <c r="W467" s="2411"/>
      <c r="X467" s="2411"/>
      <c r="Y467" s="2411"/>
      <c r="Z467" s="2411"/>
      <c r="AA467" s="2411"/>
      <c r="AB467" s="2411"/>
      <c r="AC467" s="2411"/>
      <c r="AD467" s="2411"/>
      <c r="AE467" s="2411"/>
      <c r="AF467" s="584"/>
      <c r="AG467" s="584"/>
      <c r="AH467" s="584"/>
      <c r="AI467" s="584"/>
      <c r="AJ467" s="584"/>
      <c r="AK467" s="584"/>
      <c r="AL467" s="711"/>
      <c r="AM467" s="563"/>
      <c r="AN467" s="745"/>
    </row>
    <row r="468" spans="1:40" s="544" customFormat="1" ht="17.7" customHeight="1">
      <c r="A468" s="532"/>
      <c r="B468" s="14"/>
      <c r="C468" s="747"/>
      <c r="D468" s="714"/>
      <c r="E468" s="715"/>
      <c r="F468" s="2567"/>
      <c r="G468" s="2567"/>
      <c r="H468" s="2567"/>
      <c r="I468" s="2567"/>
      <c r="J468" s="2567"/>
      <c r="K468" s="2567"/>
      <c r="L468" s="2567"/>
      <c r="M468" s="2567"/>
      <c r="N468" s="2567"/>
      <c r="O468" s="2567"/>
      <c r="P468" s="2567"/>
      <c r="Q468" s="2567"/>
      <c r="R468" s="2567"/>
      <c r="S468" s="2567"/>
      <c r="T468" s="2567"/>
      <c r="U468" s="2567"/>
      <c r="V468" s="2567"/>
      <c r="W468" s="2567"/>
      <c r="X468" s="2567"/>
      <c r="Y468" s="2567"/>
      <c r="Z468" s="2567"/>
      <c r="AA468" s="2567"/>
      <c r="AB468" s="2567"/>
      <c r="AC468" s="2567"/>
      <c r="AD468" s="2567"/>
      <c r="AE468" s="256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5" t="s">
        <v>591</v>
      </c>
      <c r="D470" s="2495"/>
      <c r="E470" s="706" t="s">
        <v>1493</v>
      </c>
      <c r="F470" s="2538" t="s">
        <v>1494</v>
      </c>
      <c r="G470" s="2538"/>
      <c r="H470" s="2538"/>
      <c r="I470" s="2538"/>
      <c r="J470" s="2538"/>
      <c r="K470" s="2538"/>
      <c r="L470" s="2538"/>
      <c r="M470" s="2538"/>
      <c r="N470" s="2538"/>
      <c r="O470" s="2538"/>
      <c r="P470" s="2538"/>
      <c r="Q470" s="2538"/>
      <c r="R470" s="2538"/>
      <c r="S470" s="2538"/>
      <c r="T470" s="2538"/>
      <c r="U470" s="2538"/>
      <c r="V470" s="2538"/>
      <c r="W470" s="2538"/>
      <c r="X470" s="2538"/>
      <c r="Y470" s="2538"/>
      <c r="Z470" s="2538"/>
      <c r="AA470" s="2538"/>
      <c r="AB470" s="2538"/>
      <c r="AC470" s="2538"/>
      <c r="AD470" s="2538"/>
      <c r="AE470" s="2538"/>
      <c r="AF470" s="2623" t="s">
        <v>1452</v>
      </c>
      <c r="AG470" s="2623"/>
      <c r="AH470" s="2623"/>
      <c r="AI470" s="2623"/>
      <c r="AJ470" s="2623"/>
      <c r="AK470" s="2623"/>
      <c r="AL470" s="2624"/>
      <c r="AM470" s="563"/>
      <c r="AN470" s="531"/>
    </row>
    <row r="471" spans="1:40" s="544" customFormat="1" ht="12.75" customHeight="1">
      <c r="A471" s="532"/>
      <c r="B471" s="14"/>
      <c r="C471" s="722"/>
      <c r="D471" s="14"/>
      <c r="E471" s="682"/>
      <c r="F471" s="2411"/>
      <c r="G471" s="2411"/>
      <c r="H471" s="2411"/>
      <c r="I471" s="2411"/>
      <c r="J471" s="2411"/>
      <c r="K471" s="2411"/>
      <c r="L471" s="2411"/>
      <c r="M471" s="2411"/>
      <c r="N471" s="2411"/>
      <c r="O471" s="2411"/>
      <c r="P471" s="2411"/>
      <c r="Q471" s="2411"/>
      <c r="R471" s="2411"/>
      <c r="S471" s="2411"/>
      <c r="T471" s="2411"/>
      <c r="U471" s="2411"/>
      <c r="V471" s="2411"/>
      <c r="W471" s="2411"/>
      <c r="X471" s="2411"/>
      <c r="Y471" s="2411"/>
      <c r="Z471" s="2411"/>
      <c r="AA471" s="2411"/>
      <c r="AB471" s="2411"/>
      <c r="AC471" s="2411"/>
      <c r="AD471" s="2411"/>
      <c r="AE471" s="2411"/>
      <c r="AF471" s="535"/>
      <c r="AG471" s="532"/>
      <c r="AL471" s="723"/>
      <c r="AM471" s="563"/>
      <c r="AN471" s="531"/>
    </row>
    <row r="472" spans="1:40" s="544" customFormat="1" ht="12.75" customHeight="1">
      <c r="A472" s="532"/>
      <c r="B472" s="14"/>
      <c r="C472" s="722"/>
      <c r="D472" s="14"/>
      <c r="E472" s="682"/>
      <c r="F472" s="2411"/>
      <c r="G472" s="2411"/>
      <c r="H472" s="2411"/>
      <c r="I472" s="2411"/>
      <c r="J472" s="2411"/>
      <c r="K472" s="2411"/>
      <c r="L472" s="2411"/>
      <c r="M472" s="2411"/>
      <c r="N472" s="2411"/>
      <c r="O472" s="2411"/>
      <c r="P472" s="2411"/>
      <c r="Q472" s="2411"/>
      <c r="R472" s="2411"/>
      <c r="S472" s="2411"/>
      <c r="T472" s="2411"/>
      <c r="U472" s="2411"/>
      <c r="V472" s="2411"/>
      <c r="W472" s="2411"/>
      <c r="X472" s="2411"/>
      <c r="Y472" s="2411"/>
      <c r="Z472" s="2411"/>
      <c r="AA472" s="2411"/>
      <c r="AB472" s="2411"/>
      <c r="AC472" s="2411"/>
      <c r="AD472" s="2411"/>
      <c r="AE472" s="2411"/>
      <c r="AF472" s="535"/>
      <c r="AG472" s="532"/>
      <c r="AL472" s="723"/>
      <c r="AM472" s="563"/>
      <c r="AN472" s="531"/>
    </row>
    <row r="473" spans="1:40" s="544" customFormat="1" ht="12.75" customHeight="1">
      <c r="A473" s="532"/>
      <c r="B473" s="14"/>
      <c r="C473" s="747"/>
      <c r="D473" s="714"/>
      <c r="E473" s="715"/>
      <c r="F473" s="2567"/>
      <c r="G473" s="2567"/>
      <c r="H473" s="2567"/>
      <c r="I473" s="2567"/>
      <c r="J473" s="2567"/>
      <c r="K473" s="2567"/>
      <c r="L473" s="2567"/>
      <c r="M473" s="2567"/>
      <c r="N473" s="2567"/>
      <c r="O473" s="2567"/>
      <c r="P473" s="2567"/>
      <c r="Q473" s="2567"/>
      <c r="R473" s="2567"/>
      <c r="S473" s="2567"/>
      <c r="T473" s="2567"/>
      <c r="U473" s="2567"/>
      <c r="V473" s="2567"/>
      <c r="W473" s="2567"/>
      <c r="X473" s="2567"/>
      <c r="Y473" s="2567"/>
      <c r="Z473" s="2567"/>
      <c r="AA473" s="2567"/>
      <c r="AB473" s="2567"/>
      <c r="AC473" s="2567"/>
      <c r="AD473" s="2567"/>
      <c r="AE473" s="256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8" t="s">
        <v>1497</v>
      </c>
      <c r="G475" s="2538"/>
      <c r="H475" s="2538"/>
      <c r="I475" s="2538"/>
      <c r="J475" s="2538"/>
      <c r="K475" s="2538"/>
      <c r="L475" s="2538"/>
      <c r="M475" s="2538"/>
      <c r="N475" s="2538"/>
      <c r="O475" s="2538"/>
      <c r="P475" s="2538"/>
      <c r="Q475" s="2538"/>
      <c r="R475" s="2538"/>
      <c r="S475" s="2538"/>
      <c r="T475" s="2538"/>
      <c r="U475" s="2538"/>
      <c r="V475" s="2538"/>
      <c r="W475" s="2538"/>
      <c r="X475" s="2538"/>
      <c r="Y475" s="2538"/>
      <c r="Z475" s="2538"/>
      <c r="AA475" s="2538"/>
      <c r="AB475" s="2538"/>
      <c r="AC475" s="2538"/>
      <c r="AD475" s="2538"/>
      <c r="AE475" s="2538"/>
      <c r="AF475" s="2538"/>
      <c r="AG475" s="735"/>
      <c r="AH475" s="705"/>
      <c r="AI475" s="705"/>
      <c r="AJ475" s="705"/>
      <c r="AK475" s="705"/>
      <c r="AL475" s="736"/>
      <c r="AM475" s="563"/>
      <c r="AN475" s="590"/>
    </row>
    <row r="476" spans="1:40" s="544" customFormat="1" ht="12.75" customHeight="1">
      <c r="A476" s="532"/>
      <c r="B476" s="14"/>
      <c r="C476" s="722"/>
      <c r="D476" s="14"/>
      <c r="E476" s="682"/>
      <c r="F476" s="2411"/>
      <c r="G476" s="2411"/>
      <c r="H476" s="2411"/>
      <c r="I476" s="2411"/>
      <c r="J476" s="2411"/>
      <c r="K476" s="2411"/>
      <c r="L476" s="2411"/>
      <c r="M476" s="2411"/>
      <c r="N476" s="2411"/>
      <c r="O476" s="2411"/>
      <c r="P476" s="2411"/>
      <c r="Q476" s="2411"/>
      <c r="R476" s="2411"/>
      <c r="S476" s="2411"/>
      <c r="T476" s="2411"/>
      <c r="U476" s="2411"/>
      <c r="V476" s="2411"/>
      <c r="W476" s="2411"/>
      <c r="X476" s="2411"/>
      <c r="Y476" s="2411"/>
      <c r="Z476" s="2411"/>
      <c r="AA476" s="2411"/>
      <c r="AB476" s="2411"/>
      <c r="AC476" s="2411"/>
      <c r="AD476" s="2411"/>
      <c r="AE476" s="2411"/>
      <c r="AF476" s="2411"/>
      <c r="AL476" s="723"/>
      <c r="AM476" s="563"/>
      <c r="AN476" s="590"/>
    </row>
    <row r="477" spans="1:40" s="544" customFormat="1" ht="12.75" customHeight="1">
      <c r="A477" s="532"/>
      <c r="B477" s="14"/>
      <c r="C477" s="730"/>
      <c r="F477" s="2411"/>
      <c r="G477" s="2411"/>
      <c r="H477" s="2411"/>
      <c r="I477" s="2411"/>
      <c r="J477" s="2411"/>
      <c r="K477" s="2411"/>
      <c r="L477" s="2411"/>
      <c r="M477" s="2411"/>
      <c r="N477" s="2411"/>
      <c r="O477" s="2411"/>
      <c r="P477" s="2411"/>
      <c r="Q477" s="2411"/>
      <c r="R477" s="2411"/>
      <c r="S477" s="2411"/>
      <c r="T477" s="2411"/>
      <c r="U477" s="2411"/>
      <c r="V477" s="2411"/>
      <c r="W477" s="2411"/>
      <c r="X477" s="2411"/>
      <c r="Y477" s="2411"/>
      <c r="Z477" s="2411"/>
      <c r="AA477" s="2411"/>
      <c r="AB477" s="2411"/>
      <c r="AC477" s="2411"/>
      <c r="AD477" s="2411"/>
      <c r="AE477" s="2411"/>
      <c r="AF477" s="2411"/>
      <c r="AL477" s="723"/>
      <c r="AM477" s="563"/>
      <c r="AN477" s="590"/>
    </row>
    <row r="478" spans="1:40" s="544" customFormat="1" ht="12.75" customHeight="1">
      <c r="A478" s="532"/>
      <c r="B478" s="14"/>
      <c r="C478" s="730"/>
      <c r="F478" s="2411"/>
      <c r="G478" s="2411"/>
      <c r="H478" s="2411"/>
      <c r="I478" s="2411"/>
      <c r="J478" s="2411"/>
      <c r="K478" s="2411"/>
      <c r="L478" s="2411"/>
      <c r="M478" s="2411"/>
      <c r="N478" s="2411"/>
      <c r="O478" s="2411"/>
      <c r="P478" s="2411"/>
      <c r="Q478" s="2411"/>
      <c r="R478" s="2411"/>
      <c r="S478" s="2411"/>
      <c r="T478" s="2411"/>
      <c r="U478" s="2411"/>
      <c r="V478" s="2411"/>
      <c r="W478" s="2411"/>
      <c r="X478" s="2411"/>
      <c r="Y478" s="2411"/>
      <c r="Z478" s="2411"/>
      <c r="AA478" s="2411"/>
      <c r="AB478" s="2411"/>
      <c r="AC478" s="2411"/>
      <c r="AD478" s="2411"/>
      <c r="AE478" s="2411"/>
      <c r="AF478" s="2411"/>
      <c r="AL478" s="723"/>
      <c r="AM478" s="563"/>
      <c r="AN478" s="590"/>
    </row>
    <row r="479" spans="1:40" s="544" customFormat="1" ht="12.75" customHeight="1">
      <c r="A479" s="532"/>
      <c r="B479" s="14"/>
      <c r="C479" s="2535" t="s">
        <v>591</v>
      </c>
      <c r="D479" s="2495"/>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6" t="s">
        <v>1452</v>
      </c>
      <c r="AG479" s="2536"/>
      <c r="AH479" s="2536"/>
      <c r="AI479" s="2536"/>
      <c r="AJ479" s="2536"/>
      <c r="AK479" s="2536"/>
      <c r="AL479" s="253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8">
        <f>IF(Application!D214="N/A",AS371,AS373)</f>
        <v>10</v>
      </c>
      <c r="AL482" s="2499"/>
      <c r="AM482" s="250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6" t="s">
        <v>1501</v>
      </c>
      <c r="AF485" s="2536"/>
      <c r="AG485" s="2536"/>
      <c r="AH485" s="2536"/>
      <c r="AI485" s="2536"/>
      <c r="AJ485" s="2536"/>
      <c r="AK485" s="253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2" t="s">
        <v>591</v>
      </c>
      <c r="D491" s="2543"/>
      <c r="E491" s="752" t="s">
        <v>507</v>
      </c>
      <c r="F491" s="2544" t="s">
        <v>1507</v>
      </c>
      <c r="G491" s="2544"/>
      <c r="H491" s="2544"/>
      <c r="I491" s="2544"/>
      <c r="J491" s="2544"/>
      <c r="K491" s="2544"/>
      <c r="L491" s="2544"/>
      <c r="M491" s="2544"/>
      <c r="N491" s="2544"/>
      <c r="O491" s="2544"/>
      <c r="P491" s="2544"/>
      <c r="Q491" s="2544"/>
      <c r="R491" s="2544"/>
      <c r="S491" s="2544"/>
      <c r="T491" s="2544"/>
      <c r="U491" s="2544"/>
      <c r="V491" s="2544"/>
      <c r="W491" s="2544"/>
      <c r="X491" s="2544"/>
      <c r="Y491" s="2544"/>
      <c r="Z491" s="2544"/>
      <c r="AA491" s="2544"/>
      <c r="AB491" s="2544"/>
      <c r="AC491" s="2544"/>
      <c r="AD491" s="2544"/>
      <c r="AE491" s="2544"/>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5"/>
      <c r="G492" s="2545"/>
      <c r="H492" s="2545"/>
      <c r="I492" s="2545"/>
      <c r="J492" s="2545"/>
      <c r="K492" s="2545"/>
      <c r="L492" s="2545"/>
      <c r="M492" s="2545"/>
      <c r="N492" s="2545"/>
      <c r="O492" s="2545"/>
      <c r="P492" s="2545"/>
      <c r="Q492" s="2545"/>
      <c r="R492" s="2545"/>
      <c r="S492" s="2545"/>
      <c r="T492" s="2545"/>
      <c r="U492" s="2545"/>
      <c r="V492" s="2545"/>
      <c r="W492" s="2545"/>
      <c r="X492" s="2545"/>
      <c r="Y492" s="2545"/>
      <c r="Z492" s="2545"/>
      <c r="AA492" s="2545"/>
      <c r="AB492" s="2545"/>
      <c r="AC492" s="2545"/>
      <c r="AD492" s="2545"/>
      <c r="AE492" s="2545"/>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40" t="s">
        <v>591</v>
      </c>
      <c r="G493" s="2640"/>
      <c r="H493" s="2640"/>
      <c r="I493" s="2640"/>
      <c r="J493" s="2640"/>
      <c r="K493" s="2640"/>
      <c r="L493" s="2640"/>
      <c r="M493" s="2640"/>
      <c r="N493" s="2640"/>
      <c r="O493" s="2640"/>
      <c r="P493" s="2640"/>
      <c r="Q493" s="2640"/>
      <c r="R493" s="2640"/>
      <c r="S493" s="2640"/>
      <c r="T493" s="2640"/>
      <c r="U493" s="2640"/>
      <c r="V493" s="2640"/>
      <c r="W493" s="2640"/>
      <c r="X493" s="2640"/>
      <c r="Y493" s="2640"/>
      <c r="Z493" s="2640"/>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61" t="s">
        <v>545</v>
      </c>
      <c r="D495" s="2662"/>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9" t="s">
        <v>591</v>
      </c>
      <c r="W498" s="2629"/>
      <c r="X498" s="2629"/>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9" t="s">
        <v>591</v>
      </c>
      <c r="W500" s="2629"/>
      <c r="X500" s="2629"/>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9" t="s">
        <v>591</v>
      </c>
      <c r="W505" s="2629"/>
      <c r="X505" s="2629"/>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5"/>
      <c r="E508" s="2615"/>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9" t="s">
        <v>591</v>
      </c>
      <c r="W509" s="2629"/>
      <c r="X509" s="2629"/>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9" t="s">
        <v>591</v>
      </c>
      <c r="W511" s="2629"/>
      <c r="X511" s="2629"/>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2" t="s">
        <v>591</v>
      </c>
      <c r="D514" s="2543"/>
      <c r="E514" s="752" t="s">
        <v>507</v>
      </c>
      <c r="F514" s="2544" t="s">
        <v>1507</v>
      </c>
      <c r="G514" s="2544"/>
      <c r="H514" s="2544"/>
      <c r="I514" s="2544"/>
      <c r="J514" s="2544"/>
      <c r="K514" s="2544"/>
      <c r="L514" s="2544"/>
      <c r="M514" s="2544"/>
      <c r="N514" s="2544"/>
      <c r="O514" s="2544"/>
      <c r="P514" s="2544"/>
      <c r="Q514" s="2544"/>
      <c r="R514" s="2544"/>
      <c r="S514" s="2544"/>
      <c r="T514" s="2544"/>
      <c r="U514" s="2544"/>
      <c r="V514" s="2544"/>
      <c r="W514" s="2544"/>
      <c r="X514" s="2544"/>
      <c r="Y514" s="2544"/>
      <c r="Z514" s="2544"/>
      <c r="AA514" s="2544"/>
      <c r="AB514" s="2544"/>
      <c r="AC514" s="2544"/>
      <c r="AD514" s="2544"/>
      <c r="AE514" s="254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5"/>
      <c r="G515" s="2545"/>
      <c r="H515" s="2545"/>
      <c r="I515" s="2545"/>
      <c r="J515" s="2545"/>
      <c r="K515" s="2545"/>
      <c r="L515" s="2545"/>
      <c r="M515" s="2545"/>
      <c r="N515" s="2545"/>
      <c r="O515" s="2545"/>
      <c r="P515" s="2545"/>
      <c r="Q515" s="2545"/>
      <c r="R515" s="2545"/>
      <c r="S515" s="2545"/>
      <c r="T515" s="2545"/>
      <c r="U515" s="2545"/>
      <c r="V515" s="2545"/>
      <c r="W515" s="2545"/>
      <c r="X515" s="2545"/>
      <c r="Y515" s="2545"/>
      <c r="Z515" s="2545"/>
      <c r="AA515" s="2545"/>
      <c r="AB515" s="2545"/>
      <c r="AC515" s="2545"/>
      <c r="AD515" s="2545"/>
      <c r="AE515" s="254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6" t="s">
        <v>591</v>
      </c>
      <c r="G516" s="2636"/>
      <c r="H516" s="2636"/>
      <c r="I516" s="2636"/>
      <c r="J516" s="2636"/>
      <c r="K516" s="2636"/>
      <c r="L516" s="2636"/>
      <c r="M516" s="2636"/>
      <c r="N516" s="2636"/>
      <c r="O516" s="2636"/>
      <c r="P516" s="2636"/>
      <c r="Q516" s="2636"/>
      <c r="R516" s="2636"/>
      <c r="S516" s="2636"/>
      <c r="T516" s="2636"/>
      <c r="U516" s="2636"/>
      <c r="V516" s="2636"/>
      <c r="W516" s="2636"/>
      <c r="X516" s="2636"/>
      <c r="Y516" s="2636"/>
      <c r="Z516" s="2636"/>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2" t="s">
        <v>591</v>
      </c>
      <c r="D518" s="2543"/>
      <c r="E518" s="752" t="s">
        <v>757</v>
      </c>
      <c r="F518" s="2637" t="s">
        <v>1529</v>
      </c>
      <c r="G518" s="2637"/>
      <c r="H518" s="2637"/>
      <c r="I518" s="2637"/>
      <c r="J518" s="2637"/>
      <c r="K518" s="2637"/>
      <c r="L518" s="2637"/>
      <c r="M518" s="2637"/>
      <c r="N518" s="2637"/>
      <c r="O518" s="2637"/>
      <c r="P518" s="2637"/>
      <c r="Q518" s="2637"/>
      <c r="R518" s="2637"/>
      <c r="S518" s="2637"/>
      <c r="T518" s="2637"/>
      <c r="U518" s="2637"/>
      <c r="V518" s="2637"/>
      <c r="W518" s="2637"/>
      <c r="X518" s="2637"/>
      <c r="Y518" s="2637"/>
      <c r="Z518" s="2637"/>
      <c r="AA518" s="2637"/>
      <c r="AB518" s="2637"/>
      <c r="AC518" s="2637"/>
      <c r="AD518" s="2637"/>
      <c r="AE518" s="263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8"/>
      <c r="G519" s="2638"/>
      <c r="H519" s="2638"/>
      <c r="I519" s="2638"/>
      <c r="J519" s="2638"/>
      <c r="K519" s="2638"/>
      <c r="L519" s="2638"/>
      <c r="M519" s="2638"/>
      <c r="N519" s="2638"/>
      <c r="O519" s="2638"/>
      <c r="P519" s="2638"/>
      <c r="Q519" s="2638"/>
      <c r="R519" s="2638"/>
      <c r="S519" s="2638"/>
      <c r="T519" s="2638"/>
      <c r="U519" s="2638"/>
      <c r="V519" s="2638"/>
      <c r="W519" s="2638"/>
      <c r="X519" s="2638"/>
      <c r="Y519" s="2638"/>
      <c r="Z519" s="2638"/>
      <c r="AA519" s="2638"/>
      <c r="AB519" s="2638"/>
      <c r="AC519" s="2638"/>
      <c r="AD519" s="2638"/>
      <c r="AE519" s="263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9" t="s">
        <v>591</v>
      </c>
      <c r="G521" s="2639"/>
      <c r="H521" s="2639"/>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2" t="s">
        <v>591</v>
      </c>
      <c r="D523" s="254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4"/>
      <c r="D525" s="2615"/>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6" t="s">
        <v>591</v>
      </c>
      <c r="H526" s="2616"/>
      <c r="I526" s="2616"/>
      <c r="J526" s="2616"/>
      <c r="K526" s="2616"/>
      <c r="L526" s="2616"/>
      <c r="M526" s="2616"/>
      <c r="N526" s="2616"/>
      <c r="O526" s="2616"/>
      <c r="P526" s="2616"/>
      <c r="Q526" s="2616"/>
      <c r="R526" s="2616"/>
      <c r="S526" s="2616"/>
      <c r="T526" s="2616"/>
      <c r="U526" s="2616"/>
      <c r="V526" s="2616"/>
      <c r="W526" s="2616"/>
      <c r="X526" s="2616"/>
      <c r="Y526" s="2616"/>
      <c r="Z526" s="2616"/>
      <c r="AA526" s="2616"/>
      <c r="AB526" s="2616"/>
      <c r="AC526" s="2616"/>
      <c r="AD526" s="2616"/>
      <c r="AE526" s="2616"/>
      <c r="AF526" s="2616"/>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7" t="s">
        <v>591</v>
      </c>
      <c r="D528" s="2618"/>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7" t="s">
        <v>591</v>
      </c>
      <c r="D532" s="2618"/>
      <c r="F532" s="786" t="s">
        <v>1537</v>
      </c>
      <c r="G532" s="2411" t="s">
        <v>1538</v>
      </c>
      <c r="H532" s="2411"/>
      <c r="I532" s="2411"/>
      <c r="J532" s="2411"/>
      <c r="K532" s="2411"/>
      <c r="L532" s="2411"/>
      <c r="M532" s="2411"/>
      <c r="N532" s="2411"/>
      <c r="O532" s="2411"/>
      <c r="P532" s="2411"/>
      <c r="Q532" s="2411"/>
      <c r="R532" s="2411"/>
      <c r="S532" s="2411"/>
      <c r="T532" s="2411"/>
      <c r="U532" s="2411"/>
      <c r="V532" s="2411"/>
      <c r="W532" s="2411"/>
      <c r="X532" s="2411"/>
      <c r="Y532" s="2411"/>
      <c r="Z532" s="2411"/>
      <c r="AA532" s="2411"/>
      <c r="AB532" s="2411"/>
      <c r="AC532" s="2411"/>
      <c r="AD532" s="2411"/>
      <c r="AE532" s="2411"/>
      <c r="AF532" s="241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7"/>
      <c r="H533" s="2567"/>
      <c r="I533" s="2567"/>
      <c r="J533" s="2567"/>
      <c r="K533" s="2567"/>
      <c r="L533" s="2567"/>
      <c r="M533" s="2567"/>
      <c r="N533" s="2567"/>
      <c r="O533" s="2567"/>
      <c r="P533" s="2567"/>
      <c r="Q533" s="2567"/>
      <c r="R533" s="2567"/>
      <c r="S533" s="2567"/>
      <c r="T533" s="2567"/>
      <c r="U533" s="2567"/>
      <c r="V533" s="2567"/>
      <c r="W533" s="2567"/>
      <c r="X533" s="2567"/>
      <c r="Y533" s="2567"/>
      <c r="Z533" s="2567"/>
      <c r="AA533" s="2567"/>
      <c r="AB533" s="2567"/>
      <c r="AC533" s="2567"/>
      <c r="AD533" s="2567"/>
      <c r="AE533" s="2567"/>
      <c r="AF533" s="256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9" t="s">
        <v>591</v>
      </c>
      <c r="D536" s="2620"/>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1" t="s">
        <v>591</v>
      </c>
      <c r="G537" s="2621"/>
      <c r="H537" s="2621"/>
      <c r="I537" s="2621"/>
      <c r="J537" s="2621"/>
      <c r="K537" s="2621"/>
      <c r="L537" s="2621"/>
      <c r="M537" s="2621"/>
      <c r="N537" s="2621"/>
      <c r="O537" s="2621"/>
      <c r="P537" s="2621"/>
      <c r="Q537" s="2621"/>
      <c r="R537" s="2621"/>
      <c r="S537" s="2621"/>
      <c r="T537" s="2621"/>
      <c r="U537" s="2621"/>
      <c r="V537" s="2621"/>
      <c r="W537" s="2621"/>
      <c r="X537" s="2621"/>
      <c r="Y537" s="2621"/>
      <c r="Z537" s="2621"/>
      <c r="AA537" s="2621"/>
      <c r="AB537" s="2621"/>
      <c r="AC537" s="2621"/>
      <c r="AD537" s="2621"/>
      <c r="AE537" s="2621"/>
      <c r="AF537" s="2621"/>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2"/>
      <c r="G538" s="2622"/>
      <c r="H538" s="2622"/>
      <c r="I538" s="2622"/>
      <c r="J538" s="2622"/>
      <c r="K538" s="2622"/>
      <c r="L538" s="2622"/>
      <c r="M538" s="2622"/>
      <c r="N538" s="2622"/>
      <c r="O538" s="2622"/>
      <c r="P538" s="2622"/>
      <c r="Q538" s="2622"/>
      <c r="R538" s="2622"/>
      <c r="S538" s="2622"/>
      <c r="T538" s="2622"/>
      <c r="U538" s="2622"/>
      <c r="V538" s="2622"/>
      <c r="W538" s="2622"/>
      <c r="X538" s="2622"/>
      <c r="Y538" s="2622"/>
      <c r="Z538" s="2622"/>
      <c r="AA538" s="2622"/>
      <c r="AB538" s="2622"/>
      <c r="AC538" s="2622"/>
      <c r="AD538" s="2622"/>
      <c r="AE538" s="2622"/>
      <c r="AF538" s="2622"/>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8">
        <f>SUM(AG492:AG537)</f>
        <v>0</v>
      </c>
      <c r="AL548" s="2499"/>
      <c r="AM548" s="250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0" t="s">
        <v>1550</v>
      </c>
      <c r="AF551" s="2440"/>
      <c r="AG551" s="2440"/>
      <c r="AH551" s="2440"/>
      <c r="AI551" s="2440"/>
      <c r="AJ551" s="2440"/>
      <c r="AK551" s="244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5" t="s">
        <v>545</v>
      </c>
      <c r="D554" s="2495"/>
      <c r="E554" s="545"/>
      <c r="F554" s="2546" t="s">
        <v>1551</v>
      </c>
      <c r="G554" s="2547"/>
      <c r="H554" s="2547"/>
      <c r="I554" s="2547"/>
      <c r="J554" s="2547"/>
      <c r="K554" s="2547"/>
      <c r="L554" s="2547"/>
      <c r="M554" s="2547"/>
      <c r="N554" s="2547"/>
      <c r="O554" s="2547"/>
      <c r="P554" s="2547"/>
      <c r="Q554" s="2547"/>
      <c r="R554" s="2547"/>
      <c r="S554" s="2547"/>
      <c r="T554" s="2547"/>
      <c r="U554" s="2547"/>
      <c r="V554" s="2547"/>
      <c r="W554" s="2547"/>
      <c r="X554" s="2547"/>
      <c r="Y554" s="2547"/>
      <c r="Z554" s="2547"/>
      <c r="AA554" s="2547"/>
      <c r="AB554" s="2547"/>
      <c r="AC554" s="2547"/>
      <c r="AD554" s="2547"/>
      <c r="AE554" s="2547"/>
      <c r="AF554" s="2547"/>
      <c r="AG554" s="2547"/>
      <c r="AH554" s="2547"/>
      <c r="AI554" s="2547"/>
      <c r="AJ554" s="2547"/>
      <c r="AK554" s="2547"/>
      <c r="AL554" s="2548"/>
      <c r="AM554" s="588"/>
      <c r="AN554" s="590"/>
    </row>
    <row r="555" spans="1:81" s="544" customFormat="1" ht="12.75" customHeight="1">
      <c r="B555" s="535"/>
      <c r="C555" s="545"/>
      <c r="D555" s="545"/>
      <c r="E555" s="545"/>
      <c r="F555" s="2549"/>
      <c r="G555" s="2550"/>
      <c r="H555" s="2550"/>
      <c r="I555" s="2550"/>
      <c r="J555" s="2550"/>
      <c r="K555" s="2550"/>
      <c r="L555" s="2550"/>
      <c r="M555" s="2550"/>
      <c r="N555" s="2550"/>
      <c r="O555" s="2550"/>
      <c r="P555" s="2550"/>
      <c r="Q555" s="2550"/>
      <c r="R555" s="2550"/>
      <c r="S555" s="2550"/>
      <c r="T555" s="2550"/>
      <c r="U555" s="2550"/>
      <c r="V555" s="2550"/>
      <c r="W555" s="2550"/>
      <c r="X555" s="2550"/>
      <c r="Y555" s="2550"/>
      <c r="Z555" s="2550"/>
      <c r="AA555" s="2550"/>
      <c r="AB555" s="2550"/>
      <c r="AC555" s="2550"/>
      <c r="AD555" s="2550"/>
      <c r="AE555" s="2550"/>
      <c r="AF555" s="2550"/>
      <c r="AG555" s="2550"/>
      <c r="AH555" s="2550"/>
      <c r="AI555" s="2550"/>
      <c r="AJ555" s="2550"/>
      <c r="AK555" s="2550"/>
      <c r="AL555" s="255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5" t="s">
        <v>591</v>
      </c>
      <c r="D557" s="2495"/>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9" t="s">
        <v>2617</v>
      </c>
      <c r="G558" s="2490"/>
      <c r="H558" s="2490"/>
      <c r="I558" s="2490"/>
      <c r="J558" s="2490"/>
      <c r="K558" s="2490"/>
      <c r="L558" s="2490"/>
      <c r="M558" s="2490"/>
      <c r="N558" s="2490"/>
      <c r="O558" s="2490"/>
      <c r="P558" s="2490"/>
      <c r="Q558" s="2490"/>
      <c r="R558" s="2490"/>
      <c r="S558" s="2490"/>
      <c r="T558" s="2490"/>
      <c r="U558" s="2490"/>
      <c r="V558" s="2490"/>
      <c r="W558" s="2490"/>
      <c r="X558" s="2490"/>
      <c r="Y558" s="2490"/>
      <c r="Z558" s="2490"/>
      <c r="AA558" s="2490"/>
      <c r="AB558" s="2490"/>
      <c r="AC558" s="2490"/>
      <c r="AD558" s="2490"/>
      <c r="AE558" s="2490"/>
      <c r="AF558" s="2490"/>
      <c r="AG558" s="2490"/>
      <c r="AH558" s="2490"/>
      <c r="AI558" s="2490"/>
      <c r="AJ558" s="2490"/>
      <c r="AK558" s="2490"/>
      <c r="AL558" s="2491"/>
      <c r="AM558" s="588"/>
      <c r="AN558" s="590"/>
      <c r="AS558" s="861"/>
      <c r="AT558" s="861"/>
      <c r="AU558" s="861"/>
      <c r="AV558" s="861"/>
      <c r="AW558" s="861"/>
    </row>
    <row r="559" spans="1:81" s="544" customFormat="1" ht="12.75" customHeight="1">
      <c r="B559" s="797"/>
      <c r="C559" s="797"/>
      <c r="D559" s="797"/>
      <c r="E559" s="797"/>
      <c r="F559" s="2489"/>
      <c r="G559" s="2490"/>
      <c r="H559" s="2490"/>
      <c r="I559" s="2490"/>
      <c r="J559" s="2490"/>
      <c r="K559" s="2490"/>
      <c r="L559" s="2490"/>
      <c r="M559" s="2490"/>
      <c r="N559" s="2490"/>
      <c r="O559" s="2490"/>
      <c r="P559" s="2490"/>
      <c r="Q559" s="2490"/>
      <c r="R559" s="2490"/>
      <c r="S559" s="2490"/>
      <c r="T559" s="2490"/>
      <c r="U559" s="2490"/>
      <c r="V559" s="2490"/>
      <c r="W559" s="2490"/>
      <c r="X559" s="2490"/>
      <c r="Y559" s="2490"/>
      <c r="Z559" s="2490"/>
      <c r="AA559" s="2490"/>
      <c r="AB559" s="2490"/>
      <c r="AC559" s="2490"/>
      <c r="AD559" s="2490"/>
      <c r="AE559" s="2490"/>
      <c r="AF559" s="2490"/>
      <c r="AG559" s="2490"/>
      <c r="AH559" s="2490"/>
      <c r="AI559" s="2490"/>
      <c r="AJ559" s="2490"/>
      <c r="AK559" s="2490"/>
      <c r="AL559" s="2491"/>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9" t="s">
        <v>1553</v>
      </c>
      <c r="G561" s="2490"/>
      <c r="H561" s="2490"/>
      <c r="I561" s="2490"/>
      <c r="J561" s="2490"/>
      <c r="K561" s="2490"/>
      <c r="L561" s="2490"/>
      <c r="M561" s="2490"/>
      <c r="N561" s="2490"/>
      <c r="O561" s="2490"/>
      <c r="P561" s="2490"/>
      <c r="Q561" s="2490"/>
      <c r="R561" s="2490"/>
      <c r="S561" s="2490"/>
      <c r="T561" s="2490"/>
      <c r="U561" s="2490"/>
      <c r="V561" s="2490"/>
      <c r="W561" s="2490"/>
      <c r="X561" s="2490"/>
      <c r="Y561" s="2490"/>
      <c r="Z561" s="2490"/>
      <c r="AA561" s="2490"/>
      <c r="AB561" s="2490"/>
      <c r="AC561" s="2490"/>
      <c r="AD561" s="2490"/>
      <c r="AE561" s="2490"/>
      <c r="AF561" s="2490"/>
      <c r="AG561" s="2490"/>
      <c r="AH561" s="2490"/>
      <c r="AI561" s="2490"/>
      <c r="AJ561" s="2490"/>
      <c r="AK561" s="2490"/>
      <c r="AL561" s="804"/>
      <c r="AM561" s="588"/>
      <c r="AN561" s="590"/>
    </row>
    <row r="562" spans="1:45" s="544" customFormat="1" ht="12.75" customHeight="1">
      <c r="B562" s="797"/>
      <c r="C562" s="797"/>
      <c r="D562" s="797"/>
      <c r="E562" s="797"/>
      <c r="F562" s="2492"/>
      <c r="G562" s="2493"/>
      <c r="H562" s="2493"/>
      <c r="I562" s="2493"/>
      <c r="J562" s="2493"/>
      <c r="K562" s="2493"/>
      <c r="L562" s="2493"/>
      <c r="M562" s="2493"/>
      <c r="N562" s="2493"/>
      <c r="O562" s="2493"/>
      <c r="P562" s="2493"/>
      <c r="Q562" s="2493"/>
      <c r="R562" s="2493"/>
      <c r="S562" s="2493"/>
      <c r="T562" s="2493"/>
      <c r="U562" s="2493"/>
      <c r="V562" s="2493"/>
      <c r="W562" s="2493"/>
      <c r="X562" s="2493"/>
      <c r="Y562" s="2493"/>
      <c r="Z562" s="2493"/>
      <c r="AA562" s="2493"/>
      <c r="AB562" s="2493"/>
      <c r="AC562" s="2493"/>
      <c r="AD562" s="2493"/>
      <c r="AE562" s="2493"/>
      <c r="AF562" s="2493"/>
      <c r="AG562" s="2493"/>
      <c r="AH562" s="2493"/>
      <c r="AI562" s="2493"/>
      <c r="AJ562" s="2493"/>
      <c r="AK562" s="249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8">
        <f>Application!AJ1001</f>
        <v>85474732</v>
      </c>
      <c r="AQ563" s="2628"/>
      <c r="AR563" s="262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1">
        <f>'Sources and Uses Budget'!S107+'Sources and Uses Budget'!T107</f>
        <v>95758964</v>
      </c>
      <c r="AG564" s="2501"/>
      <c r="AH564" s="2501"/>
      <c r="AI564" s="2501"/>
      <c r="AJ564" s="2501"/>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2">
        <f>IFERROR(AP572,0)</f>
        <v>122550135.24000001</v>
      </c>
      <c r="AG565" s="2632"/>
      <c r="AH565" s="2632"/>
      <c r="AI565" s="2632"/>
      <c r="AJ565" s="2632"/>
      <c r="AK565" s="588"/>
      <c r="AL565" s="588"/>
      <c r="AM565" s="588"/>
      <c r="AN565" s="590"/>
      <c r="AP565" s="2628">
        <f>Application!AJ1054</f>
        <v>10256967.84</v>
      </c>
      <c r="AQ565" s="2628"/>
      <c r="AR565" s="262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3">
        <f>IFERROR(ROUNDDOWN(IF(C557="YES",((1-(AF564/AF565))*2),(1-(AF564/AF565))),2),0)</f>
        <v>0.21</v>
      </c>
      <c r="AG566" s="2633"/>
      <c r="AH566" s="2633"/>
      <c r="AI566" s="2633"/>
      <c r="AJ566" s="2633"/>
      <c r="AK566" s="588"/>
      <c r="AL566" s="588"/>
      <c r="AM566" s="588"/>
      <c r="AN566" s="590"/>
      <c r="AP566" s="2648">
        <f>Application!AJ1058</f>
        <v>17094946.400000002</v>
      </c>
      <c r="AQ566" s="2648"/>
      <c r="AR566" s="2648"/>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7">
        <f>IF(((AP565+AP566)/AP563)&gt;0.8,0.8,((AP565+AP566)/AP563))</f>
        <v>0.32</v>
      </c>
      <c r="AQ567" s="2627"/>
      <c r="AR567" s="2627"/>
      <c r="AS567" s="544" t="s">
        <v>2120</v>
      </c>
    </row>
    <row r="568" spans="1:45" s="544" customFormat="1" ht="12.75" customHeight="1">
      <c r="A568" s="617"/>
      <c r="B568" s="2574" t="s">
        <v>1987</v>
      </c>
      <c r="C568" s="2575"/>
      <c r="D568" s="2575"/>
      <c r="E568" s="2575"/>
      <c r="F568" s="2575"/>
      <c r="G568" s="2575"/>
      <c r="H568" s="2575"/>
      <c r="I568" s="2575"/>
      <c r="J568" s="2575"/>
      <c r="K568" s="2575"/>
      <c r="L568" s="2575"/>
      <c r="M568" s="2575"/>
      <c r="N568" s="2575"/>
      <c r="O568" s="2575"/>
      <c r="P568" s="2575"/>
      <c r="Q568" s="2575"/>
      <c r="R568" s="2575"/>
      <c r="S568" s="2575"/>
      <c r="T568" s="2575"/>
      <c r="U568" s="2575"/>
      <c r="V568" s="2575"/>
      <c r="W568" s="2575"/>
      <c r="X568" s="2575"/>
      <c r="Y568" s="2575"/>
      <c r="Z568" s="2575"/>
      <c r="AA568" s="2575"/>
      <c r="AB568" s="2575"/>
      <c r="AC568" s="2575"/>
      <c r="AD568" s="2575"/>
      <c r="AE568" s="2575"/>
      <c r="AF568" s="2575"/>
      <c r="AG568" s="2575"/>
      <c r="AH568" s="2575"/>
      <c r="AI568" s="2575"/>
      <c r="AJ568" s="2576"/>
      <c r="AK568" s="588"/>
      <c r="AL568" s="588"/>
      <c r="AM568" s="588"/>
      <c r="AN568" s="590"/>
    </row>
    <row r="569" spans="1:45" s="544" customFormat="1" ht="12.75" customHeight="1">
      <c r="A569" s="617"/>
      <c r="B569" s="2577"/>
      <c r="C569" s="2578"/>
      <c r="D569" s="2578"/>
      <c r="E569" s="2578"/>
      <c r="F569" s="2578"/>
      <c r="G569" s="2578"/>
      <c r="H569" s="2578"/>
      <c r="I569" s="2578"/>
      <c r="J569" s="2578"/>
      <c r="K569" s="2578"/>
      <c r="L569" s="2578"/>
      <c r="M569" s="2578"/>
      <c r="N569" s="2578"/>
      <c r="O569" s="2578"/>
      <c r="P569" s="2578"/>
      <c r="Q569" s="2578"/>
      <c r="R569" s="2578"/>
      <c r="S569" s="2578"/>
      <c r="T569" s="2578"/>
      <c r="U569" s="2578"/>
      <c r="V569" s="2578"/>
      <c r="W569" s="2578"/>
      <c r="X569" s="2578"/>
      <c r="Y569" s="2578"/>
      <c r="Z569" s="2578"/>
      <c r="AA569" s="2578"/>
      <c r="AB569" s="2578"/>
      <c r="AC569" s="2578"/>
      <c r="AD569" s="2578"/>
      <c r="AE569" s="2578"/>
      <c r="AF569" s="2578"/>
      <c r="AG569" s="2578"/>
      <c r="AH569" s="2578"/>
      <c r="AI569" s="2578"/>
      <c r="AJ569" s="2579"/>
      <c r="AK569" s="588"/>
      <c r="AL569" s="588"/>
      <c r="AM569" s="588"/>
      <c r="AN569" s="590"/>
      <c r="AP569" s="2628">
        <f>AP570-AP565-AP566</f>
        <v>95198221</v>
      </c>
      <c r="AQ569" s="2559"/>
      <c r="AR569" s="2559"/>
      <c r="AS569" s="544" t="s">
        <v>2122</v>
      </c>
    </row>
    <row r="570" spans="1:45" s="544" customFormat="1" ht="12.75" customHeight="1">
      <c r="A570" s="617"/>
      <c r="B570" s="2580"/>
      <c r="C570" s="2581"/>
      <c r="D570" s="2581"/>
      <c r="E570" s="2581"/>
      <c r="F570" s="2581"/>
      <c r="G570" s="2581"/>
      <c r="H570" s="2581"/>
      <c r="I570" s="2581"/>
      <c r="J570" s="2581"/>
      <c r="K570" s="2581"/>
      <c r="L570" s="2581"/>
      <c r="M570" s="2581"/>
      <c r="N570" s="2581"/>
      <c r="O570" s="2581"/>
      <c r="P570" s="2581"/>
      <c r="Q570" s="2581"/>
      <c r="R570" s="2581"/>
      <c r="S570" s="2581"/>
      <c r="T570" s="2581"/>
      <c r="U570" s="2581"/>
      <c r="V570" s="2581"/>
      <c r="W570" s="2581"/>
      <c r="X570" s="2581"/>
      <c r="Y570" s="2581"/>
      <c r="Z570" s="2581"/>
      <c r="AA570" s="2581"/>
      <c r="AB570" s="2581"/>
      <c r="AC570" s="2581"/>
      <c r="AD570" s="2581"/>
      <c r="AE570" s="2581"/>
      <c r="AF570" s="2581"/>
      <c r="AG570" s="2581"/>
      <c r="AH570" s="2581"/>
      <c r="AI570" s="2581"/>
      <c r="AJ570" s="2582"/>
      <c r="AK570" s="588"/>
      <c r="AL570" s="588"/>
      <c r="AM570" s="588"/>
      <c r="AN570" s="590"/>
      <c r="AP570" s="2628">
        <f>Application!AJ1062</f>
        <v>122550135.24000001</v>
      </c>
      <c r="AQ570" s="2628"/>
      <c r="AR570" s="262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3">
        <f>IFERROR(IF(AND(C554="N/A",C557="N/A"),0,IF(AF566=0,0,IF((AF566*100)&gt;12,12,(AF566*100)))),0)</f>
        <v>12</v>
      </c>
      <c r="AL572" s="2583"/>
      <c r="AM572" s="2584"/>
      <c r="AN572" s="590"/>
      <c r="AP572" s="2641">
        <f>AP569+(AP563*AP567)</f>
        <v>122550135.24000001</v>
      </c>
      <c r="AQ572" s="2642"/>
      <c r="AR572" s="26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0" t="s">
        <v>1307</v>
      </c>
      <c r="AF575" s="2440"/>
      <c r="AG575" s="2440"/>
      <c r="AH575" s="2440"/>
      <c r="AI575" s="2440"/>
      <c r="AJ575" s="2440"/>
      <c r="AK575" s="244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0" t="s">
        <v>1979</v>
      </c>
      <c r="C577" s="2490"/>
      <c r="D577" s="2490"/>
      <c r="E577" s="2490"/>
      <c r="F577" s="2490"/>
      <c r="G577" s="2490"/>
      <c r="H577" s="2490"/>
      <c r="I577" s="2490"/>
      <c r="J577" s="2490"/>
      <c r="K577" s="2490"/>
      <c r="L577" s="2490"/>
      <c r="M577" s="2490"/>
      <c r="N577" s="2490"/>
      <c r="O577" s="2490"/>
      <c r="P577" s="2490"/>
      <c r="Q577" s="2490"/>
      <c r="R577" s="2490"/>
      <c r="S577" s="2490"/>
      <c r="T577" s="2490"/>
      <c r="U577" s="2490"/>
      <c r="V577" s="2490"/>
      <c r="W577" s="2490"/>
      <c r="X577" s="2490"/>
      <c r="Y577" s="2490"/>
      <c r="Z577" s="2490"/>
      <c r="AA577" s="2490"/>
      <c r="AB577" s="2490"/>
      <c r="AC577" s="2490"/>
      <c r="AD577" s="2490"/>
      <c r="AE577" s="2490"/>
      <c r="AF577" s="2490"/>
      <c r="AG577" s="2490"/>
      <c r="AH577" s="2490"/>
      <c r="AI577" s="2490"/>
      <c r="AJ577" s="2490"/>
      <c r="AK577" s="635"/>
      <c r="AL577" s="566"/>
      <c r="AM577" s="596"/>
      <c r="AN577" s="590"/>
    </row>
    <row r="578" spans="1:42" s="544" customFormat="1" ht="12.75" customHeight="1">
      <c r="A578" s="596"/>
      <c r="B578" s="2490"/>
      <c r="C578" s="2490"/>
      <c r="D578" s="2490"/>
      <c r="E578" s="2490"/>
      <c r="F578" s="2490"/>
      <c r="G578" s="2490"/>
      <c r="H578" s="2490"/>
      <c r="I578" s="2490"/>
      <c r="J578" s="2490"/>
      <c r="K578" s="2490"/>
      <c r="L578" s="2490"/>
      <c r="M578" s="2490"/>
      <c r="N578" s="2490"/>
      <c r="O578" s="2490"/>
      <c r="P578" s="2490"/>
      <c r="Q578" s="2490"/>
      <c r="R578" s="2490"/>
      <c r="S578" s="2490"/>
      <c r="T578" s="2490"/>
      <c r="U578" s="2490"/>
      <c r="V578" s="2490"/>
      <c r="W578" s="2490"/>
      <c r="X578" s="2490"/>
      <c r="Y578" s="2490"/>
      <c r="Z578" s="2490"/>
      <c r="AA578" s="2490"/>
      <c r="AB578" s="2490"/>
      <c r="AC578" s="2490"/>
      <c r="AD578" s="2490"/>
      <c r="AE578" s="2490"/>
      <c r="AF578" s="2490"/>
      <c r="AG578" s="2490"/>
      <c r="AH578" s="2490"/>
      <c r="AI578" s="2490"/>
      <c r="AJ578" s="2490"/>
      <c r="AK578" s="635"/>
      <c r="AL578" s="566"/>
      <c r="AM578" s="596"/>
      <c r="AN578" s="590"/>
    </row>
    <row r="579" spans="1:42" s="544" customFormat="1" ht="12.75" customHeight="1">
      <c r="A579" s="596"/>
      <c r="B579" s="2490"/>
      <c r="C579" s="2490"/>
      <c r="D579" s="2490"/>
      <c r="E579" s="2490"/>
      <c r="F579" s="2490"/>
      <c r="G579" s="2490"/>
      <c r="H579" s="2490"/>
      <c r="I579" s="2490"/>
      <c r="J579" s="2490"/>
      <c r="K579" s="2490"/>
      <c r="L579" s="2490"/>
      <c r="M579" s="2490"/>
      <c r="N579" s="2490"/>
      <c r="O579" s="2490"/>
      <c r="P579" s="2490"/>
      <c r="Q579" s="2490"/>
      <c r="R579" s="2490"/>
      <c r="S579" s="2490"/>
      <c r="T579" s="2490"/>
      <c r="U579" s="2490"/>
      <c r="V579" s="2490"/>
      <c r="W579" s="2490"/>
      <c r="X579" s="2490"/>
      <c r="Y579" s="2490"/>
      <c r="Z579" s="2490"/>
      <c r="AA579" s="2490"/>
      <c r="AB579" s="2490"/>
      <c r="AC579" s="2490"/>
      <c r="AD579" s="2490"/>
      <c r="AE579" s="2490"/>
      <c r="AF579" s="2490"/>
      <c r="AG579" s="2490"/>
      <c r="AH579" s="2490"/>
      <c r="AI579" s="2490"/>
      <c r="AJ579" s="2490"/>
      <c r="AK579" s="635"/>
      <c r="AL579" s="566"/>
      <c r="AM579" s="596"/>
      <c r="AN579" s="590"/>
    </row>
    <row r="580" spans="1:42" s="544" customFormat="1" ht="12.75" customHeight="1">
      <c r="A580" s="596"/>
      <c r="B580" s="2490"/>
      <c r="C580" s="2490"/>
      <c r="D580" s="2490"/>
      <c r="E580" s="2490"/>
      <c r="F580" s="2490"/>
      <c r="G580" s="2490"/>
      <c r="H580" s="2490"/>
      <c r="I580" s="2490"/>
      <c r="J580" s="2490"/>
      <c r="K580" s="2490"/>
      <c r="L580" s="2490"/>
      <c r="M580" s="2490"/>
      <c r="N580" s="2490"/>
      <c r="O580" s="2490"/>
      <c r="P580" s="2490"/>
      <c r="Q580" s="2490"/>
      <c r="R580" s="2490"/>
      <c r="S580" s="2490"/>
      <c r="T580" s="2490"/>
      <c r="U580" s="2490"/>
      <c r="V580" s="2490"/>
      <c r="W580" s="2490"/>
      <c r="X580" s="2490"/>
      <c r="Y580" s="2490"/>
      <c r="Z580" s="2490"/>
      <c r="AA580" s="2490"/>
      <c r="AB580" s="2490"/>
      <c r="AC580" s="2490"/>
      <c r="AD580" s="2490"/>
      <c r="AE580" s="2490"/>
      <c r="AF580" s="2490"/>
      <c r="AG580" s="2490"/>
      <c r="AH580" s="2490"/>
      <c r="AI580" s="2490"/>
      <c r="AJ580" s="2490"/>
      <c r="AK580" s="635"/>
      <c r="AL580" s="566"/>
      <c r="AM580" s="596"/>
      <c r="AN580" s="590"/>
    </row>
    <row r="581" spans="1:42" s="544" customFormat="1" ht="12.75" customHeight="1">
      <c r="A581" s="596"/>
      <c r="B581" s="2490"/>
      <c r="C581" s="2490"/>
      <c r="D581" s="2490"/>
      <c r="E581" s="2490"/>
      <c r="F581" s="2490"/>
      <c r="G581" s="2490"/>
      <c r="H581" s="2490"/>
      <c r="I581" s="2490"/>
      <c r="J581" s="2490"/>
      <c r="K581" s="2490"/>
      <c r="L581" s="2490"/>
      <c r="M581" s="2490"/>
      <c r="N581" s="2490"/>
      <c r="O581" s="2490"/>
      <c r="P581" s="2490"/>
      <c r="Q581" s="2490"/>
      <c r="R581" s="2490"/>
      <c r="S581" s="2490"/>
      <c r="T581" s="2490"/>
      <c r="U581" s="2490"/>
      <c r="V581" s="2490"/>
      <c r="W581" s="2490"/>
      <c r="X581" s="2490"/>
      <c r="Y581" s="2490"/>
      <c r="Z581" s="2490"/>
      <c r="AA581" s="2490"/>
      <c r="AB581" s="2490"/>
      <c r="AC581" s="2490"/>
      <c r="AD581" s="2490"/>
      <c r="AE581" s="2490"/>
      <c r="AF581" s="2490"/>
      <c r="AG581" s="2490"/>
      <c r="AH581" s="2490"/>
      <c r="AI581" s="2490"/>
      <c r="AJ581" s="2490"/>
      <c r="AK581" s="635"/>
      <c r="AL581" s="566"/>
      <c r="AM581" s="596"/>
      <c r="AN581" s="590"/>
    </row>
    <row r="582" spans="1:42" s="544" customFormat="1" ht="12.75" customHeight="1">
      <c r="A582" s="596"/>
      <c r="B582" s="2490"/>
      <c r="C582" s="2490"/>
      <c r="D582" s="2490"/>
      <c r="E582" s="2490"/>
      <c r="F582" s="2490"/>
      <c r="G582" s="2490"/>
      <c r="H582" s="2490"/>
      <c r="I582" s="2490"/>
      <c r="J582" s="2490"/>
      <c r="K582" s="2490"/>
      <c r="L582" s="2490"/>
      <c r="M582" s="2490"/>
      <c r="N582" s="2490"/>
      <c r="O582" s="2490"/>
      <c r="P582" s="2490"/>
      <c r="Q582" s="2490"/>
      <c r="R582" s="2490"/>
      <c r="S582" s="2490"/>
      <c r="T582" s="2490"/>
      <c r="U582" s="2490"/>
      <c r="V582" s="2490"/>
      <c r="W582" s="2490"/>
      <c r="X582" s="2490"/>
      <c r="Y582" s="2490"/>
      <c r="Z582" s="2490"/>
      <c r="AA582" s="2490"/>
      <c r="AB582" s="2490"/>
      <c r="AC582" s="2490"/>
      <c r="AD582" s="2490"/>
      <c r="AE582" s="2490"/>
      <c r="AF582" s="2490"/>
      <c r="AG582" s="2490"/>
      <c r="AH582" s="2490"/>
      <c r="AI582" s="2490"/>
      <c r="AJ582" s="2490"/>
      <c r="AK582" s="635"/>
      <c r="AL582" s="566"/>
      <c r="AM582" s="596"/>
      <c r="AN582" s="590"/>
    </row>
    <row r="583" spans="1:42" s="544" customFormat="1" ht="12.75" customHeight="1">
      <c r="A583" s="596"/>
      <c r="B583" s="2490"/>
      <c r="C583" s="2490"/>
      <c r="D583" s="2490"/>
      <c r="E583" s="2490"/>
      <c r="F583" s="2490"/>
      <c r="G583" s="2490"/>
      <c r="H583" s="2490"/>
      <c r="I583" s="2490"/>
      <c r="J583" s="2490"/>
      <c r="K583" s="2490"/>
      <c r="L583" s="2490"/>
      <c r="M583" s="2490"/>
      <c r="N583" s="2490"/>
      <c r="O583" s="2490"/>
      <c r="P583" s="2490"/>
      <c r="Q583" s="2490"/>
      <c r="R583" s="2490"/>
      <c r="S583" s="2490"/>
      <c r="T583" s="2490"/>
      <c r="U583" s="2490"/>
      <c r="V583" s="2490"/>
      <c r="W583" s="2490"/>
      <c r="X583" s="2490"/>
      <c r="Y583" s="2490"/>
      <c r="Z583" s="2490"/>
      <c r="AA583" s="2490"/>
      <c r="AB583" s="2490"/>
      <c r="AC583" s="2490"/>
      <c r="AD583" s="2490"/>
      <c r="AE583" s="2490"/>
      <c r="AF583" s="2490"/>
      <c r="AG583" s="2490"/>
      <c r="AH583" s="2490"/>
      <c r="AI583" s="2490"/>
      <c r="AJ583" s="2490"/>
      <c r="AK583" s="635"/>
      <c r="AL583" s="566"/>
      <c r="AM583" s="596"/>
      <c r="AN583" s="590"/>
    </row>
    <row r="584" spans="1:42" ht="12.75" customHeight="1">
      <c r="A584" s="596"/>
      <c r="B584" s="2490"/>
      <c r="C584" s="2490"/>
      <c r="D584" s="2490"/>
      <c r="E584" s="2490"/>
      <c r="F584" s="2490"/>
      <c r="G584" s="2490"/>
      <c r="H584" s="2490"/>
      <c r="I584" s="2490"/>
      <c r="J584" s="2490"/>
      <c r="K584" s="2490"/>
      <c r="L584" s="2490"/>
      <c r="M584" s="2490"/>
      <c r="N584" s="2490"/>
      <c r="O584" s="2490"/>
      <c r="P584" s="2490"/>
      <c r="Q584" s="2490"/>
      <c r="R584" s="2490"/>
      <c r="S584" s="2490"/>
      <c r="T584" s="2490"/>
      <c r="U584" s="2490"/>
      <c r="V584" s="2490"/>
      <c r="W584" s="2490"/>
      <c r="X584" s="2490"/>
      <c r="Y584" s="2490"/>
      <c r="Z584" s="2490"/>
      <c r="AA584" s="2490"/>
      <c r="AB584" s="2490"/>
      <c r="AC584" s="2490"/>
      <c r="AD584" s="2490"/>
      <c r="AE584" s="2490"/>
      <c r="AF584" s="2490"/>
      <c r="AG584" s="2490"/>
      <c r="AH584" s="2490"/>
      <c r="AI584" s="2490"/>
      <c r="AJ584" s="2490"/>
      <c r="AK584" s="635"/>
      <c r="AL584" s="566"/>
      <c r="AM584" s="596"/>
    </row>
    <row r="585" spans="1:42" s="544" customFormat="1" ht="12.75" customHeight="1">
      <c r="B585" s="2490"/>
      <c r="C585" s="2490"/>
      <c r="D585" s="2490"/>
      <c r="E585" s="2490"/>
      <c r="F585" s="2490"/>
      <c r="G585" s="2490"/>
      <c r="H585" s="2490"/>
      <c r="I585" s="2490"/>
      <c r="J585" s="2490"/>
      <c r="K585" s="2490"/>
      <c r="L585" s="2490"/>
      <c r="M585" s="2490"/>
      <c r="N585" s="2490"/>
      <c r="O585" s="2490"/>
      <c r="P585" s="2490"/>
      <c r="Q585" s="2490"/>
      <c r="R585" s="2490"/>
      <c r="S585" s="2490"/>
      <c r="T585" s="2490"/>
      <c r="U585" s="2490"/>
      <c r="V585" s="2490"/>
      <c r="W585" s="2490"/>
      <c r="X585" s="2490"/>
      <c r="Y585" s="2490"/>
      <c r="Z585" s="2490"/>
      <c r="AA585" s="2490"/>
      <c r="AB585" s="2490"/>
      <c r="AC585" s="2490"/>
      <c r="AD585" s="2490"/>
      <c r="AE585" s="2490"/>
      <c r="AF585" s="2490"/>
      <c r="AG585" s="2490"/>
      <c r="AH585" s="2490"/>
      <c r="AI585" s="2490"/>
      <c r="AJ585" s="249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3" t="s">
        <v>1331</v>
      </c>
      <c r="AG591" s="2473"/>
      <c r="AH591" s="2473"/>
      <c r="AI591" s="2473"/>
      <c r="AJ591" s="2473"/>
      <c r="AK591" s="2473"/>
      <c r="AL591" s="2473"/>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3" t="s">
        <v>1387</v>
      </c>
      <c r="AG598" s="2473"/>
      <c r="AH598" s="2473"/>
      <c r="AI598" s="2473"/>
      <c r="AJ598" s="2473"/>
      <c r="AK598" s="2473"/>
      <c r="AL598" s="2473"/>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3" t="s">
        <v>1370</v>
      </c>
      <c r="AG604" s="2473"/>
      <c r="AH604" s="2473"/>
      <c r="AI604" s="2473"/>
      <c r="AJ604" s="2473"/>
      <c r="AK604" s="2473"/>
      <c r="AL604" s="2473"/>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3" t="s">
        <v>1390</v>
      </c>
      <c r="AG610" s="2473"/>
      <c r="AH610" s="2473"/>
      <c r="AI610" s="2473"/>
      <c r="AJ610" s="2473"/>
      <c r="AK610" s="2473"/>
      <c r="AL610" s="2473"/>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5" t="s">
        <v>1183</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3" t="s">
        <v>1345</v>
      </c>
      <c r="AG616" s="2473"/>
      <c r="AH616" s="2473"/>
      <c r="AI616" s="2473"/>
      <c r="AJ616" s="2473"/>
      <c r="AK616" s="2473"/>
      <c r="AL616" s="2473"/>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3" t="s">
        <v>687</v>
      </c>
      <c r="I619" s="2553"/>
      <c r="J619" s="927"/>
      <c r="K619" s="927"/>
      <c r="L619" s="927"/>
      <c r="N619" s="22"/>
      <c r="O619" s="22"/>
      <c r="P619" s="22"/>
      <c r="Q619" s="1140" t="s">
        <v>2125</v>
      </c>
      <c r="R619" s="2556"/>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4" t="s">
        <v>591</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5" t="s">
        <v>591</v>
      </c>
      <c r="C629" s="2485"/>
      <c r="D629" s="635"/>
      <c r="E629" s="2490" t="s">
        <v>1394</v>
      </c>
      <c r="F629" s="2490"/>
      <c r="G629" s="2490"/>
      <c r="H629" s="2490"/>
      <c r="I629" s="2490"/>
      <c r="J629" s="2490"/>
      <c r="K629" s="2490"/>
      <c r="L629" s="2490"/>
      <c r="M629" s="2490"/>
      <c r="N629" s="2490"/>
      <c r="O629" s="2490"/>
      <c r="P629" s="2490"/>
      <c r="Q629" s="2490"/>
      <c r="R629" s="2490"/>
      <c r="S629" s="2490"/>
      <c r="T629" s="2490"/>
      <c r="U629" s="2490"/>
      <c r="V629" s="2490"/>
      <c r="W629" s="2490"/>
      <c r="X629" s="2490"/>
      <c r="Y629" s="2490"/>
      <c r="Z629" s="2490"/>
      <c r="AA629" s="2490"/>
      <c r="AB629" s="2490"/>
      <c r="AC629" s="2490"/>
      <c r="AD629" s="2490"/>
      <c r="AE629" s="2490"/>
      <c r="AF629" s="2490"/>
      <c r="AG629" s="2490"/>
      <c r="AH629" s="635"/>
      <c r="AI629" s="635"/>
      <c r="AJ629" s="635"/>
      <c r="AK629" s="635"/>
      <c r="AL629" s="635"/>
      <c r="AN629" s="590"/>
    </row>
    <row r="630" spans="1:42" s="544" customFormat="1" ht="12.75" customHeight="1">
      <c r="B630" s="532"/>
      <c r="C630" s="924"/>
      <c r="D630" s="635"/>
      <c r="E630" s="2490"/>
      <c r="F630" s="2490"/>
      <c r="G630" s="2490"/>
      <c r="H630" s="2490"/>
      <c r="I630" s="2490"/>
      <c r="J630" s="2490"/>
      <c r="K630" s="2490"/>
      <c r="L630" s="2490"/>
      <c r="M630" s="2490"/>
      <c r="N630" s="2490"/>
      <c r="O630" s="2490"/>
      <c r="P630" s="2490"/>
      <c r="Q630" s="2490"/>
      <c r="R630" s="2490"/>
      <c r="S630" s="2490"/>
      <c r="T630" s="2490"/>
      <c r="U630" s="2490"/>
      <c r="V630" s="2490"/>
      <c r="W630" s="2490"/>
      <c r="X630" s="2490"/>
      <c r="Y630" s="2490"/>
      <c r="Z630" s="2490"/>
      <c r="AA630" s="2490"/>
      <c r="AB630" s="2490"/>
      <c r="AC630" s="2490"/>
      <c r="AD630" s="2490"/>
      <c r="AE630" s="2490"/>
      <c r="AF630" s="2490"/>
      <c r="AG630" s="2490"/>
      <c r="AH630" s="635"/>
      <c r="AI630" s="635"/>
      <c r="AJ630" s="635"/>
      <c r="AK630" s="635"/>
      <c r="AL630" s="635"/>
      <c r="AN630" s="590"/>
    </row>
    <row r="631" spans="1:42" s="544" customFormat="1" ht="12.75" customHeight="1">
      <c r="B631" s="532"/>
      <c r="C631" s="924"/>
      <c r="D631" s="635"/>
      <c r="E631" s="2490"/>
      <c r="F631" s="2490"/>
      <c r="G631" s="2490"/>
      <c r="H631" s="2490"/>
      <c r="I631" s="2490"/>
      <c r="J631" s="2490"/>
      <c r="K631" s="2490"/>
      <c r="L631" s="2490"/>
      <c r="M631" s="2490"/>
      <c r="N631" s="2490"/>
      <c r="O631" s="2490"/>
      <c r="P631" s="2490"/>
      <c r="Q631" s="2490"/>
      <c r="R631" s="2490"/>
      <c r="S631" s="2490"/>
      <c r="T631" s="2490"/>
      <c r="U631" s="2490"/>
      <c r="V631" s="2490"/>
      <c r="W631" s="2490"/>
      <c r="X631" s="2490"/>
      <c r="Y631" s="2490"/>
      <c r="Z631" s="2490"/>
      <c r="AA631" s="2490"/>
      <c r="AB631" s="2490"/>
      <c r="AC631" s="2490"/>
      <c r="AD631" s="2490"/>
      <c r="AE631" s="2490"/>
      <c r="AF631" s="2490"/>
      <c r="AG631" s="2490"/>
      <c r="AH631" s="635"/>
      <c r="AI631" s="635"/>
      <c r="AJ631" s="635"/>
      <c r="AK631" s="635"/>
      <c r="AL631" s="635"/>
      <c r="AN631" s="590"/>
    </row>
    <row r="632" spans="1:42" s="544" customFormat="1" ht="12.75" customHeight="1">
      <c r="B632" s="532"/>
      <c r="C632" s="924"/>
      <c r="D632" s="635"/>
      <c r="E632" s="2490"/>
      <c r="F632" s="2490"/>
      <c r="G632" s="2490"/>
      <c r="H632" s="2490"/>
      <c r="I632" s="2490"/>
      <c r="J632" s="2490"/>
      <c r="K632" s="2490"/>
      <c r="L632" s="2490"/>
      <c r="M632" s="2490"/>
      <c r="N632" s="2490"/>
      <c r="O632" s="2490"/>
      <c r="P632" s="2490"/>
      <c r="Q632" s="2490"/>
      <c r="R632" s="2490"/>
      <c r="S632" s="2490"/>
      <c r="T632" s="2490"/>
      <c r="U632" s="2490"/>
      <c r="V632" s="2490"/>
      <c r="W632" s="2490"/>
      <c r="X632" s="2490"/>
      <c r="Y632" s="2490"/>
      <c r="Z632" s="2490"/>
      <c r="AA632" s="2490"/>
      <c r="AB632" s="2490"/>
      <c r="AC632" s="2490"/>
      <c r="AD632" s="2490"/>
      <c r="AE632" s="2490"/>
      <c r="AF632" s="2490"/>
      <c r="AG632" s="249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8">
        <f>VLOOKUP($H$619,$AO$599:$AP$604,2,FALSE)+IF(R619=AO607,0,VLOOKUP($I$627,$AO$626:$AP$628,2,FALSE))</f>
        <v>7</v>
      </c>
      <c r="AK634" s="250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2" t="s">
        <v>1682</v>
      </c>
      <c r="F638" s="2552"/>
      <c r="G638" s="2552"/>
      <c r="H638" s="2552"/>
      <c r="I638" s="2552"/>
      <c r="J638" s="2552"/>
      <c r="K638" s="2552"/>
      <c r="L638" s="2552"/>
      <c r="M638" s="2552"/>
      <c r="N638" s="2552"/>
      <c r="O638" s="2552"/>
      <c r="P638" s="2552"/>
      <c r="Q638" s="2552"/>
      <c r="R638" s="2552"/>
      <c r="S638" s="2552"/>
      <c r="T638" s="2552"/>
      <c r="U638" s="2552"/>
      <c r="V638" s="2552"/>
      <c r="W638" s="2552"/>
      <c r="X638" s="2552"/>
      <c r="Y638" s="2552"/>
      <c r="Z638" s="2552"/>
      <c r="AA638" s="2552"/>
      <c r="AB638" s="2552"/>
      <c r="AC638" s="2552"/>
      <c r="AD638" s="2552"/>
      <c r="AE638" s="535"/>
      <c r="AF638" s="2473" t="s">
        <v>1345</v>
      </c>
      <c r="AG638" s="2473"/>
      <c r="AH638" s="2473"/>
      <c r="AI638" s="2473"/>
      <c r="AJ638" s="2473"/>
      <c r="AK638" s="2473"/>
      <c r="AL638" s="2473"/>
      <c r="AM638" s="544"/>
      <c r="AN638" s="669"/>
    </row>
    <row r="639" spans="1:42" s="544" customFormat="1" ht="12.75" customHeight="1">
      <c r="A639" s="670"/>
      <c r="B639" s="532"/>
      <c r="C639" s="924"/>
      <c r="D639" s="654"/>
      <c r="E639" s="2552"/>
      <c r="F639" s="2552"/>
      <c r="G639" s="2552"/>
      <c r="H639" s="2552"/>
      <c r="I639" s="2552"/>
      <c r="J639" s="2552"/>
      <c r="K639" s="2552"/>
      <c r="L639" s="2552"/>
      <c r="M639" s="2552"/>
      <c r="N639" s="2552"/>
      <c r="O639" s="2552"/>
      <c r="P639" s="2552"/>
      <c r="Q639" s="2552"/>
      <c r="R639" s="2552"/>
      <c r="S639" s="2552"/>
      <c r="T639" s="2552"/>
      <c r="U639" s="2552"/>
      <c r="V639" s="2552"/>
      <c r="W639" s="2552"/>
      <c r="X639" s="2552"/>
      <c r="Y639" s="2552"/>
      <c r="Z639" s="2552"/>
      <c r="AA639" s="2552"/>
      <c r="AB639" s="2552"/>
      <c r="AC639" s="2552"/>
      <c r="AD639" s="2552"/>
      <c r="AE639" s="532"/>
      <c r="AF639" s="532"/>
      <c r="AG639" s="532"/>
      <c r="AH639" s="532"/>
      <c r="AI639" s="532"/>
      <c r="AJ639" s="532"/>
      <c r="AK639" s="532"/>
      <c r="AL639" s="532"/>
      <c r="AN639" s="590"/>
    </row>
    <row r="640" spans="1:42" s="544" customFormat="1" ht="12.75" customHeight="1">
      <c r="B640" s="532"/>
      <c r="C640" s="922"/>
      <c r="D640" s="654"/>
      <c r="E640" s="2552"/>
      <c r="F640" s="2552"/>
      <c r="G640" s="2552"/>
      <c r="H640" s="2552"/>
      <c r="I640" s="2552"/>
      <c r="J640" s="2552"/>
      <c r="K640" s="2552"/>
      <c r="L640" s="2552"/>
      <c r="M640" s="2552"/>
      <c r="N640" s="2552"/>
      <c r="O640" s="2552"/>
      <c r="P640" s="2552"/>
      <c r="Q640" s="2552"/>
      <c r="R640" s="2552"/>
      <c r="S640" s="2552"/>
      <c r="T640" s="2552"/>
      <c r="U640" s="2552"/>
      <c r="V640" s="2552"/>
      <c r="W640" s="2552"/>
      <c r="X640" s="2552"/>
      <c r="Y640" s="2552"/>
      <c r="Z640" s="2552"/>
      <c r="AA640" s="2552"/>
      <c r="AB640" s="2552"/>
      <c r="AC640" s="2552"/>
      <c r="AD640" s="2552"/>
      <c r="AE640" s="532"/>
      <c r="AF640" s="532"/>
      <c r="AG640" s="532"/>
      <c r="AH640" s="532"/>
      <c r="AI640" s="532"/>
      <c r="AJ640" s="532"/>
      <c r="AK640" s="532"/>
      <c r="AL640" s="532"/>
      <c r="AN640" s="590"/>
    </row>
    <row r="641" spans="1:42" s="544" customFormat="1" ht="12.75" customHeight="1">
      <c r="B641" s="532"/>
      <c r="C641" s="922"/>
      <c r="D641" s="654"/>
      <c r="E641" s="2552"/>
      <c r="F641" s="2552"/>
      <c r="G641" s="2552"/>
      <c r="H641" s="2552"/>
      <c r="I641" s="2552"/>
      <c r="J641" s="2552"/>
      <c r="K641" s="2552"/>
      <c r="L641" s="2552"/>
      <c r="M641" s="2552"/>
      <c r="N641" s="2552"/>
      <c r="O641" s="2552"/>
      <c r="P641" s="2552"/>
      <c r="Q641" s="2552"/>
      <c r="R641" s="2552"/>
      <c r="S641" s="2552"/>
      <c r="T641" s="2552"/>
      <c r="U641" s="2552"/>
      <c r="V641" s="2552"/>
      <c r="W641" s="2552"/>
      <c r="X641" s="2552"/>
      <c r="Y641" s="2552"/>
      <c r="Z641" s="2552"/>
      <c r="AA641" s="2552"/>
      <c r="AB641" s="2552"/>
      <c r="AC641" s="2552"/>
      <c r="AD641" s="2552"/>
      <c r="AE641" s="532"/>
      <c r="AF641" s="532"/>
      <c r="AG641" s="532"/>
      <c r="AH641" s="532"/>
      <c r="AI641" s="532"/>
      <c r="AJ641" s="532"/>
      <c r="AK641" s="532"/>
      <c r="AL641" s="532"/>
      <c r="AN641" s="590"/>
    </row>
    <row r="642" spans="1:42" s="544" customFormat="1" ht="12.75" customHeight="1">
      <c r="B642" s="532"/>
      <c r="C642" s="922"/>
      <c r="D642" s="654"/>
      <c r="E642" s="2552"/>
      <c r="F642" s="2552"/>
      <c r="G642" s="2552"/>
      <c r="H642" s="2552"/>
      <c r="I642" s="2552"/>
      <c r="J642" s="2552"/>
      <c r="K642" s="2552"/>
      <c r="L642" s="2552"/>
      <c r="M642" s="2552"/>
      <c r="N642" s="2552"/>
      <c r="O642" s="2552"/>
      <c r="P642" s="2552"/>
      <c r="Q642" s="2552"/>
      <c r="R642" s="2552"/>
      <c r="S642" s="2552"/>
      <c r="T642" s="2552"/>
      <c r="U642" s="2552"/>
      <c r="V642" s="2552"/>
      <c r="W642" s="2552"/>
      <c r="X642" s="2552"/>
      <c r="Y642" s="2552"/>
      <c r="Z642" s="2552"/>
      <c r="AA642" s="2552"/>
      <c r="AB642" s="2552"/>
      <c r="AC642" s="2552"/>
      <c r="AD642" s="2552"/>
      <c r="AE642" s="532"/>
      <c r="AF642" s="532"/>
      <c r="AG642" s="532"/>
      <c r="AH642" s="532"/>
      <c r="AI642" s="532"/>
      <c r="AJ642" s="532"/>
      <c r="AK642" s="532"/>
      <c r="AL642" s="532"/>
      <c r="AN642" s="590"/>
    </row>
    <row r="643" spans="1:42" s="544" customFormat="1" ht="12.75" customHeight="1">
      <c r="B643" s="532"/>
      <c r="C643" s="922"/>
      <c r="D643" s="654"/>
      <c r="E643" s="2552"/>
      <c r="F643" s="2552"/>
      <c r="G643" s="2552"/>
      <c r="H643" s="2552"/>
      <c r="I643" s="2552"/>
      <c r="J643" s="2552"/>
      <c r="K643" s="2552"/>
      <c r="L643" s="2552"/>
      <c r="M643" s="2552"/>
      <c r="N643" s="2552"/>
      <c r="O643" s="2552"/>
      <c r="P643" s="2552"/>
      <c r="Q643" s="2552"/>
      <c r="R643" s="2552"/>
      <c r="S643" s="2552"/>
      <c r="T643" s="2552"/>
      <c r="U643" s="2552"/>
      <c r="V643" s="2552"/>
      <c r="W643" s="2552"/>
      <c r="X643" s="2552"/>
      <c r="Y643" s="2552"/>
      <c r="Z643" s="2552"/>
      <c r="AA643" s="2552"/>
      <c r="AB643" s="2552"/>
      <c r="AC643" s="2552"/>
      <c r="AD643" s="2552"/>
      <c r="AE643" s="532"/>
      <c r="AF643" s="532"/>
      <c r="AG643" s="532"/>
      <c r="AH643" s="532"/>
      <c r="AI643" s="532"/>
      <c r="AJ643" s="532"/>
      <c r="AK643" s="532"/>
      <c r="AL643" s="532"/>
      <c r="AN643" s="590"/>
    </row>
    <row r="644" spans="1:42" s="544" customFormat="1" ht="12.75" customHeight="1">
      <c r="A644" s="630"/>
      <c r="B644" s="609"/>
      <c r="C644" s="931"/>
      <c r="D644" s="654"/>
      <c r="E644" s="2552"/>
      <c r="F644" s="2552"/>
      <c r="G644" s="2552"/>
      <c r="H644" s="2552"/>
      <c r="I644" s="2552"/>
      <c r="J644" s="2552"/>
      <c r="K644" s="2552"/>
      <c r="L644" s="2552"/>
      <c r="M644" s="2552"/>
      <c r="N644" s="2552"/>
      <c r="O644" s="2552"/>
      <c r="P644" s="2552"/>
      <c r="Q644" s="2552"/>
      <c r="R644" s="2552"/>
      <c r="S644" s="2552"/>
      <c r="T644" s="2552"/>
      <c r="U644" s="2552"/>
      <c r="V644" s="2552"/>
      <c r="W644" s="2552"/>
      <c r="X644" s="2552"/>
      <c r="Y644" s="2552"/>
      <c r="Z644" s="2552"/>
      <c r="AA644" s="2552"/>
      <c r="AB644" s="2552"/>
      <c r="AC644" s="2552"/>
      <c r="AD644" s="2552"/>
      <c r="AE644" s="609"/>
      <c r="AF644" s="609"/>
      <c r="AG644" s="609"/>
      <c r="AH644" s="609"/>
      <c r="AI644" s="609"/>
      <c r="AJ644" s="609"/>
      <c r="AK644" s="532"/>
      <c r="AL644" s="532"/>
      <c r="AN644" s="590"/>
    </row>
    <row r="645" spans="1:42" s="544" customFormat="1" ht="12.75" customHeight="1">
      <c r="B645" s="609"/>
      <c r="C645" s="931"/>
      <c r="D645" s="654"/>
      <c r="E645" s="2552"/>
      <c r="F645" s="2552"/>
      <c r="G645" s="2552"/>
      <c r="H645" s="2552"/>
      <c r="I645" s="2552"/>
      <c r="J645" s="2552"/>
      <c r="K645" s="2552"/>
      <c r="L645" s="2552"/>
      <c r="M645" s="2552"/>
      <c r="N645" s="2552"/>
      <c r="O645" s="2552"/>
      <c r="P645" s="2552"/>
      <c r="Q645" s="2552"/>
      <c r="R645" s="2552"/>
      <c r="S645" s="2552"/>
      <c r="T645" s="2552"/>
      <c r="U645" s="2552"/>
      <c r="V645" s="2552"/>
      <c r="W645" s="2552"/>
      <c r="X645" s="2552"/>
      <c r="Y645" s="2552"/>
      <c r="Z645" s="2552"/>
      <c r="AA645" s="2552"/>
      <c r="AB645" s="2552"/>
      <c r="AC645" s="2552"/>
      <c r="AD645" s="255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5" t="s">
        <v>591</v>
      </c>
      <c r="Y647" s="248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3" t="s">
        <v>1399</v>
      </c>
      <c r="AG649" s="2473"/>
      <c r="AH649" s="2473"/>
      <c r="AI649" s="2473"/>
      <c r="AJ649" s="2473"/>
      <c r="AK649" s="2473"/>
      <c r="AL649" s="2473"/>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3" t="s">
        <v>687</v>
      </c>
      <c r="I651" s="255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8">
        <f>VLOOKUP($H$651,$AO$618:$AP$620,2,FALSE)</f>
        <v>3</v>
      </c>
      <c r="AK653" s="250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90" t="s">
        <v>2047</v>
      </c>
      <c r="F657" s="2490"/>
      <c r="G657" s="2490"/>
      <c r="H657" s="2490"/>
      <c r="I657" s="2490"/>
      <c r="J657" s="2490"/>
      <c r="K657" s="2490"/>
      <c r="L657" s="2490"/>
      <c r="M657" s="2490"/>
      <c r="N657" s="2490"/>
      <c r="O657" s="2490"/>
      <c r="P657" s="2490"/>
      <c r="Q657" s="2490"/>
      <c r="R657" s="2490"/>
      <c r="S657" s="2490"/>
      <c r="T657" s="2490"/>
      <c r="U657" s="2490"/>
      <c r="V657" s="2490"/>
      <c r="W657" s="2490"/>
      <c r="X657" s="2490"/>
      <c r="Y657" s="2490"/>
      <c r="Z657" s="2490"/>
      <c r="AA657" s="2490"/>
      <c r="AB657" s="2490"/>
      <c r="AC657" s="2490"/>
      <c r="AD657" s="2490"/>
      <c r="AE657" s="532"/>
      <c r="AF657" s="2473" t="s">
        <v>1345</v>
      </c>
      <c r="AG657" s="2473"/>
      <c r="AH657" s="2473"/>
      <c r="AI657" s="2473"/>
      <c r="AJ657" s="2473"/>
      <c r="AK657" s="2473"/>
      <c r="AL657" s="2473"/>
      <c r="AN657" s="590"/>
    </row>
    <row r="658" spans="1:42" s="544" customFormat="1" ht="12.75" customHeight="1">
      <c r="B658" s="532"/>
      <c r="C658" s="532"/>
      <c r="D658" s="654"/>
      <c r="E658" s="2490"/>
      <c r="F658" s="2490"/>
      <c r="G658" s="2490"/>
      <c r="H658" s="2490"/>
      <c r="I658" s="2490"/>
      <c r="J658" s="2490"/>
      <c r="K658" s="2490"/>
      <c r="L658" s="2490"/>
      <c r="M658" s="2490"/>
      <c r="N658" s="2490"/>
      <c r="O658" s="2490"/>
      <c r="P658" s="2490"/>
      <c r="Q658" s="2490"/>
      <c r="R658" s="2490"/>
      <c r="S658" s="2490"/>
      <c r="T658" s="2490"/>
      <c r="U658" s="2490"/>
      <c r="V658" s="2490"/>
      <c r="W658" s="2490"/>
      <c r="X658" s="2490"/>
      <c r="Y658" s="2490"/>
      <c r="Z658" s="2490"/>
      <c r="AA658" s="2490"/>
      <c r="AB658" s="2490"/>
      <c r="AC658" s="2490"/>
      <c r="AD658" s="249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3" t="s">
        <v>1399</v>
      </c>
      <c r="AG660" s="2473"/>
      <c r="AH660" s="2473"/>
      <c r="AI660" s="2473"/>
      <c r="AJ660" s="2473"/>
      <c r="AK660" s="2473"/>
      <c r="AL660" s="2473"/>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3" t="s">
        <v>591</v>
      </c>
      <c r="I663" s="255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8">
        <f>VLOOKUP(H663,AT618:AU620,2,FALSE)</f>
        <v>0</v>
      </c>
      <c r="AK665" s="250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90" t="s">
        <v>1409</v>
      </c>
      <c r="F670" s="2490"/>
      <c r="G670" s="2490"/>
      <c r="H670" s="2490"/>
      <c r="I670" s="2490"/>
      <c r="J670" s="2490"/>
      <c r="K670" s="2490"/>
      <c r="L670" s="2490"/>
      <c r="M670" s="2490"/>
      <c r="N670" s="2490"/>
      <c r="O670" s="2490"/>
      <c r="P670" s="2490"/>
      <c r="Q670" s="2490"/>
      <c r="R670" s="2490"/>
      <c r="S670" s="2490"/>
      <c r="T670" s="2490"/>
      <c r="U670" s="2490"/>
      <c r="V670" s="2490"/>
      <c r="W670" s="2490"/>
      <c r="X670" s="2490"/>
      <c r="Y670" s="2490"/>
      <c r="Z670" s="2490"/>
      <c r="AA670" s="2490"/>
      <c r="AB670" s="2490"/>
      <c r="AC670" s="2490"/>
      <c r="AD670" s="532"/>
      <c r="AE670" s="532"/>
      <c r="AF670" s="2473" t="s">
        <v>1370</v>
      </c>
      <c r="AG670" s="2473"/>
      <c r="AH670" s="2473"/>
      <c r="AI670" s="2473"/>
      <c r="AJ670" s="2473"/>
      <c r="AK670" s="2473"/>
      <c r="AL670" s="2473"/>
      <c r="AN670" s="590"/>
    </row>
    <row r="671" spans="1:42" s="544" customFormat="1" ht="12.75" customHeight="1">
      <c r="B671" s="532"/>
      <c r="C671" s="535"/>
      <c r="D671" s="532"/>
      <c r="E671" s="2490"/>
      <c r="F671" s="2490"/>
      <c r="G671" s="2490"/>
      <c r="H671" s="2490"/>
      <c r="I671" s="2490"/>
      <c r="J671" s="2490"/>
      <c r="K671" s="2490"/>
      <c r="L671" s="2490"/>
      <c r="M671" s="2490"/>
      <c r="N671" s="2490"/>
      <c r="O671" s="2490"/>
      <c r="P671" s="2490"/>
      <c r="Q671" s="2490"/>
      <c r="R671" s="2490"/>
      <c r="S671" s="2490"/>
      <c r="T671" s="2490"/>
      <c r="U671" s="2490"/>
      <c r="V671" s="2490"/>
      <c r="W671" s="2490"/>
      <c r="X671" s="2490"/>
      <c r="Y671" s="2490"/>
      <c r="Z671" s="2490"/>
      <c r="AA671" s="2490"/>
      <c r="AB671" s="2490"/>
      <c r="AC671" s="2490"/>
      <c r="AD671" s="532"/>
      <c r="AE671" s="532"/>
      <c r="AF671" s="532"/>
      <c r="AG671" s="532"/>
      <c r="AH671" s="532"/>
      <c r="AI671" s="532"/>
      <c r="AJ671" s="532"/>
      <c r="AK671" s="532"/>
      <c r="AL671" s="532"/>
      <c r="AN671" s="590"/>
    </row>
    <row r="672" spans="1:42" s="544" customFormat="1" ht="12.75" customHeight="1">
      <c r="B672" s="532"/>
      <c r="C672" s="535"/>
      <c r="D672" s="654"/>
      <c r="E672" s="2490"/>
      <c r="F672" s="2490"/>
      <c r="G672" s="2490"/>
      <c r="H672" s="2490"/>
      <c r="I672" s="2490"/>
      <c r="J672" s="2490"/>
      <c r="K672" s="2490"/>
      <c r="L672" s="2490"/>
      <c r="M672" s="2490"/>
      <c r="N672" s="2490"/>
      <c r="O672" s="2490"/>
      <c r="P672" s="2490"/>
      <c r="Q672" s="2490"/>
      <c r="R672" s="2490"/>
      <c r="S672" s="2490"/>
      <c r="T672" s="2490"/>
      <c r="U672" s="2490"/>
      <c r="V672" s="2490"/>
      <c r="W672" s="2490"/>
      <c r="X672" s="2490"/>
      <c r="Y672" s="2490"/>
      <c r="Z672" s="2490"/>
      <c r="AA672" s="2490"/>
      <c r="AB672" s="2490"/>
      <c r="AC672" s="249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90" t="s">
        <v>1410</v>
      </c>
      <c r="F674" s="2490"/>
      <c r="G674" s="2490"/>
      <c r="H674" s="2490"/>
      <c r="I674" s="2490"/>
      <c r="J674" s="2490"/>
      <c r="K674" s="2490"/>
      <c r="L674" s="2490"/>
      <c r="M674" s="2490"/>
      <c r="N674" s="2490"/>
      <c r="O674" s="2490"/>
      <c r="P674" s="2490"/>
      <c r="Q674" s="2490"/>
      <c r="R674" s="2490"/>
      <c r="S674" s="2490"/>
      <c r="T674" s="2490"/>
      <c r="U674" s="2490"/>
      <c r="V674" s="2490"/>
      <c r="W674" s="2490"/>
      <c r="X674" s="2490"/>
      <c r="Y674" s="2490"/>
      <c r="Z674" s="2490"/>
      <c r="AA674" s="2490"/>
      <c r="AB674" s="2490"/>
      <c r="AC674" s="2490"/>
      <c r="AD674" s="532"/>
      <c r="AE674" s="532"/>
      <c r="AF674" s="2473" t="s">
        <v>1390</v>
      </c>
      <c r="AG674" s="2473"/>
      <c r="AH674" s="2473"/>
      <c r="AI674" s="2473"/>
      <c r="AJ674" s="2473"/>
      <c r="AK674" s="2473"/>
      <c r="AL674" s="2473"/>
      <c r="AN674" s="590"/>
    </row>
    <row r="675" spans="1:42" s="544" customFormat="1" ht="12.75" customHeight="1">
      <c r="B675" s="532"/>
      <c r="C675" s="535"/>
      <c r="D675" s="532"/>
      <c r="E675" s="2490"/>
      <c r="F675" s="2490"/>
      <c r="G675" s="2490"/>
      <c r="H675" s="2490"/>
      <c r="I675" s="2490"/>
      <c r="J675" s="2490"/>
      <c r="K675" s="2490"/>
      <c r="L675" s="2490"/>
      <c r="M675" s="2490"/>
      <c r="N675" s="2490"/>
      <c r="O675" s="2490"/>
      <c r="P675" s="2490"/>
      <c r="Q675" s="2490"/>
      <c r="R675" s="2490"/>
      <c r="S675" s="2490"/>
      <c r="T675" s="2490"/>
      <c r="U675" s="2490"/>
      <c r="V675" s="2490"/>
      <c r="W675" s="2490"/>
      <c r="X675" s="2490"/>
      <c r="Y675" s="2490"/>
      <c r="Z675" s="2490"/>
      <c r="AA675" s="2490"/>
      <c r="AB675" s="2490"/>
      <c r="AC675" s="2490"/>
      <c r="AD675" s="532"/>
      <c r="AE675" s="532"/>
      <c r="AF675" s="532"/>
      <c r="AG675" s="532"/>
      <c r="AH675" s="532"/>
      <c r="AI675" s="532"/>
      <c r="AJ675" s="532"/>
      <c r="AK675" s="532"/>
      <c r="AL675" s="532"/>
      <c r="AN675" s="590"/>
    </row>
    <row r="676" spans="1:42" s="544" customFormat="1" ht="15" customHeight="1">
      <c r="B676" s="532"/>
      <c r="C676" s="535"/>
      <c r="D676" s="654"/>
      <c r="E676" s="2490"/>
      <c r="F676" s="2490"/>
      <c r="G676" s="2490"/>
      <c r="H676" s="2490"/>
      <c r="I676" s="2490"/>
      <c r="J676" s="2490"/>
      <c r="K676" s="2490"/>
      <c r="L676" s="2490"/>
      <c r="M676" s="2490"/>
      <c r="N676" s="2490"/>
      <c r="O676" s="2490"/>
      <c r="P676" s="2490"/>
      <c r="Q676" s="2490"/>
      <c r="R676" s="2490"/>
      <c r="S676" s="2490"/>
      <c r="T676" s="2490"/>
      <c r="U676" s="2490"/>
      <c r="V676" s="2490"/>
      <c r="W676" s="2490"/>
      <c r="X676" s="2490"/>
      <c r="Y676" s="2490"/>
      <c r="Z676" s="2490"/>
      <c r="AA676" s="2490"/>
      <c r="AB676" s="2490"/>
      <c r="AC676" s="249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0" t="s">
        <v>1411</v>
      </c>
      <c r="F678" s="2490"/>
      <c r="G678" s="2490"/>
      <c r="H678" s="2490"/>
      <c r="I678" s="2490"/>
      <c r="J678" s="2490"/>
      <c r="K678" s="2490"/>
      <c r="L678" s="2490"/>
      <c r="M678" s="2490"/>
      <c r="N678" s="2490"/>
      <c r="O678" s="2490"/>
      <c r="P678" s="2490"/>
      <c r="Q678" s="2490"/>
      <c r="R678" s="2490"/>
      <c r="S678" s="2490"/>
      <c r="T678" s="2490"/>
      <c r="U678" s="2490"/>
      <c r="V678" s="2490"/>
      <c r="W678" s="2490"/>
      <c r="X678" s="2490"/>
      <c r="Y678" s="2490"/>
      <c r="Z678" s="2490"/>
      <c r="AA678" s="2490"/>
      <c r="AB678" s="2490"/>
      <c r="AC678" s="2490"/>
      <c r="AD678" s="532"/>
      <c r="AE678" s="532"/>
      <c r="AF678" s="2473" t="s">
        <v>1345</v>
      </c>
      <c r="AG678" s="2473"/>
      <c r="AH678" s="2473"/>
      <c r="AI678" s="2473"/>
      <c r="AJ678" s="2473"/>
      <c r="AK678" s="2473"/>
      <c r="AL678" s="2473"/>
      <c r="AN678" s="590"/>
    </row>
    <row r="679" spans="1:42" s="544" customFormat="1" ht="12.75" customHeight="1">
      <c r="B679" s="532"/>
      <c r="C679" s="922"/>
      <c r="D679" s="532"/>
      <c r="E679" s="2490"/>
      <c r="F679" s="2490"/>
      <c r="G679" s="2490"/>
      <c r="H679" s="2490"/>
      <c r="I679" s="2490"/>
      <c r="J679" s="2490"/>
      <c r="K679" s="2490"/>
      <c r="L679" s="2490"/>
      <c r="M679" s="2490"/>
      <c r="N679" s="2490"/>
      <c r="O679" s="2490"/>
      <c r="P679" s="2490"/>
      <c r="Q679" s="2490"/>
      <c r="R679" s="2490"/>
      <c r="S679" s="2490"/>
      <c r="T679" s="2490"/>
      <c r="U679" s="2490"/>
      <c r="V679" s="2490"/>
      <c r="W679" s="2490"/>
      <c r="X679" s="2490"/>
      <c r="Y679" s="2490"/>
      <c r="Z679" s="2490"/>
      <c r="AA679" s="2490"/>
      <c r="AB679" s="2490"/>
      <c r="AC679" s="2490"/>
      <c r="AD679" s="532"/>
      <c r="AE679" s="2473"/>
      <c r="AF679" s="2473"/>
      <c r="AG679" s="2473"/>
      <c r="AH679" s="2473"/>
      <c r="AI679" s="2473"/>
      <c r="AJ679" s="2473"/>
      <c r="AK679" s="2473"/>
      <c r="AL679" s="587"/>
      <c r="AN679" s="590"/>
      <c r="AO679" s="544" t="s">
        <v>591</v>
      </c>
      <c r="AP679" s="664">
        <v>0</v>
      </c>
    </row>
    <row r="680" spans="1:42" s="544" customFormat="1" ht="12.75" customHeight="1">
      <c r="A680" s="670"/>
      <c r="B680" s="532"/>
      <c r="C680" s="532"/>
      <c r="D680" s="654"/>
      <c r="E680" s="2490"/>
      <c r="F680" s="2490"/>
      <c r="G680" s="2490"/>
      <c r="H680" s="2490"/>
      <c r="I680" s="2490"/>
      <c r="J680" s="2490"/>
      <c r="K680" s="2490"/>
      <c r="L680" s="2490"/>
      <c r="M680" s="2490"/>
      <c r="N680" s="2490"/>
      <c r="O680" s="2490"/>
      <c r="P680" s="2490"/>
      <c r="Q680" s="2490"/>
      <c r="R680" s="2490"/>
      <c r="S680" s="2490"/>
      <c r="T680" s="2490"/>
      <c r="U680" s="2490"/>
      <c r="V680" s="2490"/>
      <c r="W680" s="2490"/>
      <c r="X680" s="2490"/>
      <c r="Y680" s="2490"/>
      <c r="Z680" s="2490"/>
      <c r="AA680" s="2490"/>
      <c r="AB680" s="2490"/>
      <c r="AC680" s="249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90" t="s">
        <v>1412</v>
      </c>
      <c r="F682" s="2490"/>
      <c r="G682" s="2490"/>
      <c r="H682" s="2490"/>
      <c r="I682" s="2490"/>
      <c r="J682" s="2490"/>
      <c r="K682" s="2490"/>
      <c r="L682" s="2490"/>
      <c r="M682" s="2490"/>
      <c r="N682" s="2490"/>
      <c r="O682" s="2490"/>
      <c r="P682" s="2490"/>
      <c r="Q682" s="2490"/>
      <c r="R682" s="2490"/>
      <c r="S682" s="2490"/>
      <c r="T682" s="2490"/>
      <c r="U682" s="2490"/>
      <c r="V682" s="2490"/>
      <c r="W682" s="2490"/>
      <c r="X682" s="2490"/>
      <c r="Y682" s="2490"/>
      <c r="Z682" s="2490"/>
      <c r="AA682" s="2490"/>
      <c r="AB682" s="2490"/>
      <c r="AC682" s="2490"/>
      <c r="AD682" s="532"/>
      <c r="AE682" s="532"/>
      <c r="AF682" s="2473" t="s">
        <v>1390</v>
      </c>
      <c r="AG682" s="2473"/>
      <c r="AH682" s="2473"/>
      <c r="AI682" s="2473"/>
      <c r="AJ682" s="2473"/>
      <c r="AK682" s="2473"/>
      <c r="AL682" s="2473"/>
      <c r="AN682" s="590"/>
    </row>
    <row r="683" spans="1:42" s="544" customFormat="1" ht="12.75" customHeight="1">
      <c r="A683" s="661"/>
      <c r="B683" s="532"/>
      <c r="C683" s="938"/>
      <c r="D683" s="654"/>
      <c r="E683" s="2490"/>
      <c r="F683" s="2490"/>
      <c r="G683" s="2490"/>
      <c r="H683" s="2490"/>
      <c r="I683" s="2490"/>
      <c r="J683" s="2490"/>
      <c r="K683" s="2490"/>
      <c r="L683" s="2490"/>
      <c r="M683" s="2490"/>
      <c r="N683" s="2490"/>
      <c r="O683" s="2490"/>
      <c r="P683" s="2490"/>
      <c r="Q683" s="2490"/>
      <c r="R683" s="2490"/>
      <c r="S683" s="2490"/>
      <c r="T683" s="2490"/>
      <c r="U683" s="2490"/>
      <c r="V683" s="2490"/>
      <c r="W683" s="2490"/>
      <c r="X683" s="2490"/>
      <c r="Y683" s="2490"/>
      <c r="Z683" s="2490"/>
      <c r="AA683" s="2490"/>
      <c r="AB683" s="2490"/>
      <c r="AC683" s="249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0"/>
      <c r="F684" s="2490"/>
      <c r="G684" s="2490"/>
      <c r="H684" s="2490"/>
      <c r="I684" s="2490"/>
      <c r="J684" s="2490"/>
      <c r="K684" s="2490"/>
      <c r="L684" s="2490"/>
      <c r="M684" s="2490"/>
      <c r="N684" s="2490"/>
      <c r="O684" s="2490"/>
      <c r="P684" s="2490"/>
      <c r="Q684" s="2490"/>
      <c r="R684" s="2490"/>
      <c r="S684" s="2490"/>
      <c r="T684" s="2490"/>
      <c r="U684" s="2490"/>
      <c r="V684" s="2490"/>
      <c r="W684" s="2490"/>
      <c r="X684" s="2490"/>
      <c r="Y684" s="2490"/>
      <c r="Z684" s="2490"/>
      <c r="AA684" s="2490"/>
      <c r="AB684" s="2490"/>
      <c r="AC684" s="249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90" t="s">
        <v>1413</v>
      </c>
      <c r="F686" s="2490"/>
      <c r="G686" s="2490"/>
      <c r="H686" s="2490"/>
      <c r="I686" s="2490"/>
      <c r="J686" s="2490"/>
      <c r="K686" s="2490"/>
      <c r="L686" s="2490"/>
      <c r="M686" s="2490"/>
      <c r="N686" s="2490"/>
      <c r="O686" s="2490"/>
      <c r="P686" s="2490"/>
      <c r="Q686" s="2490"/>
      <c r="R686" s="2490"/>
      <c r="S686" s="2490"/>
      <c r="T686" s="2490"/>
      <c r="U686" s="2490"/>
      <c r="V686" s="2490"/>
      <c r="W686" s="2490"/>
      <c r="X686" s="2490"/>
      <c r="Y686" s="2490"/>
      <c r="Z686" s="2490"/>
      <c r="AA686" s="2490"/>
      <c r="AB686" s="2490"/>
      <c r="AC686" s="2490"/>
      <c r="AD686" s="532"/>
      <c r="AE686" s="532"/>
      <c r="AF686" s="2473" t="s">
        <v>1345</v>
      </c>
      <c r="AG686" s="2473"/>
      <c r="AH686" s="2473"/>
      <c r="AI686" s="2473"/>
      <c r="AJ686" s="2473"/>
      <c r="AK686" s="2473"/>
      <c r="AL686" s="2473"/>
      <c r="AM686" s="589"/>
      <c r="AN686" s="590"/>
    </row>
    <row r="687" spans="1:42" s="544" customFormat="1" ht="12.75" customHeight="1">
      <c r="B687" s="532"/>
      <c r="C687" s="922"/>
      <c r="D687" s="654"/>
      <c r="E687" s="2490"/>
      <c r="F687" s="2490"/>
      <c r="G687" s="2490"/>
      <c r="H687" s="2490"/>
      <c r="I687" s="2490"/>
      <c r="J687" s="2490"/>
      <c r="K687" s="2490"/>
      <c r="L687" s="2490"/>
      <c r="M687" s="2490"/>
      <c r="N687" s="2490"/>
      <c r="O687" s="2490"/>
      <c r="P687" s="2490"/>
      <c r="Q687" s="2490"/>
      <c r="R687" s="2490"/>
      <c r="S687" s="2490"/>
      <c r="T687" s="2490"/>
      <c r="U687" s="2490"/>
      <c r="V687" s="2490"/>
      <c r="W687" s="2490"/>
      <c r="X687" s="2490"/>
      <c r="Y687" s="2490"/>
      <c r="Z687" s="2490"/>
      <c r="AA687" s="2490"/>
      <c r="AB687" s="2490"/>
      <c r="AC687" s="2490"/>
      <c r="AD687" s="532"/>
      <c r="AE687" s="532"/>
      <c r="AF687" s="532"/>
      <c r="AG687" s="532"/>
      <c r="AH687" s="532"/>
      <c r="AI687" s="532"/>
      <c r="AJ687" s="532"/>
      <c r="AK687" s="532"/>
      <c r="AL687" s="532"/>
      <c r="AM687" s="589"/>
      <c r="AN687" s="590"/>
    </row>
    <row r="688" spans="1:42" s="544" customFormat="1" ht="12.75" customHeight="1">
      <c r="B688" s="532"/>
      <c r="C688" s="922"/>
      <c r="D688" s="654"/>
      <c r="E688" s="2490"/>
      <c r="F688" s="2490"/>
      <c r="G688" s="2490"/>
      <c r="H688" s="2490"/>
      <c r="I688" s="2490"/>
      <c r="J688" s="2490"/>
      <c r="K688" s="2490"/>
      <c r="L688" s="2490"/>
      <c r="M688" s="2490"/>
      <c r="N688" s="2490"/>
      <c r="O688" s="2490"/>
      <c r="P688" s="2490"/>
      <c r="Q688" s="2490"/>
      <c r="R688" s="2490"/>
      <c r="S688" s="2490"/>
      <c r="T688" s="2490"/>
      <c r="U688" s="2490"/>
      <c r="V688" s="2490"/>
      <c r="W688" s="2490"/>
      <c r="X688" s="2490"/>
      <c r="Y688" s="2490"/>
      <c r="Z688" s="2490"/>
      <c r="AA688" s="2490"/>
      <c r="AB688" s="2490"/>
      <c r="AC688" s="249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90" t="s">
        <v>1414</v>
      </c>
      <c r="F690" s="2490"/>
      <c r="G690" s="2490"/>
      <c r="H690" s="2490"/>
      <c r="I690" s="2490"/>
      <c r="J690" s="2490"/>
      <c r="K690" s="2490"/>
      <c r="L690" s="2490"/>
      <c r="M690" s="2490"/>
      <c r="N690" s="2490"/>
      <c r="O690" s="2490"/>
      <c r="P690" s="2490"/>
      <c r="Q690" s="2490"/>
      <c r="R690" s="2490"/>
      <c r="S690" s="2490"/>
      <c r="T690" s="2490"/>
      <c r="U690" s="2490"/>
      <c r="V690" s="2490"/>
      <c r="W690" s="2490"/>
      <c r="X690" s="2490"/>
      <c r="Y690" s="2490"/>
      <c r="Z690" s="2490"/>
      <c r="AA690" s="2490"/>
      <c r="AB690" s="2490"/>
      <c r="AC690" s="2490"/>
      <c r="AD690" s="532"/>
      <c r="AE690" s="532"/>
      <c r="AF690" s="2473" t="s">
        <v>1399</v>
      </c>
      <c r="AG690" s="2473"/>
      <c r="AH690" s="2473"/>
      <c r="AI690" s="2473"/>
      <c r="AJ690" s="2473"/>
      <c r="AK690" s="2473"/>
      <c r="AL690" s="2473"/>
      <c r="AM690" s="589"/>
      <c r="AN690" s="590"/>
    </row>
    <row r="691" spans="1:50" s="544" customFormat="1" ht="12.75" customHeight="1">
      <c r="A691" s="670"/>
      <c r="B691" s="532"/>
      <c r="C691" s="922"/>
      <c r="D691" s="654"/>
      <c r="E691" s="2490"/>
      <c r="F691" s="2490"/>
      <c r="G691" s="2490"/>
      <c r="H691" s="2490"/>
      <c r="I691" s="2490"/>
      <c r="J691" s="2490"/>
      <c r="K691" s="2490"/>
      <c r="L691" s="2490"/>
      <c r="M691" s="2490"/>
      <c r="N691" s="2490"/>
      <c r="O691" s="2490"/>
      <c r="P691" s="2490"/>
      <c r="Q691" s="2490"/>
      <c r="R691" s="2490"/>
      <c r="S691" s="2490"/>
      <c r="T691" s="2490"/>
      <c r="U691" s="2490"/>
      <c r="V691" s="2490"/>
      <c r="W691" s="2490"/>
      <c r="X691" s="2490"/>
      <c r="Y691" s="2490"/>
      <c r="Z691" s="2490"/>
      <c r="AA691" s="2490"/>
      <c r="AB691" s="2490"/>
      <c r="AC691" s="249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0"/>
      <c r="F692" s="2490"/>
      <c r="G692" s="2490"/>
      <c r="H692" s="2490"/>
      <c r="I692" s="2490"/>
      <c r="J692" s="2490"/>
      <c r="K692" s="2490"/>
      <c r="L692" s="2490"/>
      <c r="M692" s="2490"/>
      <c r="N692" s="2490"/>
      <c r="O692" s="2490"/>
      <c r="P692" s="2490"/>
      <c r="Q692" s="2490"/>
      <c r="R692" s="2490"/>
      <c r="S692" s="2490"/>
      <c r="T692" s="2490"/>
      <c r="U692" s="2490"/>
      <c r="V692" s="2490"/>
      <c r="W692" s="2490"/>
      <c r="X692" s="2490"/>
      <c r="Y692" s="2490"/>
      <c r="Z692" s="2490"/>
      <c r="AA692" s="2490"/>
      <c r="AB692" s="2490"/>
      <c r="AC692" s="249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90" t="s">
        <v>1415</v>
      </c>
      <c r="F694" s="2490"/>
      <c r="G694" s="2490"/>
      <c r="H694" s="2490"/>
      <c r="I694" s="2490"/>
      <c r="J694" s="2490"/>
      <c r="K694" s="2490"/>
      <c r="L694" s="2490"/>
      <c r="M694" s="2490"/>
      <c r="N694" s="2490"/>
      <c r="O694" s="2490"/>
      <c r="P694" s="2490"/>
      <c r="Q694" s="2490"/>
      <c r="R694" s="2490"/>
      <c r="S694" s="2490"/>
      <c r="T694" s="2490"/>
      <c r="U694" s="2490"/>
      <c r="V694" s="2490"/>
      <c r="W694" s="2490"/>
      <c r="X694" s="2490"/>
      <c r="Y694" s="2490"/>
      <c r="Z694" s="2490"/>
      <c r="AA694" s="2490"/>
      <c r="AB694" s="2490"/>
      <c r="AC694" s="2490"/>
      <c r="AD694" s="532"/>
      <c r="AE694" s="532"/>
      <c r="AF694" s="2473" t="s">
        <v>1416</v>
      </c>
      <c r="AG694" s="2473"/>
      <c r="AH694" s="2473"/>
      <c r="AI694" s="2473"/>
      <c r="AJ694" s="2473"/>
      <c r="AK694" s="2473"/>
      <c r="AL694" s="2473"/>
      <c r="AM694" s="589"/>
      <c r="AN694" s="590"/>
      <c r="AO694" s="604" t="s">
        <v>687</v>
      </c>
      <c r="AP694" s="544">
        <v>3</v>
      </c>
    </row>
    <row r="695" spans="1:50" s="544" customFormat="1" ht="12.75" customHeight="1">
      <c r="A695" s="670"/>
      <c r="B695" s="532"/>
      <c r="C695" s="922"/>
      <c r="D695" s="654"/>
      <c r="E695" s="2490"/>
      <c r="F695" s="2490"/>
      <c r="G695" s="2490"/>
      <c r="H695" s="2490"/>
      <c r="I695" s="2490"/>
      <c r="J695" s="2490"/>
      <c r="K695" s="2490"/>
      <c r="L695" s="2490"/>
      <c r="M695" s="2490"/>
      <c r="N695" s="2490"/>
      <c r="O695" s="2490"/>
      <c r="P695" s="2490"/>
      <c r="Q695" s="2490"/>
      <c r="R695" s="2490"/>
      <c r="S695" s="2490"/>
      <c r="T695" s="2490"/>
      <c r="U695" s="2490"/>
      <c r="V695" s="2490"/>
      <c r="W695" s="2490"/>
      <c r="X695" s="2490"/>
      <c r="Y695" s="2490"/>
      <c r="Z695" s="2490"/>
      <c r="AA695" s="2490"/>
      <c r="AB695" s="2490"/>
      <c r="AC695" s="249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90"/>
      <c r="F696" s="2490"/>
      <c r="G696" s="2490"/>
      <c r="H696" s="2490"/>
      <c r="I696" s="2490"/>
      <c r="J696" s="2490"/>
      <c r="K696" s="2490"/>
      <c r="L696" s="2490"/>
      <c r="M696" s="2490"/>
      <c r="N696" s="2490"/>
      <c r="O696" s="2490"/>
      <c r="P696" s="2490"/>
      <c r="Q696" s="2490"/>
      <c r="R696" s="2490"/>
      <c r="S696" s="2490"/>
      <c r="T696" s="2490"/>
      <c r="U696" s="2490"/>
      <c r="V696" s="2490"/>
      <c r="W696" s="2490"/>
      <c r="X696" s="2490"/>
      <c r="Y696" s="2490"/>
      <c r="Z696" s="2490"/>
      <c r="AA696" s="2490"/>
      <c r="AB696" s="2490"/>
      <c r="AC696" s="249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3" t="s">
        <v>509</v>
      </c>
      <c r="I698" s="255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8">
        <f>VLOOKUP($H$698,$AO$646:$AP$653,2,FALSE)</f>
        <v>4</v>
      </c>
      <c r="AK700" s="250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182</v>
      </c>
    </row>
    <row r="704" spans="1:50" s="544" customFormat="1" ht="12.75" customHeight="1">
      <c r="A704" s="670"/>
      <c r="B704" s="532"/>
      <c r="C704" s="939"/>
      <c r="D704" s="654" t="s">
        <v>687</v>
      </c>
      <c r="E704" s="2560" t="s">
        <v>2138</v>
      </c>
      <c r="F704" s="2560"/>
      <c r="G704" s="2560"/>
      <c r="H704" s="2560"/>
      <c r="I704" s="2560"/>
      <c r="J704" s="2560"/>
      <c r="K704" s="2560"/>
      <c r="L704" s="2560"/>
      <c r="M704" s="2560"/>
      <c r="N704" s="2560"/>
      <c r="O704" s="2560"/>
      <c r="P704" s="2560"/>
      <c r="Q704" s="2560"/>
      <c r="R704" s="2560"/>
      <c r="S704" s="2560"/>
      <c r="T704" s="2560"/>
      <c r="U704" s="2560"/>
      <c r="V704" s="2560"/>
      <c r="W704" s="2560"/>
      <c r="X704" s="2560"/>
      <c r="Y704" s="2560"/>
      <c r="Z704" s="2560"/>
      <c r="AA704" s="2560"/>
      <c r="AB704" s="2560"/>
      <c r="AC704" s="532"/>
      <c r="AD704" s="532"/>
      <c r="AE704" s="532"/>
      <c r="AF704" s="2473" t="s">
        <v>1345</v>
      </c>
      <c r="AG704" s="2473"/>
      <c r="AH704" s="2473"/>
      <c r="AI704" s="2473"/>
      <c r="AJ704" s="2473"/>
      <c r="AK704" s="2473"/>
      <c r="AL704" s="2473"/>
      <c r="AN704" s="590"/>
      <c r="AW704" s="22" t="s">
        <v>2133</v>
      </c>
      <c r="AX704" s="544">
        <f>Application!DE761</f>
        <v>0</v>
      </c>
    </row>
    <row r="705" spans="1:53" s="544" customFormat="1" ht="12.75" customHeight="1">
      <c r="A705" s="670"/>
      <c r="B705" s="532"/>
      <c r="C705" s="939"/>
      <c r="D705" s="654"/>
      <c r="E705" s="2560"/>
      <c r="F705" s="2560"/>
      <c r="G705" s="2560"/>
      <c r="H705" s="2560"/>
      <c r="I705" s="2560"/>
      <c r="J705" s="2560"/>
      <c r="K705" s="2560"/>
      <c r="L705" s="2560"/>
      <c r="M705" s="2560"/>
      <c r="N705" s="2560"/>
      <c r="O705" s="2560"/>
      <c r="P705" s="2560"/>
      <c r="Q705" s="2560"/>
      <c r="R705" s="2560"/>
      <c r="S705" s="2560"/>
      <c r="T705" s="2560"/>
      <c r="U705" s="2560"/>
      <c r="V705" s="2560"/>
      <c r="W705" s="2560"/>
      <c r="X705" s="2560"/>
      <c r="Y705" s="2560"/>
      <c r="Z705" s="2560"/>
      <c r="AA705" s="2560"/>
      <c r="AB705" s="2560"/>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90" t="s">
        <v>2083</v>
      </c>
      <c r="F707" s="2490"/>
      <c r="G707" s="2490"/>
      <c r="H707" s="2490"/>
      <c r="I707" s="2490"/>
      <c r="J707" s="2490"/>
      <c r="K707" s="2490"/>
      <c r="L707" s="2490"/>
      <c r="M707" s="2490"/>
      <c r="N707" s="2490"/>
      <c r="O707" s="2490"/>
      <c r="P707" s="2490"/>
      <c r="Q707" s="2490"/>
      <c r="R707" s="2490"/>
      <c r="S707" s="2490"/>
      <c r="T707" s="2490"/>
      <c r="U707" s="2490"/>
      <c r="V707" s="2490"/>
      <c r="W707" s="2490"/>
      <c r="X707" s="2490"/>
      <c r="Y707" s="2490"/>
      <c r="Z707" s="2490"/>
      <c r="AA707" s="2490"/>
      <c r="AB707" s="2490"/>
      <c r="AC707" s="532"/>
      <c r="AD707" s="532"/>
      <c r="AE707" s="532"/>
      <c r="AF707" s="2473" t="s">
        <v>1345</v>
      </c>
      <c r="AG707" s="2473"/>
      <c r="AH707" s="2473"/>
      <c r="AI707" s="2473"/>
      <c r="AJ707" s="2473"/>
      <c r="AK707" s="2473"/>
      <c r="AL707" s="2473"/>
      <c r="AN707" s="590"/>
      <c r="AW707" s="22" t="s">
        <v>2136</v>
      </c>
      <c r="AX707" s="544">
        <f>AX704+AX705+AX706</f>
        <v>0</v>
      </c>
    </row>
    <row r="708" spans="1:53" s="544" customFormat="1" ht="12.75" customHeight="1">
      <c r="B708" s="532"/>
      <c r="C708" s="931"/>
      <c r="D708" s="654"/>
      <c r="E708" s="2490"/>
      <c r="F708" s="2490"/>
      <c r="G708" s="2490"/>
      <c r="H708" s="2490"/>
      <c r="I708" s="2490"/>
      <c r="J708" s="2490"/>
      <c r="K708" s="2490"/>
      <c r="L708" s="2490"/>
      <c r="M708" s="2490"/>
      <c r="N708" s="2490"/>
      <c r="O708" s="2490"/>
      <c r="P708" s="2490"/>
      <c r="Q708" s="2490"/>
      <c r="R708" s="2490"/>
      <c r="S708" s="2490"/>
      <c r="T708" s="2490"/>
      <c r="U708" s="2490"/>
      <c r="V708" s="2490"/>
      <c r="W708" s="2490"/>
      <c r="X708" s="2490"/>
      <c r="Y708" s="2490"/>
      <c r="Z708" s="2490"/>
      <c r="AA708" s="2490"/>
      <c r="AB708" s="2490"/>
      <c r="AC708" s="532"/>
      <c r="AD708" s="532"/>
      <c r="AE708" s="609"/>
      <c r="AF708" s="532"/>
      <c r="AG708" s="532"/>
      <c r="AH708" s="532"/>
      <c r="AI708" s="532"/>
      <c r="AJ708" s="532"/>
      <c r="AK708" s="532"/>
      <c r="AL708" s="532"/>
      <c r="AN708" s="590"/>
      <c r="AO708" s="2559" t="b">
        <f>IF(Application!D211="Special Needs",IF(AY708&gt;=0.25,TRUE,FALSE),IF(AX708&gt;=0.25,TRUE,FALSE))</f>
        <v>0</v>
      </c>
      <c r="AP708" s="2559"/>
      <c r="AW708" s="22" t="s">
        <v>2137</v>
      </c>
      <c r="AX708" s="544">
        <f>IFERROR(AX707/AX703,0)</f>
        <v>0</v>
      </c>
      <c r="AY708" s="544">
        <f>IFERROR(AX707/(AX703-AX702),0)</f>
        <v>0</v>
      </c>
    </row>
    <row r="709" spans="1:53" s="544" customFormat="1" ht="12.75" customHeight="1">
      <c r="B709" s="532"/>
      <c r="C709" s="931"/>
      <c r="E709" s="2490"/>
      <c r="F709" s="2490"/>
      <c r="G709" s="2490"/>
      <c r="H709" s="2490"/>
      <c r="I709" s="2490"/>
      <c r="J709" s="2490"/>
      <c r="K709" s="2490"/>
      <c r="L709" s="2490"/>
      <c r="M709" s="2490"/>
      <c r="N709" s="2490"/>
      <c r="O709" s="2490"/>
      <c r="P709" s="2490"/>
      <c r="Q709" s="2490"/>
      <c r="R709" s="2490"/>
      <c r="S709" s="2490"/>
      <c r="T709" s="2490"/>
      <c r="U709" s="2490"/>
      <c r="V709" s="2490"/>
      <c r="W709" s="2490"/>
      <c r="X709" s="2490"/>
      <c r="Y709" s="2490"/>
      <c r="Z709" s="2490"/>
      <c r="AA709" s="2490"/>
      <c r="AB709" s="249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0"/>
      <c r="F710" s="2490"/>
      <c r="G710" s="2490"/>
      <c r="H710" s="2490"/>
      <c r="I710" s="2490"/>
      <c r="J710" s="2490"/>
      <c r="K710" s="2490"/>
      <c r="L710" s="2490"/>
      <c r="M710" s="2490"/>
      <c r="N710" s="2490"/>
      <c r="O710" s="2490"/>
      <c r="P710" s="2490"/>
      <c r="Q710" s="2490"/>
      <c r="R710" s="2490"/>
      <c r="S710" s="2490"/>
      <c r="T710" s="2490"/>
      <c r="U710" s="2490"/>
      <c r="V710" s="2490"/>
      <c r="W710" s="2490"/>
      <c r="X710" s="2490"/>
      <c r="Y710" s="2490"/>
      <c r="Z710" s="2490"/>
      <c r="AA710" s="2490"/>
      <c r="AB710" s="249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90" t="s">
        <v>2084</v>
      </c>
      <c r="F712" s="2490"/>
      <c r="G712" s="2490"/>
      <c r="H712" s="2490"/>
      <c r="I712" s="2490"/>
      <c r="J712" s="2490"/>
      <c r="K712" s="2490"/>
      <c r="L712" s="2490"/>
      <c r="M712" s="2490"/>
      <c r="N712" s="2490"/>
      <c r="O712" s="2490"/>
      <c r="P712" s="2490"/>
      <c r="Q712" s="2490"/>
      <c r="R712" s="2490"/>
      <c r="S712" s="2490"/>
      <c r="T712" s="2490"/>
      <c r="U712" s="2490"/>
      <c r="V712" s="2490"/>
      <c r="W712" s="2490"/>
      <c r="X712" s="2490"/>
      <c r="Y712" s="2490"/>
      <c r="Z712" s="2490"/>
      <c r="AA712" s="2490"/>
      <c r="AB712" s="2490"/>
      <c r="AC712" s="532"/>
      <c r="AD712" s="532"/>
      <c r="AE712" s="532"/>
      <c r="AF712" s="2473" t="s">
        <v>1399</v>
      </c>
      <c r="AG712" s="2473"/>
      <c r="AH712" s="2473"/>
      <c r="AI712" s="2473"/>
      <c r="AJ712" s="2473"/>
      <c r="AK712" s="2473"/>
      <c r="AL712" s="2473"/>
      <c r="AN712" s="590"/>
      <c r="AO712" s="604" t="s">
        <v>509</v>
      </c>
      <c r="AP712" s="544">
        <v>1</v>
      </c>
    </row>
    <row r="713" spans="1:53" s="544" customFormat="1" ht="12" customHeight="1">
      <c r="B713" s="532"/>
      <c r="C713" s="922"/>
      <c r="E713" s="2490"/>
      <c r="F713" s="2490"/>
      <c r="G713" s="2490"/>
      <c r="H713" s="2490"/>
      <c r="I713" s="2490"/>
      <c r="J713" s="2490"/>
      <c r="K713" s="2490"/>
      <c r="L713" s="2490"/>
      <c r="M713" s="2490"/>
      <c r="N713" s="2490"/>
      <c r="O713" s="2490"/>
      <c r="P713" s="2490"/>
      <c r="Q713" s="2490"/>
      <c r="R713" s="2490"/>
      <c r="S713" s="2490"/>
      <c r="T713" s="2490"/>
      <c r="U713" s="2490"/>
      <c r="V713" s="2490"/>
      <c r="W713" s="2490"/>
      <c r="X713" s="2490"/>
      <c r="Y713" s="2490"/>
      <c r="Z713" s="2490"/>
      <c r="AA713" s="2490"/>
      <c r="AB713" s="2490"/>
      <c r="AC713" s="532"/>
      <c r="AD713" s="532"/>
      <c r="AE713" s="609"/>
      <c r="AF713" s="532"/>
      <c r="AG713" s="532"/>
      <c r="AH713" s="532"/>
      <c r="AI713" s="532"/>
      <c r="AJ713" s="532"/>
      <c r="AK713" s="532"/>
      <c r="AL713" s="532"/>
      <c r="AN713" s="590"/>
    </row>
    <row r="714" spans="1:53" s="544" customFormat="1" ht="12" customHeight="1">
      <c r="B714" s="532"/>
      <c r="C714" s="922"/>
      <c r="D714" s="532"/>
      <c r="E714" s="2490"/>
      <c r="F714" s="2490"/>
      <c r="G714" s="2490"/>
      <c r="H714" s="2490"/>
      <c r="I714" s="2490"/>
      <c r="J714" s="2490"/>
      <c r="K714" s="2490"/>
      <c r="L714" s="2490"/>
      <c r="M714" s="2490"/>
      <c r="N714" s="2490"/>
      <c r="O714" s="2490"/>
      <c r="P714" s="2490"/>
      <c r="Q714" s="2490"/>
      <c r="R714" s="2490"/>
      <c r="S714" s="2490"/>
      <c r="T714" s="2490"/>
      <c r="U714" s="2490"/>
      <c r="V714" s="2490"/>
      <c r="W714" s="2490"/>
      <c r="X714" s="2490"/>
      <c r="Y714" s="2490"/>
      <c r="Z714" s="2490"/>
      <c r="AA714" s="2490"/>
      <c r="AB714" s="2490"/>
      <c r="AC714" s="532"/>
      <c r="AD714" s="532"/>
      <c r="AE714" s="609"/>
      <c r="AF714" s="532"/>
      <c r="AG714" s="532"/>
      <c r="AH714" s="532"/>
      <c r="AI714" s="532"/>
      <c r="AJ714" s="532"/>
      <c r="AK714" s="532"/>
      <c r="AL714" s="532"/>
      <c r="AN714" s="590"/>
    </row>
    <row r="715" spans="1:53" s="544" customFormat="1" ht="12" customHeight="1">
      <c r="B715" s="532"/>
      <c r="C715" s="922"/>
      <c r="D715" s="532"/>
      <c r="E715" s="2490"/>
      <c r="F715" s="2490"/>
      <c r="G715" s="2490"/>
      <c r="H715" s="2490"/>
      <c r="I715" s="2490"/>
      <c r="J715" s="2490"/>
      <c r="K715" s="2490"/>
      <c r="L715" s="2490"/>
      <c r="M715" s="2490"/>
      <c r="N715" s="2490"/>
      <c r="O715" s="2490"/>
      <c r="P715" s="2490"/>
      <c r="Q715" s="2490"/>
      <c r="R715" s="2490"/>
      <c r="S715" s="2490"/>
      <c r="T715" s="2490"/>
      <c r="U715" s="2490"/>
      <c r="V715" s="2490"/>
      <c r="W715" s="2490"/>
      <c r="X715" s="2490"/>
      <c r="Y715" s="2490"/>
      <c r="Z715" s="2490"/>
      <c r="AA715" s="2490"/>
      <c r="AB715" s="2490"/>
      <c r="AC715" s="532"/>
      <c r="AD715" s="532"/>
      <c r="AE715" s="609"/>
      <c r="AF715" s="532"/>
      <c r="AG715" s="532"/>
      <c r="AH715" s="532"/>
      <c r="AI715" s="532"/>
      <c r="AJ715" s="532"/>
      <c r="AK715" s="532"/>
      <c r="AL715" s="532"/>
      <c r="AN715" s="590"/>
    </row>
    <row r="716" spans="1:53" s="563" customFormat="1" ht="12.9" customHeight="1">
      <c r="A716" s="544"/>
      <c r="B716" s="532"/>
      <c r="C716" s="922"/>
      <c r="D716" s="532"/>
      <c r="E716" s="2490"/>
      <c r="F716" s="2490"/>
      <c r="G716" s="2490"/>
      <c r="H716" s="2490"/>
      <c r="I716" s="2490"/>
      <c r="J716" s="2490"/>
      <c r="K716" s="2490"/>
      <c r="L716" s="2490"/>
      <c r="M716" s="2490"/>
      <c r="N716" s="2490"/>
      <c r="O716" s="2490"/>
      <c r="P716" s="2490"/>
      <c r="Q716" s="2490"/>
      <c r="R716" s="2490"/>
      <c r="S716" s="2490"/>
      <c r="T716" s="2490"/>
      <c r="U716" s="2490"/>
      <c r="V716" s="2490"/>
      <c r="W716" s="2490"/>
      <c r="X716" s="2490"/>
      <c r="Y716" s="2490"/>
      <c r="Z716" s="2490"/>
      <c r="AA716" s="2490"/>
      <c r="AB716" s="249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291" t="s">
        <v>2633</v>
      </c>
      <c r="F718" s="1291"/>
      <c r="G718" s="1291"/>
      <c r="H718" s="1291"/>
      <c r="I718" s="1291"/>
      <c r="J718" s="1291"/>
      <c r="K718" s="1291"/>
      <c r="L718" s="1291"/>
      <c r="M718" s="1291"/>
      <c r="N718" s="1291"/>
      <c r="O718" s="1291"/>
      <c r="P718" s="1291"/>
      <c r="Q718" s="1291"/>
      <c r="R718" s="1291"/>
      <c r="S718" s="1291"/>
      <c r="T718" s="1291"/>
      <c r="U718" s="1291"/>
      <c r="V718" s="1291"/>
      <c r="W718" s="1291"/>
      <c r="X718" s="1291"/>
      <c r="Y718" s="1291"/>
      <c r="Z718" s="1291"/>
      <c r="AA718" s="1291"/>
      <c r="AB718" s="1291"/>
      <c r="AC718" s="22"/>
      <c r="AD718" s="3"/>
      <c r="AE718" s="22"/>
      <c r="AF718" s="1479" t="s">
        <v>1399</v>
      </c>
      <c r="AG718" s="1479"/>
      <c r="AH718" s="1479"/>
      <c r="AI718" s="1479"/>
      <c r="AJ718" s="1479"/>
      <c r="AK718" s="1479"/>
      <c r="AL718" s="1479"/>
      <c r="AM718" s="22"/>
      <c r="AN718" s="114"/>
      <c r="AO718" s="604" t="s">
        <v>509</v>
      </c>
      <c r="AP718" s="544">
        <f>3*$AO$708</f>
        <v>0</v>
      </c>
      <c r="AY718" s="14"/>
      <c r="AZ718" s="14"/>
      <c r="BA718" s="14"/>
    </row>
    <row r="719" spans="1:53" customFormat="1" ht="12.75" customHeight="1">
      <c r="A719" s="22"/>
      <c r="B719" s="3"/>
      <c r="C719" s="36"/>
      <c r="D719" s="17"/>
      <c r="E719" s="1291"/>
      <c r="F719" s="1291"/>
      <c r="G719" s="1291"/>
      <c r="H719" s="1291"/>
      <c r="I719" s="1291"/>
      <c r="J719" s="1291"/>
      <c r="K719" s="1291"/>
      <c r="L719" s="1291"/>
      <c r="M719" s="1291"/>
      <c r="N719" s="1291"/>
      <c r="O719" s="1291"/>
      <c r="P719" s="1291"/>
      <c r="Q719" s="1291"/>
      <c r="R719" s="1291"/>
      <c r="S719" s="1291"/>
      <c r="T719" s="1291"/>
      <c r="U719" s="1291"/>
      <c r="V719" s="1291"/>
      <c r="W719" s="1291"/>
      <c r="X719" s="1291"/>
      <c r="Y719" s="1291"/>
      <c r="Z719" s="1291"/>
      <c r="AA719" s="1291"/>
      <c r="AB719" s="1291"/>
      <c r="AC719" s="22"/>
      <c r="AD719" s="3"/>
      <c r="AE719" s="22"/>
      <c r="AF719" s="1479"/>
      <c r="AG719" s="1479"/>
      <c r="AH719" s="1479"/>
      <c r="AI719" s="1479"/>
      <c r="AJ719" s="1479"/>
      <c r="AK719" s="1479"/>
      <c r="AL719" s="1479"/>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90" t="s">
        <v>1681</v>
      </c>
      <c r="F721" s="2490"/>
      <c r="G721" s="2490"/>
      <c r="H721" s="2490"/>
      <c r="I721" s="2490"/>
      <c r="J721" s="2490"/>
      <c r="K721" s="2490"/>
      <c r="L721" s="2490"/>
      <c r="M721" s="2490"/>
      <c r="N721" s="2490"/>
      <c r="O721" s="2490"/>
      <c r="P721" s="2490"/>
      <c r="Q721" s="2490"/>
      <c r="R721" s="2490"/>
      <c r="S721" s="2490"/>
      <c r="T721" s="2490"/>
      <c r="U721" s="2490"/>
      <c r="V721" s="2490"/>
      <c r="W721" s="2490"/>
      <c r="X721" s="2490"/>
      <c r="Y721" s="2490"/>
      <c r="Z721" s="2490"/>
      <c r="AA721" s="2490"/>
      <c r="AB721" s="249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0"/>
      <c r="F722" s="2490"/>
      <c r="G722" s="2490"/>
      <c r="H722" s="2490"/>
      <c r="I722" s="2490"/>
      <c r="J722" s="2490"/>
      <c r="K722" s="2490"/>
      <c r="L722" s="2490"/>
      <c r="M722" s="2490"/>
      <c r="N722" s="2490"/>
      <c r="O722" s="2490"/>
      <c r="P722" s="2490"/>
      <c r="Q722" s="2490"/>
      <c r="R722" s="2490"/>
      <c r="S722" s="2490"/>
      <c r="T722" s="2490"/>
      <c r="U722" s="2490"/>
      <c r="V722" s="2490"/>
      <c r="W722" s="2490"/>
      <c r="X722" s="2490"/>
      <c r="Y722" s="2490"/>
      <c r="Z722" s="2490"/>
      <c r="AA722" s="2490"/>
      <c r="AB722" s="249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0"/>
      <c r="F723" s="2490"/>
      <c r="G723" s="2490"/>
      <c r="H723" s="2490"/>
      <c r="I723" s="2490"/>
      <c r="J723" s="2490"/>
      <c r="K723" s="2490"/>
      <c r="L723" s="2490"/>
      <c r="M723" s="2490"/>
      <c r="N723" s="2490"/>
      <c r="O723" s="2490"/>
      <c r="P723" s="2490"/>
      <c r="Q723" s="2490"/>
      <c r="R723" s="2490"/>
      <c r="S723" s="2490"/>
      <c r="T723" s="2490"/>
      <c r="U723" s="2490"/>
      <c r="V723" s="2490"/>
      <c r="W723" s="2490"/>
      <c r="X723" s="2490"/>
      <c r="Y723" s="2490"/>
      <c r="Z723" s="2490"/>
      <c r="AA723" s="2490"/>
      <c r="AB723" s="249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3" t="s">
        <v>687</v>
      </c>
      <c r="I725" s="255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8">
        <f>VLOOKUP($H$725,$AO$716:$AP$720,2,FALSE)</f>
        <v>3</v>
      </c>
      <c r="AK727" s="2500"/>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61" t="s">
        <v>1683</v>
      </c>
      <c r="F731" s="2561"/>
      <c r="G731" s="2561"/>
      <c r="H731" s="2561"/>
      <c r="I731" s="2561"/>
      <c r="J731" s="2561"/>
      <c r="K731" s="2561"/>
      <c r="L731" s="2561"/>
      <c r="M731" s="2561"/>
      <c r="N731" s="2561"/>
      <c r="O731" s="2561"/>
      <c r="P731" s="2561"/>
      <c r="Q731" s="2561"/>
      <c r="R731" s="2561"/>
      <c r="S731" s="2561"/>
      <c r="T731" s="2561"/>
      <c r="U731" s="2561"/>
      <c r="V731" s="2561"/>
      <c r="W731" s="2561"/>
      <c r="X731" s="2561"/>
      <c r="Y731" s="2561"/>
      <c r="Z731" s="2561"/>
      <c r="AA731" s="2561"/>
      <c r="AB731" s="2561"/>
      <c r="AC731" s="532"/>
      <c r="AD731" s="532"/>
      <c r="AE731" s="532"/>
      <c r="AF731" s="2473" t="s">
        <v>1345</v>
      </c>
      <c r="AG731" s="2473"/>
      <c r="AH731" s="2473"/>
      <c r="AI731" s="2473"/>
      <c r="AJ731" s="2473"/>
      <c r="AK731" s="2473"/>
      <c r="AL731" s="2473"/>
      <c r="AM731" s="544"/>
      <c r="AN731" s="675"/>
      <c r="AP731" s="563" t="s">
        <v>1423</v>
      </c>
    </row>
    <row r="732" spans="1:43" s="563" customFormat="1" ht="11.85" customHeight="1">
      <c r="A732" s="544"/>
      <c r="B732" s="532"/>
      <c r="C732" s="924"/>
      <c r="D732" s="654"/>
      <c r="E732" s="2561"/>
      <c r="F732" s="2561"/>
      <c r="G732" s="2561"/>
      <c r="H732" s="2561"/>
      <c r="I732" s="2561"/>
      <c r="J732" s="2561"/>
      <c r="K732" s="2561"/>
      <c r="L732" s="2561"/>
      <c r="M732" s="2561"/>
      <c r="N732" s="2561"/>
      <c r="O732" s="2561"/>
      <c r="P732" s="2561"/>
      <c r="Q732" s="2561"/>
      <c r="R732" s="2561"/>
      <c r="S732" s="2561"/>
      <c r="T732" s="2561"/>
      <c r="U732" s="2561"/>
      <c r="V732" s="2561"/>
      <c r="W732" s="2561"/>
      <c r="X732" s="2561"/>
      <c r="Y732" s="2561"/>
      <c r="Z732" s="2561"/>
      <c r="AA732" s="2561"/>
      <c r="AB732" s="2561"/>
      <c r="AC732" s="532"/>
      <c r="AD732" s="532"/>
      <c r="AE732" s="532"/>
      <c r="AF732" s="532"/>
      <c r="AG732" s="532"/>
      <c r="AH732" s="532"/>
      <c r="AI732" s="532"/>
      <c r="AJ732" s="532"/>
      <c r="AK732" s="532"/>
      <c r="AL732" s="532"/>
      <c r="AM732" s="544"/>
      <c r="AN732" s="675"/>
      <c r="AP732" s="563" t="s">
        <v>1424</v>
      </c>
    </row>
    <row r="733" spans="1:43" s="563" customFormat="1" ht="13.95" customHeight="1">
      <c r="A733" s="544"/>
      <c r="B733" s="603"/>
      <c r="C733" s="922"/>
      <c r="D733" s="654"/>
      <c r="E733" s="2561"/>
      <c r="F733" s="2561"/>
      <c r="G733" s="2561"/>
      <c r="H733" s="2561"/>
      <c r="I733" s="2561"/>
      <c r="J733" s="2561"/>
      <c r="K733" s="2561"/>
      <c r="L733" s="2561"/>
      <c r="M733" s="2561"/>
      <c r="N733" s="2561"/>
      <c r="O733" s="2561"/>
      <c r="P733" s="2561"/>
      <c r="Q733" s="2561"/>
      <c r="R733" s="2561"/>
      <c r="S733" s="2561"/>
      <c r="T733" s="2561"/>
      <c r="U733" s="2561"/>
      <c r="V733" s="2561"/>
      <c r="W733" s="2561"/>
      <c r="X733" s="2561"/>
      <c r="Y733" s="2561"/>
      <c r="Z733" s="2561"/>
      <c r="AA733" s="2561"/>
      <c r="AB733" s="2561"/>
      <c r="AC733" s="532"/>
      <c r="AD733" s="532"/>
      <c r="AE733" s="609"/>
      <c r="AF733" s="532"/>
      <c r="AG733" s="532"/>
      <c r="AH733" s="532"/>
      <c r="AI733" s="532"/>
      <c r="AJ733" s="532"/>
      <c r="AK733" s="532"/>
      <c r="AL733" s="532"/>
      <c r="AM733" s="544"/>
      <c r="AN733" s="675"/>
      <c r="AP733" s="563" t="s">
        <v>1425</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5" customHeight="1">
      <c r="A735" s="544"/>
      <c r="B735" s="532"/>
      <c r="C735" s="922"/>
      <c r="D735" s="654" t="s">
        <v>509</v>
      </c>
      <c r="E735" s="2562" t="s">
        <v>1426</v>
      </c>
      <c r="F735" s="2562"/>
      <c r="G735" s="2562"/>
      <c r="H735" s="2562"/>
      <c r="I735" s="2562"/>
      <c r="J735" s="2562"/>
      <c r="K735" s="2562"/>
      <c r="L735" s="2562"/>
      <c r="M735" s="2562"/>
      <c r="N735" s="2562"/>
      <c r="O735" s="2562"/>
      <c r="P735" s="2562"/>
      <c r="Q735" s="2562"/>
      <c r="R735" s="2562"/>
      <c r="S735" s="2562"/>
      <c r="T735" s="2562"/>
      <c r="U735" s="2562"/>
      <c r="V735" s="2562"/>
      <c r="W735" s="2562"/>
      <c r="X735" s="2562"/>
      <c r="Y735" s="2562"/>
      <c r="Z735" s="2562"/>
      <c r="AA735" s="2562"/>
      <c r="AB735" s="2562"/>
      <c r="AC735" s="532"/>
      <c r="AD735" s="532"/>
      <c r="AE735" s="532"/>
      <c r="AF735" s="2473" t="s">
        <v>1399</v>
      </c>
      <c r="AG735" s="2473"/>
      <c r="AH735" s="2473"/>
      <c r="AI735" s="2473"/>
      <c r="AJ735" s="2473"/>
      <c r="AK735" s="2473"/>
      <c r="AL735" s="2473"/>
      <c r="AM735" s="544"/>
      <c r="AN735" s="676"/>
    </row>
    <row r="736" spans="1:43" s="563" customFormat="1" ht="12.75" customHeight="1">
      <c r="A736" s="544"/>
      <c r="B736" s="532"/>
      <c r="C736" s="924"/>
      <c r="D736" s="532"/>
      <c r="E736" s="2562"/>
      <c r="F736" s="2562"/>
      <c r="G736" s="2562"/>
      <c r="H736" s="2562"/>
      <c r="I736" s="2562"/>
      <c r="J736" s="2562"/>
      <c r="K736" s="2562"/>
      <c r="L736" s="2562"/>
      <c r="M736" s="2562"/>
      <c r="N736" s="2562"/>
      <c r="O736" s="2562"/>
      <c r="P736" s="2562"/>
      <c r="Q736" s="2562"/>
      <c r="R736" s="2562"/>
      <c r="S736" s="2562"/>
      <c r="T736" s="2562"/>
      <c r="U736" s="2562"/>
      <c r="V736" s="2562"/>
      <c r="W736" s="2562"/>
      <c r="X736" s="2562"/>
      <c r="Y736" s="2562"/>
      <c r="Z736" s="2562"/>
      <c r="AA736" s="2562"/>
      <c r="AB736" s="2562"/>
      <c r="AC736" s="532"/>
      <c r="AD736" s="532"/>
      <c r="AE736" s="532"/>
      <c r="AF736" s="532"/>
      <c r="AG736" s="532"/>
      <c r="AH736" s="532"/>
      <c r="AI736" s="532"/>
      <c r="AJ736" s="532"/>
      <c r="AK736" s="532"/>
      <c r="AL736" s="532"/>
      <c r="AM736" s="544"/>
      <c r="AN736" s="675"/>
      <c r="AP736" s="544" t="s">
        <v>591</v>
      </c>
      <c r="AQ736" s="664">
        <v>0</v>
      </c>
    </row>
    <row r="737" spans="1:81" s="563" customFormat="1" ht="13.95" customHeight="1">
      <c r="A737" s="544"/>
      <c r="B737" s="532"/>
      <c r="C737" s="924"/>
      <c r="D737" s="532"/>
      <c r="E737" s="2562"/>
      <c r="F737" s="2562"/>
      <c r="G737" s="2562"/>
      <c r="H737" s="2562"/>
      <c r="I737" s="2562"/>
      <c r="J737" s="2562"/>
      <c r="K737" s="2562"/>
      <c r="L737" s="2562"/>
      <c r="M737" s="2562"/>
      <c r="N737" s="2562"/>
      <c r="O737" s="2562"/>
      <c r="P737" s="2562"/>
      <c r="Q737" s="2562"/>
      <c r="R737" s="2562"/>
      <c r="S737" s="2562"/>
      <c r="T737" s="2562"/>
      <c r="U737" s="2562"/>
      <c r="V737" s="2562"/>
      <c r="W737" s="2562"/>
      <c r="X737" s="2562"/>
      <c r="Y737" s="2562"/>
      <c r="Z737" s="2562"/>
      <c r="AA737" s="2562"/>
      <c r="AB737" s="2562"/>
      <c r="AC737" s="532"/>
      <c r="AD737" s="532"/>
      <c r="AE737" s="532"/>
      <c r="AF737" s="532"/>
      <c r="AG737" s="532"/>
      <c r="AH737" s="532"/>
      <c r="AI737" s="532"/>
      <c r="AJ737" s="532"/>
      <c r="AK737" s="532"/>
      <c r="AL737" s="532"/>
      <c r="AM737" s="544"/>
      <c r="AN737" s="675"/>
      <c r="AP737" s="604" t="s">
        <v>687</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5" customHeight="1">
      <c r="A739" s="544"/>
      <c r="B739" s="532"/>
      <c r="C739" s="924"/>
      <c r="D739" s="532" t="s">
        <v>1391</v>
      </c>
      <c r="E739" s="927"/>
      <c r="F739" s="927"/>
      <c r="G739" s="927"/>
      <c r="H739" s="2553" t="s">
        <v>591</v>
      </c>
      <c r="I739" s="255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8">
        <f>VLOOKUP($H$739,$AP$736:$AQ$738,2,FALSE)</f>
        <v>0</v>
      </c>
      <c r="AK741" s="2500"/>
      <c r="AL741" s="588"/>
      <c r="AM741" s="544"/>
      <c r="AN741" s="675"/>
      <c r="AP741" s="2498"/>
      <c r="AQ741" s="250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90" t="s">
        <v>1684</v>
      </c>
      <c r="F745" s="2490"/>
      <c r="G745" s="2490"/>
      <c r="H745" s="2490"/>
      <c r="I745" s="2490"/>
      <c r="J745" s="2490"/>
      <c r="K745" s="2490"/>
      <c r="L745" s="2490"/>
      <c r="M745" s="2490"/>
      <c r="N745" s="2490"/>
      <c r="O745" s="2490"/>
      <c r="P745" s="2490"/>
      <c r="Q745" s="2490"/>
      <c r="R745" s="2490"/>
      <c r="S745" s="2490"/>
      <c r="T745" s="2490"/>
      <c r="U745" s="2490"/>
      <c r="V745" s="2490"/>
      <c r="W745" s="2490"/>
      <c r="X745" s="2490"/>
      <c r="Y745" s="2490"/>
      <c r="Z745" s="2490"/>
      <c r="AA745" s="2490"/>
      <c r="AB745" s="2490"/>
      <c r="AC745" s="532"/>
      <c r="AD745" s="532"/>
      <c r="AE745" s="532"/>
      <c r="AF745" s="2473" t="s">
        <v>1345</v>
      </c>
      <c r="AG745" s="2473"/>
      <c r="AH745" s="2473"/>
      <c r="AI745" s="2473"/>
      <c r="AJ745" s="2473"/>
      <c r="AK745" s="2473"/>
      <c r="AL745" s="2473"/>
      <c r="AM745" s="544"/>
      <c r="AN745" s="675"/>
      <c r="AT745" s="14"/>
      <c r="AU745" s="14"/>
      <c r="AV745" s="14"/>
      <c r="AW745" s="14"/>
      <c r="AX745" s="14"/>
      <c r="AY745" s="14"/>
      <c r="AZ745" s="14"/>
    </row>
    <row r="746" spans="1:81" s="563" customFormat="1">
      <c r="A746" s="544"/>
      <c r="B746" s="532"/>
      <c r="C746" s="924"/>
      <c r="D746" s="654"/>
      <c r="E746" s="2490"/>
      <c r="F746" s="2490"/>
      <c r="G746" s="2490"/>
      <c r="H746" s="2490"/>
      <c r="I746" s="2490"/>
      <c r="J746" s="2490"/>
      <c r="K746" s="2490"/>
      <c r="L746" s="2490"/>
      <c r="M746" s="2490"/>
      <c r="N746" s="2490"/>
      <c r="O746" s="2490"/>
      <c r="P746" s="2490"/>
      <c r="Q746" s="2490"/>
      <c r="R746" s="2490"/>
      <c r="S746" s="2490"/>
      <c r="T746" s="2490"/>
      <c r="U746" s="2490"/>
      <c r="V746" s="2490"/>
      <c r="W746" s="2490"/>
      <c r="X746" s="2490"/>
      <c r="Y746" s="2490"/>
      <c r="Z746" s="2490"/>
      <c r="AA746" s="2490"/>
      <c r="AB746" s="249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90" t="s">
        <v>1430</v>
      </c>
      <c r="F748" s="2490"/>
      <c r="G748" s="2490"/>
      <c r="H748" s="2490"/>
      <c r="I748" s="2490"/>
      <c r="J748" s="2490"/>
      <c r="K748" s="2490"/>
      <c r="L748" s="2490"/>
      <c r="M748" s="2490"/>
      <c r="N748" s="2490"/>
      <c r="O748" s="2490"/>
      <c r="P748" s="2490"/>
      <c r="Q748" s="2490"/>
      <c r="R748" s="2490"/>
      <c r="S748" s="2490"/>
      <c r="T748" s="2490"/>
      <c r="U748" s="2490"/>
      <c r="V748" s="2490"/>
      <c r="W748" s="2490"/>
      <c r="X748" s="2490"/>
      <c r="Y748" s="2490"/>
      <c r="Z748" s="2490"/>
      <c r="AA748" s="2490"/>
      <c r="AB748" s="2490"/>
      <c r="AC748" s="532"/>
      <c r="AD748" s="532"/>
      <c r="AE748" s="532"/>
      <c r="AF748" s="2473" t="s">
        <v>1399</v>
      </c>
      <c r="AG748" s="2473"/>
      <c r="AH748" s="2473"/>
      <c r="AI748" s="2473"/>
      <c r="AJ748" s="2473"/>
      <c r="AK748" s="2473"/>
      <c r="AL748" s="2473"/>
      <c r="AM748" s="544"/>
      <c r="AN748" s="675"/>
      <c r="AT748" s="14"/>
      <c r="AU748" s="14"/>
      <c r="AV748" s="14"/>
      <c r="AW748" s="14"/>
      <c r="AX748" s="14"/>
      <c r="AY748" s="14"/>
      <c r="AZ748" s="14"/>
    </row>
    <row r="749" spans="1:81" s="563" customFormat="1">
      <c r="A749" s="544"/>
      <c r="B749" s="532"/>
      <c r="C749" s="924"/>
      <c r="D749" s="532"/>
      <c r="E749" s="2490"/>
      <c r="F749" s="2490"/>
      <c r="G749" s="2490"/>
      <c r="H749" s="2490"/>
      <c r="I749" s="2490"/>
      <c r="J749" s="2490"/>
      <c r="K749" s="2490"/>
      <c r="L749" s="2490"/>
      <c r="M749" s="2490"/>
      <c r="N749" s="2490"/>
      <c r="O749" s="2490"/>
      <c r="P749" s="2490"/>
      <c r="Q749" s="2490"/>
      <c r="R749" s="2490"/>
      <c r="S749" s="2490"/>
      <c r="T749" s="2490"/>
      <c r="U749" s="2490"/>
      <c r="V749" s="2490"/>
      <c r="W749" s="2490"/>
      <c r="X749" s="2490"/>
      <c r="Y749" s="2490"/>
      <c r="Z749" s="2490"/>
      <c r="AA749" s="2490"/>
      <c r="AB749" s="249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3" t="s">
        <v>591</v>
      </c>
      <c r="I751" s="255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8">
        <f>VLOOKUP($H$751,$AO$679:$AP$681,2,FALSE)</f>
        <v>0</v>
      </c>
      <c r="AK753" s="250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90" t="s">
        <v>1433</v>
      </c>
      <c r="F757" s="2490"/>
      <c r="G757" s="2490"/>
      <c r="H757" s="2490"/>
      <c r="I757" s="2490"/>
      <c r="J757" s="2490"/>
      <c r="K757" s="2490"/>
      <c r="L757" s="2490"/>
      <c r="M757" s="2490"/>
      <c r="N757" s="2490"/>
      <c r="O757" s="2490"/>
      <c r="P757" s="2490"/>
      <c r="Q757" s="2490"/>
      <c r="R757" s="2490"/>
      <c r="S757" s="2490"/>
      <c r="T757" s="2490"/>
      <c r="U757" s="2490"/>
      <c r="V757" s="2490"/>
      <c r="W757" s="2490"/>
      <c r="X757" s="2490"/>
      <c r="Y757" s="2490"/>
      <c r="Z757" s="2490"/>
      <c r="AA757" s="2490"/>
      <c r="AB757" s="2490"/>
      <c r="AC757" s="532"/>
      <c r="AD757" s="532"/>
      <c r="AE757" s="532"/>
      <c r="AF757" s="2473" t="s">
        <v>1345</v>
      </c>
      <c r="AG757" s="2473"/>
      <c r="AH757" s="2473"/>
      <c r="AI757" s="2473"/>
      <c r="AJ757" s="2473"/>
      <c r="AK757" s="2473"/>
      <c r="AL757" s="2473"/>
      <c r="AM757" s="544"/>
      <c r="AN757" s="675"/>
      <c r="AT757" s="14"/>
      <c r="AU757" s="14"/>
      <c r="AV757" s="14"/>
      <c r="AW757" s="14"/>
      <c r="AX757" s="14"/>
      <c r="AY757" s="14"/>
      <c r="AZ757" s="14"/>
    </row>
    <row r="758" spans="1:81" s="563" customFormat="1">
      <c r="A758" s="544"/>
      <c r="B758" s="532"/>
      <c r="C758" s="922"/>
      <c r="D758" s="654"/>
      <c r="E758" s="2490"/>
      <c r="F758" s="2490"/>
      <c r="G758" s="2490"/>
      <c r="H758" s="2490"/>
      <c r="I758" s="2490"/>
      <c r="J758" s="2490"/>
      <c r="K758" s="2490"/>
      <c r="L758" s="2490"/>
      <c r="M758" s="2490"/>
      <c r="N758" s="2490"/>
      <c r="O758" s="2490"/>
      <c r="P758" s="2490"/>
      <c r="Q758" s="2490"/>
      <c r="R758" s="2490"/>
      <c r="S758" s="2490"/>
      <c r="T758" s="2490"/>
      <c r="U758" s="2490"/>
      <c r="V758" s="2490"/>
      <c r="W758" s="2490"/>
      <c r="X758" s="2490"/>
      <c r="Y758" s="2490"/>
      <c r="Z758" s="2490"/>
      <c r="AA758" s="2490"/>
      <c r="AB758" s="249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0"/>
      <c r="F759" s="2490"/>
      <c r="G759" s="2490"/>
      <c r="H759" s="2490"/>
      <c r="I759" s="2490"/>
      <c r="J759" s="2490"/>
      <c r="K759" s="2490"/>
      <c r="L759" s="2490"/>
      <c r="M759" s="2490"/>
      <c r="N759" s="2490"/>
      <c r="O759" s="2490"/>
      <c r="P759" s="2490"/>
      <c r="Q759" s="2490"/>
      <c r="R759" s="2490"/>
      <c r="S759" s="2490"/>
      <c r="T759" s="2490"/>
      <c r="U759" s="2490"/>
      <c r="V759" s="2490"/>
      <c r="W759" s="2490"/>
      <c r="X759" s="2490"/>
      <c r="Y759" s="2490"/>
      <c r="Z759" s="2490"/>
      <c r="AA759" s="2490"/>
      <c r="AB759" s="249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0"/>
      <c r="F760" s="2490"/>
      <c r="G760" s="2490"/>
      <c r="H760" s="2490"/>
      <c r="I760" s="2490"/>
      <c r="J760" s="2490"/>
      <c r="K760" s="2490"/>
      <c r="L760" s="2490"/>
      <c r="M760" s="2490"/>
      <c r="N760" s="2490"/>
      <c r="O760" s="2490"/>
      <c r="P760" s="2490"/>
      <c r="Q760" s="2490"/>
      <c r="R760" s="2490"/>
      <c r="S760" s="2490"/>
      <c r="T760" s="2490"/>
      <c r="U760" s="2490"/>
      <c r="V760" s="2490"/>
      <c r="W760" s="2490"/>
      <c r="X760" s="2490"/>
      <c r="Y760" s="2490"/>
      <c r="Z760" s="2490"/>
      <c r="AA760" s="2490"/>
      <c r="AB760" s="249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90" t="s">
        <v>1434</v>
      </c>
      <c r="F762" s="2490"/>
      <c r="G762" s="2490"/>
      <c r="H762" s="2490"/>
      <c r="I762" s="2490"/>
      <c r="J762" s="2490"/>
      <c r="K762" s="2490"/>
      <c r="L762" s="2490"/>
      <c r="M762" s="2490"/>
      <c r="N762" s="2490"/>
      <c r="O762" s="2490"/>
      <c r="P762" s="2490"/>
      <c r="Q762" s="2490"/>
      <c r="R762" s="2490"/>
      <c r="S762" s="2490"/>
      <c r="T762" s="2490"/>
      <c r="U762" s="2490"/>
      <c r="V762" s="2490"/>
      <c r="W762" s="2490"/>
      <c r="X762" s="2490"/>
      <c r="Y762" s="2490"/>
      <c r="Z762" s="2490"/>
      <c r="AA762" s="2490"/>
      <c r="AB762" s="568"/>
      <c r="AC762" s="532"/>
      <c r="AD762" s="532"/>
      <c r="AE762" s="532"/>
      <c r="AF762" s="2473" t="s">
        <v>1399</v>
      </c>
      <c r="AG762" s="2473"/>
      <c r="AH762" s="2473"/>
      <c r="AI762" s="2473"/>
      <c r="AJ762" s="2473"/>
      <c r="AK762" s="2473"/>
      <c r="AL762" s="2473"/>
      <c r="AM762" s="544"/>
      <c r="AN762" s="675"/>
      <c r="AO762" s="30"/>
      <c r="AP762" s="14"/>
    </row>
    <row r="763" spans="1:81" s="563" customFormat="1">
      <c r="A763" s="544"/>
      <c r="B763" s="532"/>
      <c r="C763" s="922"/>
      <c r="D763" s="654"/>
      <c r="E763" s="2490"/>
      <c r="F763" s="2490"/>
      <c r="G763" s="2490"/>
      <c r="H763" s="2490"/>
      <c r="I763" s="2490"/>
      <c r="J763" s="2490"/>
      <c r="K763" s="2490"/>
      <c r="L763" s="2490"/>
      <c r="M763" s="2490"/>
      <c r="N763" s="2490"/>
      <c r="O763" s="2490"/>
      <c r="P763" s="2490"/>
      <c r="Q763" s="2490"/>
      <c r="R763" s="2490"/>
      <c r="S763" s="2490"/>
      <c r="T763" s="2490"/>
      <c r="U763" s="2490"/>
      <c r="V763" s="2490"/>
      <c r="W763" s="2490"/>
      <c r="X763" s="2490"/>
      <c r="Y763" s="2490"/>
      <c r="Z763" s="2490"/>
      <c r="AA763" s="249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0"/>
      <c r="F764" s="2490"/>
      <c r="G764" s="2490"/>
      <c r="H764" s="2490"/>
      <c r="I764" s="2490"/>
      <c r="J764" s="2490"/>
      <c r="K764" s="2490"/>
      <c r="L764" s="2490"/>
      <c r="M764" s="2490"/>
      <c r="N764" s="2490"/>
      <c r="O764" s="2490"/>
      <c r="P764" s="2490"/>
      <c r="Q764" s="2490"/>
      <c r="R764" s="2490"/>
      <c r="S764" s="2490"/>
      <c r="T764" s="2490"/>
      <c r="U764" s="2490"/>
      <c r="V764" s="2490"/>
      <c r="W764" s="2490"/>
      <c r="X764" s="2490"/>
      <c r="Y764" s="2490"/>
      <c r="Z764" s="2490"/>
      <c r="AA764" s="249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0"/>
      <c r="F765" s="2490"/>
      <c r="G765" s="2490"/>
      <c r="H765" s="2490"/>
      <c r="I765" s="2490"/>
      <c r="J765" s="2490"/>
      <c r="K765" s="2490"/>
      <c r="L765" s="2490"/>
      <c r="M765" s="2490"/>
      <c r="N765" s="2490"/>
      <c r="O765" s="2490"/>
      <c r="P765" s="2490"/>
      <c r="Q765" s="2490"/>
      <c r="R765" s="2490"/>
      <c r="S765" s="2490"/>
      <c r="T765" s="2490"/>
      <c r="U765" s="2490"/>
      <c r="V765" s="2490"/>
      <c r="W765" s="2490"/>
      <c r="X765" s="2490"/>
      <c r="Y765" s="2490"/>
      <c r="Z765" s="2490"/>
      <c r="AA765" s="249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3" t="s">
        <v>509</v>
      </c>
      <c r="I767" s="255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8">
        <f>VLOOKUP($H$767,$AO$693:$AP$695,2,FALSE)</f>
        <v>2</v>
      </c>
      <c r="AK769" s="250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90" t="s">
        <v>1436</v>
      </c>
      <c r="F773" s="2490"/>
      <c r="G773" s="2490"/>
      <c r="H773" s="2490"/>
      <c r="I773" s="2490"/>
      <c r="J773" s="2490"/>
      <c r="K773" s="2490"/>
      <c r="L773" s="2490"/>
      <c r="M773" s="2490"/>
      <c r="N773" s="2490"/>
      <c r="O773" s="2490"/>
      <c r="P773" s="2490"/>
      <c r="Q773" s="2490"/>
      <c r="R773" s="2490"/>
      <c r="S773" s="2490"/>
      <c r="T773" s="2490"/>
      <c r="U773" s="2490"/>
      <c r="V773" s="2490"/>
      <c r="W773" s="2490"/>
      <c r="X773" s="2490"/>
      <c r="Y773" s="2490"/>
      <c r="Z773" s="2490"/>
      <c r="AA773" s="2490"/>
      <c r="AB773" s="2490"/>
      <c r="AC773" s="532"/>
      <c r="AD773" s="532"/>
      <c r="AE773" s="532"/>
      <c r="AF773" s="2473" t="s">
        <v>1399</v>
      </c>
      <c r="AG773" s="2473"/>
      <c r="AH773" s="2473"/>
      <c r="AI773" s="2473"/>
      <c r="AJ773" s="2473"/>
      <c r="AK773" s="2473"/>
      <c r="AL773" s="2473"/>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0"/>
      <c r="F774" s="2490"/>
      <c r="G774" s="2490"/>
      <c r="H774" s="2490"/>
      <c r="I774" s="2490"/>
      <c r="J774" s="2490"/>
      <c r="K774" s="2490"/>
      <c r="L774" s="2490"/>
      <c r="M774" s="2490"/>
      <c r="N774" s="2490"/>
      <c r="O774" s="2490"/>
      <c r="P774" s="2490"/>
      <c r="Q774" s="2490"/>
      <c r="R774" s="2490"/>
      <c r="S774" s="2490"/>
      <c r="T774" s="2490"/>
      <c r="U774" s="2490"/>
      <c r="V774" s="2490"/>
      <c r="W774" s="2490"/>
      <c r="X774" s="2490"/>
      <c r="Y774" s="2490"/>
      <c r="Z774" s="2490"/>
      <c r="AA774" s="2490"/>
      <c r="AB774" s="249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90" t="s">
        <v>1437</v>
      </c>
      <c r="F776" s="2490"/>
      <c r="G776" s="2490"/>
      <c r="H776" s="2490"/>
      <c r="I776" s="2490"/>
      <c r="J776" s="2490"/>
      <c r="K776" s="2490"/>
      <c r="L776" s="2490"/>
      <c r="M776" s="2490"/>
      <c r="N776" s="2490"/>
      <c r="O776" s="2490"/>
      <c r="P776" s="2490"/>
      <c r="Q776" s="2490"/>
      <c r="R776" s="2490"/>
      <c r="S776" s="2490"/>
      <c r="T776" s="2490"/>
      <c r="U776" s="2490"/>
      <c r="V776" s="2490"/>
      <c r="W776" s="2490"/>
      <c r="X776" s="2490"/>
      <c r="Y776" s="2490"/>
      <c r="Z776" s="2490"/>
      <c r="AA776" s="2490"/>
      <c r="AB776" s="2490"/>
      <c r="AC776" s="532"/>
      <c r="AD776" s="532"/>
      <c r="AE776" s="532"/>
      <c r="AF776" s="2473" t="s">
        <v>1416</v>
      </c>
      <c r="AG776" s="2473"/>
      <c r="AH776" s="2473"/>
      <c r="AI776" s="2473"/>
      <c r="AJ776" s="2473"/>
      <c r="AK776" s="2473"/>
      <c r="AL776" s="2473"/>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0"/>
      <c r="F777" s="2490"/>
      <c r="G777" s="2490"/>
      <c r="H777" s="2490"/>
      <c r="I777" s="2490"/>
      <c r="J777" s="2490"/>
      <c r="K777" s="2490"/>
      <c r="L777" s="2490"/>
      <c r="M777" s="2490"/>
      <c r="N777" s="2490"/>
      <c r="O777" s="2490"/>
      <c r="P777" s="2490"/>
      <c r="Q777" s="2490"/>
      <c r="R777" s="2490"/>
      <c r="S777" s="2490"/>
      <c r="T777" s="2490"/>
      <c r="U777" s="2490"/>
      <c r="V777" s="2490"/>
      <c r="W777" s="2490"/>
      <c r="X777" s="2490"/>
      <c r="Y777" s="2490"/>
      <c r="Z777" s="2490"/>
      <c r="AA777" s="2490"/>
      <c r="AB777" s="249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3" t="s">
        <v>509</v>
      </c>
      <c r="I779" s="255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8">
        <f>VLOOKUP($H$779,$AO$710:$AP$712,2,FALSE)</f>
        <v>1</v>
      </c>
      <c r="AK781" s="250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687</v>
      </c>
      <c r="E785" s="2490" t="s">
        <v>1680</v>
      </c>
      <c r="F785" s="2490"/>
      <c r="G785" s="2490"/>
      <c r="H785" s="2490"/>
      <c r="I785" s="2490"/>
      <c r="J785" s="2490"/>
      <c r="K785" s="2490"/>
      <c r="L785" s="2490"/>
      <c r="M785" s="2490"/>
      <c r="N785" s="2490"/>
      <c r="O785" s="2490"/>
      <c r="P785" s="2490"/>
      <c r="Q785" s="2490"/>
      <c r="R785" s="2490"/>
      <c r="S785" s="2490"/>
      <c r="T785" s="2490"/>
      <c r="U785" s="2490"/>
      <c r="V785" s="2490"/>
      <c r="W785" s="2490"/>
      <c r="X785" s="2490"/>
      <c r="Y785" s="2490"/>
      <c r="Z785" s="2490"/>
      <c r="AA785" s="2490"/>
      <c r="AB785" s="2490"/>
      <c r="AC785" s="2490"/>
      <c r="AD785" s="2490"/>
      <c r="AE785" s="532"/>
      <c r="AF785" s="2473" t="s">
        <v>1399</v>
      </c>
      <c r="AG785" s="2473"/>
      <c r="AH785" s="2473"/>
      <c r="AI785" s="2473"/>
      <c r="AJ785" s="2473"/>
      <c r="AK785" s="2473"/>
      <c r="AL785" s="2473"/>
      <c r="AM785" s="606"/>
      <c r="AN785" s="675"/>
      <c r="AO785" s="544" t="s">
        <v>591</v>
      </c>
      <c r="AP785" s="664">
        <v>0</v>
      </c>
    </row>
    <row r="786" spans="1:81" s="563" customFormat="1" ht="13.65" customHeight="1">
      <c r="A786" s="544"/>
      <c r="B786" s="609"/>
      <c r="C786" s="931"/>
      <c r="D786" s="654"/>
      <c r="E786" s="2490"/>
      <c r="F786" s="2490"/>
      <c r="G786" s="2490"/>
      <c r="H786" s="2490"/>
      <c r="I786" s="2490"/>
      <c r="J786" s="2490"/>
      <c r="K786" s="2490"/>
      <c r="L786" s="2490"/>
      <c r="M786" s="2490"/>
      <c r="N786" s="2490"/>
      <c r="O786" s="2490"/>
      <c r="P786" s="2490"/>
      <c r="Q786" s="2490"/>
      <c r="R786" s="2490"/>
      <c r="S786" s="2490"/>
      <c r="T786" s="2490"/>
      <c r="U786" s="2490"/>
      <c r="V786" s="2490"/>
      <c r="W786" s="2490"/>
      <c r="X786" s="2490"/>
      <c r="Y786" s="2490"/>
      <c r="Z786" s="2490"/>
      <c r="AA786" s="2490"/>
      <c r="AB786" s="2490"/>
      <c r="AC786" s="2490"/>
      <c r="AD786" s="2490"/>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90"/>
      <c r="F787" s="2490"/>
      <c r="G787" s="2490"/>
      <c r="H787" s="2490"/>
      <c r="I787" s="2490"/>
      <c r="J787" s="2490"/>
      <c r="K787" s="2490"/>
      <c r="L787" s="2490"/>
      <c r="M787" s="2490"/>
      <c r="N787" s="2490"/>
      <c r="O787" s="2490"/>
      <c r="P787" s="2490"/>
      <c r="Q787" s="2490"/>
      <c r="R787" s="2490"/>
      <c r="S787" s="2490"/>
      <c r="T787" s="2490"/>
      <c r="U787" s="2490"/>
      <c r="V787" s="2490"/>
      <c r="W787" s="2490"/>
      <c r="X787" s="2490"/>
      <c r="Y787" s="2490"/>
      <c r="Z787" s="2490"/>
      <c r="AA787" s="2490"/>
      <c r="AB787" s="2490"/>
      <c r="AC787" s="2490"/>
      <c r="AD787" s="249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0"/>
      <c r="F788" s="2490"/>
      <c r="G788" s="2490"/>
      <c r="H788" s="2490"/>
      <c r="I788" s="2490"/>
      <c r="J788" s="2490"/>
      <c r="K788" s="2490"/>
      <c r="L788" s="2490"/>
      <c r="M788" s="2490"/>
      <c r="N788" s="2490"/>
      <c r="O788" s="2490"/>
      <c r="P788" s="2490"/>
      <c r="Q788" s="2490"/>
      <c r="R788" s="2490"/>
      <c r="S788" s="2490"/>
      <c r="T788" s="2490"/>
      <c r="U788" s="2490"/>
      <c r="V788" s="2490"/>
      <c r="W788" s="2490"/>
      <c r="X788" s="2490"/>
      <c r="Y788" s="2490"/>
      <c r="Z788" s="2490"/>
      <c r="AA788" s="2490"/>
      <c r="AB788" s="2490"/>
      <c r="AC788" s="2490"/>
      <c r="AD788" s="249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3" t="s">
        <v>1685</v>
      </c>
      <c r="F790" s="2563"/>
      <c r="G790" s="2563"/>
      <c r="H790" s="2563"/>
      <c r="I790" s="2563"/>
      <c r="J790" s="2563"/>
      <c r="K790" s="2563"/>
      <c r="L790" s="2563"/>
      <c r="M790" s="2563"/>
      <c r="N790" s="2563"/>
      <c r="O790" s="2563"/>
      <c r="P790" s="2563"/>
      <c r="Q790" s="2563"/>
      <c r="R790" s="2563"/>
      <c r="S790" s="2563"/>
      <c r="T790" s="2563"/>
      <c r="U790" s="2563"/>
      <c r="V790" s="2563"/>
      <c r="W790" s="2563"/>
      <c r="X790" s="2563"/>
      <c r="Y790" s="2563"/>
      <c r="Z790" s="2563"/>
      <c r="AA790" s="2563"/>
      <c r="AB790" s="2563"/>
      <c r="AC790" s="2563"/>
      <c r="AD790" s="2563"/>
      <c r="AE790" s="532"/>
      <c r="AF790" s="2473" t="s">
        <v>1345</v>
      </c>
      <c r="AG790" s="2473"/>
      <c r="AH790" s="2473"/>
      <c r="AI790" s="2473"/>
      <c r="AJ790" s="2473"/>
      <c r="AK790" s="2473"/>
      <c r="AL790" s="2473"/>
      <c r="AM790" s="606"/>
      <c r="AN790" s="590"/>
    </row>
    <row r="791" spans="1:81" s="544" customFormat="1" ht="12.75" customHeight="1">
      <c r="B791" s="609"/>
      <c r="C791" s="931"/>
      <c r="D791" s="654"/>
      <c r="E791" s="2563"/>
      <c r="F791" s="2563"/>
      <c r="G791" s="2563"/>
      <c r="H791" s="2563"/>
      <c r="I791" s="2563"/>
      <c r="J791" s="2563"/>
      <c r="K791" s="2563"/>
      <c r="L791" s="2563"/>
      <c r="M791" s="2563"/>
      <c r="N791" s="2563"/>
      <c r="O791" s="2563"/>
      <c r="P791" s="2563"/>
      <c r="Q791" s="2563"/>
      <c r="R791" s="2563"/>
      <c r="S791" s="2563"/>
      <c r="T791" s="2563"/>
      <c r="U791" s="2563"/>
      <c r="V791" s="2563"/>
      <c r="W791" s="2563"/>
      <c r="X791" s="2563"/>
      <c r="Y791" s="2563"/>
      <c r="Z791" s="2563"/>
      <c r="AA791" s="2563"/>
      <c r="AB791" s="2563"/>
      <c r="AC791" s="2563"/>
      <c r="AD791" s="2563"/>
      <c r="AE791" s="587"/>
      <c r="AF791" s="587"/>
      <c r="AG791" s="587"/>
      <c r="AH791" s="587"/>
      <c r="AI791" s="587"/>
      <c r="AJ791" s="587"/>
      <c r="AK791" s="587"/>
      <c r="AL791" s="587"/>
      <c r="AM791" s="606"/>
      <c r="AN791" s="590"/>
    </row>
    <row r="792" spans="1:81" s="544" customFormat="1" ht="12.75" customHeight="1">
      <c r="B792" s="609"/>
      <c r="C792" s="931"/>
      <c r="D792" s="654"/>
      <c r="E792" s="2563"/>
      <c r="F792" s="2563"/>
      <c r="G792" s="2563"/>
      <c r="H792" s="2563"/>
      <c r="I792" s="2563"/>
      <c r="J792" s="2563"/>
      <c r="K792" s="2563"/>
      <c r="L792" s="2563"/>
      <c r="M792" s="2563"/>
      <c r="N792" s="2563"/>
      <c r="O792" s="2563"/>
      <c r="P792" s="2563"/>
      <c r="Q792" s="2563"/>
      <c r="R792" s="2563"/>
      <c r="S792" s="2563"/>
      <c r="T792" s="2563"/>
      <c r="U792" s="2563"/>
      <c r="V792" s="2563"/>
      <c r="W792" s="2563"/>
      <c r="X792" s="2563"/>
      <c r="Y792" s="2563"/>
      <c r="Z792" s="2563"/>
      <c r="AA792" s="2563"/>
      <c r="AB792" s="2563"/>
      <c r="AC792" s="2563"/>
      <c r="AD792" s="2563"/>
      <c r="AE792" s="587"/>
      <c r="AF792" s="587"/>
      <c r="AG792" s="587"/>
      <c r="AH792" s="587"/>
      <c r="AI792" s="587"/>
      <c r="AJ792" s="587"/>
      <c r="AK792" s="587"/>
      <c r="AL792" s="587"/>
      <c r="AM792" s="606"/>
      <c r="AN792" s="590"/>
    </row>
    <row r="793" spans="1:81" s="544" customFormat="1" ht="12.75" customHeight="1">
      <c r="B793" s="609"/>
      <c r="C793" s="931"/>
      <c r="D793" s="654"/>
      <c r="E793" s="2563"/>
      <c r="F793" s="2563"/>
      <c r="G793" s="2563"/>
      <c r="H793" s="2563"/>
      <c r="I793" s="2563"/>
      <c r="J793" s="2563"/>
      <c r="K793" s="2563"/>
      <c r="L793" s="2563"/>
      <c r="M793" s="2563"/>
      <c r="N793" s="2563"/>
      <c r="O793" s="2563"/>
      <c r="P793" s="2563"/>
      <c r="Q793" s="2563"/>
      <c r="R793" s="2563"/>
      <c r="S793" s="2563"/>
      <c r="T793" s="2563"/>
      <c r="U793" s="2563"/>
      <c r="V793" s="2563"/>
      <c r="W793" s="2563"/>
      <c r="X793" s="2563"/>
      <c r="Y793" s="2563"/>
      <c r="Z793" s="2563"/>
      <c r="AA793" s="2563"/>
      <c r="AB793" s="2563"/>
      <c r="AC793" s="2563"/>
      <c r="AD793" s="256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3" t="s">
        <v>591</v>
      </c>
      <c r="I795" s="255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8">
        <f>VLOOKUP($H$795,$AO$785:$AP$787,2,FALSE)</f>
        <v>0</v>
      </c>
      <c r="AK797" s="250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687</v>
      </c>
      <c r="E801" s="2490" t="s">
        <v>2627</v>
      </c>
      <c r="F801" s="2490"/>
      <c r="G801" s="2490"/>
      <c r="H801" s="2490"/>
      <c r="I801" s="2490"/>
      <c r="J801" s="2490"/>
      <c r="K801" s="2490"/>
      <c r="L801" s="2490"/>
      <c r="M801" s="2490"/>
      <c r="N801" s="2490"/>
      <c r="O801" s="2490"/>
      <c r="P801" s="2490"/>
      <c r="Q801" s="2490"/>
      <c r="R801" s="2490"/>
      <c r="S801" s="2490"/>
      <c r="T801" s="2490"/>
      <c r="U801" s="2490"/>
      <c r="V801" s="2490"/>
      <c r="W801" s="2490"/>
      <c r="X801" s="2490"/>
      <c r="Y801" s="2490"/>
      <c r="Z801" s="2490"/>
      <c r="AA801" s="2490"/>
      <c r="AB801" s="2490"/>
      <c r="AC801" s="2490"/>
      <c r="AD801" s="2490"/>
      <c r="AE801" s="532"/>
      <c r="AF801" s="2473" t="s">
        <v>1345</v>
      </c>
      <c r="AG801" s="2473"/>
      <c r="AH801" s="2473"/>
      <c r="AI801" s="2473"/>
      <c r="AJ801" s="2473"/>
      <c r="AK801" s="2473"/>
      <c r="AL801" s="2473"/>
      <c r="AM801" s="606"/>
      <c r="AN801" s="675"/>
      <c r="AO801" s="604" t="s">
        <v>545</v>
      </c>
      <c r="AP801" s="544">
        <v>3</v>
      </c>
      <c r="AT801" s="665"/>
      <c r="AU801" s="665"/>
      <c r="AV801" s="665"/>
      <c r="AW801" s="665"/>
      <c r="AX801" s="665"/>
      <c r="AY801" s="665"/>
      <c r="AZ801" s="665"/>
    </row>
    <row r="802" spans="1:81" s="563" customFormat="1" ht="13.65" customHeight="1">
      <c r="A802" s="544"/>
      <c r="B802" s="609"/>
      <c r="C802" s="931"/>
      <c r="D802" s="654"/>
      <c r="E802" s="2490"/>
      <c r="F802" s="2490"/>
      <c r="G802" s="2490"/>
      <c r="H802" s="2490"/>
      <c r="I802" s="2490"/>
      <c r="J802" s="2490"/>
      <c r="K802" s="2490"/>
      <c r="L802" s="2490"/>
      <c r="M802" s="2490"/>
      <c r="N802" s="2490"/>
      <c r="O802" s="2490"/>
      <c r="P802" s="2490"/>
      <c r="Q802" s="2490"/>
      <c r="R802" s="2490"/>
      <c r="S802" s="2490"/>
      <c r="T802" s="2490"/>
      <c r="U802" s="2490"/>
      <c r="V802" s="2490"/>
      <c r="W802" s="2490"/>
      <c r="X802" s="2490"/>
      <c r="Y802" s="2490"/>
      <c r="Z802" s="2490"/>
      <c r="AA802" s="2490"/>
      <c r="AB802" s="2490"/>
      <c r="AC802" s="2490"/>
      <c r="AD802" s="249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0"/>
      <c r="F803" s="2490"/>
      <c r="G803" s="2490"/>
      <c r="H803" s="2490"/>
      <c r="I803" s="2490"/>
      <c r="J803" s="2490"/>
      <c r="K803" s="2490"/>
      <c r="L803" s="2490"/>
      <c r="M803" s="2490"/>
      <c r="N803" s="2490"/>
      <c r="O803" s="2490"/>
      <c r="P803" s="2490"/>
      <c r="Q803" s="2490"/>
      <c r="R803" s="2490"/>
      <c r="S803" s="2490"/>
      <c r="T803" s="2490"/>
      <c r="U803" s="2490"/>
      <c r="V803" s="2490"/>
      <c r="W803" s="2490"/>
      <c r="X803" s="2490"/>
      <c r="Y803" s="2490"/>
      <c r="Z803" s="2490"/>
      <c r="AA803" s="2490"/>
      <c r="AB803" s="2490"/>
      <c r="AC803" s="2490"/>
      <c r="AD803" s="249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0"/>
      <c r="F804" s="2490"/>
      <c r="G804" s="2490"/>
      <c r="H804" s="2490"/>
      <c r="I804" s="2490"/>
      <c r="J804" s="2490"/>
      <c r="K804" s="2490"/>
      <c r="L804" s="2490"/>
      <c r="M804" s="2490"/>
      <c r="N804" s="2490"/>
      <c r="O804" s="2490"/>
      <c r="P804" s="2490"/>
      <c r="Q804" s="2490"/>
      <c r="R804" s="2490"/>
      <c r="S804" s="2490"/>
      <c r="T804" s="2490"/>
      <c r="U804" s="2490"/>
      <c r="V804" s="2490"/>
      <c r="W804" s="2490"/>
      <c r="X804" s="2490"/>
      <c r="Y804" s="2490"/>
      <c r="Z804" s="2490"/>
      <c r="AA804" s="2490"/>
      <c r="AB804" s="2490"/>
      <c r="AC804" s="2490"/>
      <c r="AD804" s="249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3" t="s">
        <v>591</v>
      </c>
      <c r="I806" s="255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8">
        <f>VLOOKUP($H$806,$AO$800:$AP$801,2,FALSE)</f>
        <v>0</v>
      </c>
      <c r="AK808" s="250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90" t="s">
        <v>2590</v>
      </c>
      <c r="F812" s="2490"/>
      <c r="G812" s="2490"/>
      <c r="H812" s="2490"/>
      <c r="I812" s="2490"/>
      <c r="J812" s="2490"/>
      <c r="K812" s="2490"/>
      <c r="L812" s="2490"/>
      <c r="M812" s="2490"/>
      <c r="N812" s="2490"/>
      <c r="O812" s="2490"/>
      <c r="P812" s="2490"/>
      <c r="Q812" s="2490"/>
      <c r="R812" s="2490"/>
      <c r="S812" s="2490"/>
      <c r="T812" s="2490"/>
      <c r="U812" s="2490"/>
      <c r="V812" s="2490"/>
      <c r="W812" s="2490"/>
      <c r="X812" s="2490"/>
      <c r="Y812" s="2490"/>
      <c r="Z812" s="2490"/>
      <c r="AA812" s="2490"/>
      <c r="AB812" s="2490"/>
      <c r="AC812" s="2490"/>
      <c r="AD812" s="2490"/>
      <c r="AE812" s="545"/>
      <c r="AF812" s="2473" t="s">
        <v>1370</v>
      </c>
      <c r="AG812" s="2473"/>
      <c r="AH812" s="2473"/>
      <c r="AI812" s="2473"/>
      <c r="AJ812" s="2473"/>
      <c r="AK812" s="2473"/>
      <c r="AL812" s="2473"/>
      <c r="AN812" s="590"/>
    </row>
    <row r="813" spans="1:81" s="544" customFormat="1" ht="12.75" customHeight="1">
      <c r="B813" s="609"/>
      <c r="C813" s="679"/>
      <c r="D813" s="654"/>
      <c r="E813" s="2490"/>
      <c r="F813" s="2490"/>
      <c r="G813" s="2490"/>
      <c r="H813" s="2490"/>
      <c r="I813" s="2490"/>
      <c r="J813" s="2490"/>
      <c r="K813" s="2490"/>
      <c r="L813" s="2490"/>
      <c r="M813" s="2490"/>
      <c r="N813" s="2490"/>
      <c r="O813" s="2490"/>
      <c r="P813" s="2490"/>
      <c r="Q813" s="2490"/>
      <c r="R813" s="2490"/>
      <c r="S813" s="2490"/>
      <c r="T813" s="2490"/>
      <c r="U813" s="2490"/>
      <c r="V813" s="2490"/>
      <c r="W813" s="2490"/>
      <c r="X813" s="2490"/>
      <c r="Y813" s="2490"/>
      <c r="Z813" s="2490"/>
      <c r="AA813" s="2490"/>
      <c r="AB813" s="2490"/>
      <c r="AC813" s="2490"/>
      <c r="AD813" s="249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3" t="s">
        <v>591</v>
      </c>
      <c r="I815" s="255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8">
        <f>IF(H815="Yes",5,0)</f>
        <v>0</v>
      </c>
      <c r="AK817" s="250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8">
        <f>IF(($AJ$634+$AJ$653+$AJ$665+$AJ$700+$AJ$727+$AJ$741+$AJ$753+$AJ$769+$AJ$781+$AJ$797+AJ808+AJ817)&gt;10,10,($AJ$634+$AJ$653+$AJ$665+$AJ$700+$AJ$727+$AJ$741+$AJ$753+$AJ$769+$AJ$781+$AJ$797+AJ808+AJ817))</f>
        <v>10</v>
      </c>
      <c r="AL819" s="2499"/>
      <c r="AM819" s="250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40" t="s">
        <v>2722</v>
      </c>
      <c r="I823" s="1440"/>
      <c r="J823" s="1440"/>
      <c r="K823" s="1440"/>
      <c r="L823" s="1440"/>
      <c r="M823" s="1440"/>
      <c r="N823" s="1440"/>
      <c r="O823" s="1440"/>
      <c r="P823" s="1440"/>
      <c r="Q823" s="1440"/>
      <c r="R823" s="1440"/>
      <c r="S823"/>
      <c r="T823" s="3" t="s">
        <v>2657</v>
      </c>
      <c r="U823"/>
      <c r="V823" s="3"/>
      <c r="W823" s="3"/>
      <c r="X823" s="3"/>
      <c r="Y823" s="3"/>
      <c r="Z823"/>
      <c r="AA823" s="1440" t="s">
        <v>2728</v>
      </c>
      <c r="AB823" s="1440"/>
      <c r="AC823" s="1440"/>
      <c r="AD823" s="1440"/>
      <c r="AE823" s="1440"/>
      <c r="AF823" s="1440"/>
      <c r="AG823" s="1440"/>
      <c r="AH823" s="1440"/>
      <c r="AI823" s="1440"/>
      <c r="AJ823" s="1440"/>
      <c r="AK823" s="1440"/>
      <c r="AL823" s="350"/>
      <c r="AN823" s="1272"/>
      <c r="AP823" t="s">
        <v>1418</v>
      </c>
    </row>
    <row r="824" spans="1:81" s="22" customFormat="1" ht="12.75" customHeight="1">
      <c r="B824" s="3" t="s">
        <v>471</v>
      </c>
      <c r="C824" s="3"/>
      <c r="D824" s="3"/>
      <c r="E824" s="3"/>
      <c r="F824" s="3"/>
      <c r="G824"/>
      <c r="H824" s="1424" t="s">
        <v>2723</v>
      </c>
      <c r="I824" s="1424"/>
      <c r="J824" s="1424"/>
      <c r="K824" s="1424"/>
      <c r="L824" s="1424"/>
      <c r="M824" s="1424"/>
      <c r="N824" s="1424"/>
      <c r="O824" s="1424"/>
      <c r="P824" s="1424"/>
      <c r="Q824" s="1424"/>
      <c r="R824" s="1424"/>
      <c r="S824"/>
      <c r="T824" s="3" t="s">
        <v>471</v>
      </c>
      <c r="U824"/>
      <c r="V824" s="3"/>
      <c r="W824" s="3"/>
      <c r="X824" s="3"/>
      <c r="Y824" s="3"/>
      <c r="Z824"/>
      <c r="AA824" s="1424" t="s">
        <v>2729</v>
      </c>
      <c r="AB824" s="1424"/>
      <c r="AC824" s="1424"/>
      <c r="AD824" s="1424"/>
      <c r="AE824" s="1424"/>
      <c r="AF824" s="1424"/>
      <c r="AG824" s="1424"/>
      <c r="AH824" s="1424"/>
      <c r="AI824" s="1424"/>
      <c r="AJ824" s="1424"/>
      <c r="AK824" s="1424"/>
      <c r="AL824" s="350"/>
      <c r="AN824" s="1272"/>
      <c r="AP824" t="s">
        <v>1396</v>
      </c>
    </row>
    <row r="825" spans="1:81" s="22" customFormat="1" ht="12.75" customHeight="1">
      <c r="B825" s="3" t="s">
        <v>2658</v>
      </c>
      <c r="C825" s="3"/>
      <c r="D825" s="3"/>
      <c r="E825" s="3"/>
      <c r="F825" s="3"/>
      <c r="G825"/>
      <c r="H825" s="1424" t="s">
        <v>2724</v>
      </c>
      <c r="I825" s="1424"/>
      <c r="J825" s="1424"/>
      <c r="K825" s="1424"/>
      <c r="L825" s="1424"/>
      <c r="M825" s="1424"/>
      <c r="N825" s="1424"/>
      <c r="O825" s="1424"/>
      <c r="P825" s="1424"/>
      <c r="Q825" s="1424"/>
      <c r="R825" s="1424"/>
      <c r="S825"/>
      <c r="T825" s="3" t="s">
        <v>2658</v>
      </c>
      <c r="U825"/>
      <c r="V825" s="3"/>
      <c r="W825" s="3"/>
      <c r="X825" s="3"/>
      <c r="Y825" s="3"/>
      <c r="Z825"/>
      <c r="AA825" s="1424" t="s">
        <v>2724</v>
      </c>
      <c r="AB825" s="1424"/>
      <c r="AC825" s="1424"/>
      <c r="AD825" s="1424"/>
      <c r="AE825" s="1424"/>
      <c r="AF825" s="1424"/>
      <c r="AG825" s="1424"/>
      <c r="AH825" s="1424"/>
      <c r="AI825" s="1424"/>
      <c r="AJ825" s="1424"/>
      <c r="AK825" s="1424"/>
      <c r="AL825" s="350"/>
      <c r="AN825" s="1272"/>
      <c r="AO825" s="1273"/>
      <c r="AP825" t="s">
        <v>1403</v>
      </c>
    </row>
    <row r="826" spans="1:81" s="22" customFormat="1" ht="12.75" customHeight="1">
      <c r="B826" s="3" t="s">
        <v>87</v>
      </c>
      <c r="C826" s="3"/>
      <c r="D826" s="3"/>
      <c r="E826" s="3"/>
      <c r="F826" s="3"/>
      <c r="G826"/>
      <c r="H826" s="1424"/>
      <c r="I826" s="1424"/>
      <c r="J826" s="1424"/>
      <c r="K826" s="1424"/>
      <c r="L826" s="1424"/>
      <c r="M826" s="1424"/>
      <c r="N826" s="1424"/>
      <c r="O826" s="1424"/>
      <c r="P826" s="1424"/>
      <c r="Q826" s="1424"/>
      <c r="R826" s="1424"/>
      <c r="S826"/>
      <c r="T826" s="3" t="s">
        <v>87</v>
      </c>
      <c r="U826"/>
      <c r="V826" s="3"/>
      <c r="W826" s="3"/>
      <c r="X826" s="3"/>
      <c r="Y826" s="3"/>
      <c r="Z826"/>
      <c r="AA826" s="1424"/>
      <c r="AB826" s="1424"/>
      <c r="AC826" s="1424"/>
      <c r="AD826" s="1424"/>
      <c r="AE826" s="1424"/>
      <c r="AF826" s="1424"/>
      <c r="AG826" s="1424"/>
      <c r="AH826" s="1424"/>
      <c r="AI826" s="1424"/>
      <c r="AJ826" s="1424"/>
      <c r="AK826" s="1424"/>
      <c r="AL826" s="350"/>
      <c r="AN826" s="1272"/>
      <c r="AO826" s="1273"/>
      <c r="AP826" t="s">
        <v>1419</v>
      </c>
    </row>
    <row r="827" spans="1:81" s="22" customFormat="1" ht="12.75" customHeight="1">
      <c r="B827" s="3" t="s">
        <v>88</v>
      </c>
      <c r="C827" s="3"/>
      <c r="D827" s="3"/>
      <c r="E827" s="3"/>
      <c r="F827" s="3"/>
      <c r="G827" s="3"/>
      <c r="H827" s="1738" t="s">
        <v>2725</v>
      </c>
      <c r="I827" s="1738"/>
      <c r="J827" s="1738"/>
      <c r="K827" s="1738"/>
      <c r="L827" s="1738"/>
      <c r="M827" s="1738"/>
      <c r="N827" s="3" t="s">
        <v>206</v>
      </c>
      <c r="O827" s="3"/>
      <c r="P827" s="1462"/>
      <c r="Q827" s="1462"/>
      <c r="R827" s="1462"/>
      <c r="S827" s="3"/>
      <c r="T827" s="3" t="s">
        <v>88</v>
      </c>
      <c r="U827"/>
      <c r="V827" s="3"/>
      <c r="W827" s="3"/>
      <c r="X827" s="3"/>
      <c r="Y827" s="3"/>
      <c r="Z827"/>
      <c r="AA827" s="1738" t="s">
        <v>2730</v>
      </c>
      <c r="AB827" s="1738"/>
      <c r="AC827" s="1738"/>
      <c r="AD827" s="1738"/>
      <c r="AE827" s="1738"/>
      <c r="AF827" s="1738"/>
      <c r="AG827" s="3" t="s">
        <v>206</v>
      </c>
      <c r="AH827" s="3"/>
      <c r="AI827" s="1462"/>
      <c r="AJ827" s="1462"/>
      <c r="AK827" s="1462"/>
      <c r="AL827" s="350"/>
      <c r="AN827" s="1272"/>
      <c r="AO827" s="1273"/>
      <c r="AP827" t="s">
        <v>2684</v>
      </c>
    </row>
    <row r="828" spans="1:81" s="22" customFormat="1" ht="12.75" customHeight="1">
      <c r="B828" s="3" t="s">
        <v>2659</v>
      </c>
      <c r="C828" s="3"/>
      <c r="D828" s="3"/>
      <c r="E828" s="3"/>
      <c r="F828" s="3"/>
      <c r="G828" s="3"/>
      <c r="H828" s="1424" t="s">
        <v>1418</v>
      </c>
      <c r="I828" s="1424"/>
      <c r="J828" s="1424"/>
      <c r="K828" s="1424"/>
      <c r="L828" s="1424"/>
      <c r="M828" s="1424"/>
      <c r="N828" s="1424"/>
      <c r="O828" s="1424"/>
      <c r="P828" s="1424"/>
      <c r="Q828" s="1424"/>
      <c r="R828" s="1424"/>
      <c r="S828" s="3"/>
      <c r="T828" s="3" t="s">
        <v>2659</v>
      </c>
      <c r="U828"/>
      <c r="V828" s="3"/>
      <c r="W828" s="3"/>
      <c r="X828" s="3"/>
      <c r="Y828" s="3"/>
      <c r="Z828"/>
      <c r="AA828" s="1424" t="s">
        <v>1396</v>
      </c>
      <c r="AB828" s="1424"/>
      <c r="AC828" s="1424"/>
      <c r="AD828" s="1424"/>
      <c r="AE828" s="1424"/>
      <c r="AF828" s="1424"/>
      <c r="AG828" s="1424"/>
      <c r="AH828" s="1424"/>
      <c r="AI828" s="1424"/>
      <c r="AJ828" s="1424"/>
      <c r="AK828" s="1424"/>
      <c r="AL828" s="350"/>
      <c r="AN828" s="1272"/>
      <c r="AO828" s="1273"/>
      <c r="AP828" t="s">
        <v>1421</v>
      </c>
    </row>
    <row r="829" spans="1:81" s="22" customFormat="1" ht="12.75" customHeight="1">
      <c r="B829" s="3" t="s">
        <v>2660</v>
      </c>
      <c r="C829" s="3"/>
      <c r="D829" s="3"/>
      <c r="E829" s="3"/>
      <c r="F829" s="3"/>
      <c r="G829" s="3"/>
      <c r="H829" s="1424" t="s">
        <v>2726</v>
      </c>
      <c r="I829" s="1424"/>
      <c r="J829" s="1424"/>
      <c r="K829" s="1424"/>
      <c r="L829" s="1424"/>
      <c r="M829" s="1424"/>
      <c r="N829" s="1424"/>
      <c r="O829" s="1424"/>
      <c r="P829" s="1424"/>
      <c r="Q829" s="1424"/>
      <c r="R829" s="1424"/>
      <c r="S829" s="3"/>
      <c r="T829" s="3" t="s">
        <v>2660</v>
      </c>
      <c r="U829"/>
      <c r="V829" s="3"/>
      <c r="W829" s="3"/>
      <c r="X829" s="3"/>
      <c r="Y829" s="3"/>
      <c r="Z829"/>
      <c r="AA829" s="1424" t="s">
        <v>2731</v>
      </c>
      <c r="AB829" s="1424"/>
      <c r="AC829" s="1424"/>
      <c r="AD829" s="1424"/>
      <c r="AE829" s="1424"/>
      <c r="AF829" s="1424"/>
      <c r="AG829" s="1424"/>
      <c r="AH829" s="1424"/>
      <c r="AI829" s="1424"/>
      <c r="AJ829" s="1424"/>
      <c r="AK829" s="1424"/>
      <c r="AL829" s="350"/>
      <c r="AN829" s="1272"/>
      <c r="AP829" t="s">
        <v>1422</v>
      </c>
    </row>
    <row r="830" spans="1:81" s="22" customFormat="1" ht="12.75" customHeight="1">
      <c r="B830" s="3" t="s">
        <v>2661</v>
      </c>
      <c r="C830" s="3"/>
      <c r="D830" s="3"/>
      <c r="E830" s="3"/>
      <c r="F830" s="3"/>
      <c r="G830" s="3"/>
      <c r="H830" s="2410" t="s">
        <v>2727</v>
      </c>
      <c r="I830" s="2410"/>
      <c r="J830" s="2410"/>
      <c r="K830" s="2410"/>
      <c r="L830" s="2410"/>
      <c r="M830" s="2410"/>
      <c r="N830" s="2410"/>
      <c r="O830" s="2410"/>
      <c r="P830" s="2410"/>
      <c r="Q830" s="2410"/>
      <c r="R830" s="2410"/>
      <c r="S830" s="3"/>
      <c r="T830" s="3" t="s">
        <v>2661</v>
      </c>
      <c r="U830" s="3"/>
      <c r="V830" s="3"/>
      <c r="W830" s="3"/>
      <c r="X830" s="3"/>
      <c r="Y830" s="3"/>
      <c r="Z830" s="8"/>
      <c r="AA830" s="2410" t="s">
        <v>2732</v>
      </c>
      <c r="AB830" s="2410"/>
      <c r="AC830" s="2410"/>
      <c r="AD830" s="2410"/>
      <c r="AE830" s="2410"/>
      <c r="AF830" s="2410"/>
      <c r="AG830" s="2410"/>
      <c r="AH830" s="2410"/>
      <c r="AI830" s="2410"/>
      <c r="AJ830" s="2410"/>
      <c r="AK830" s="2410"/>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40" t="s">
        <v>2733</v>
      </c>
      <c r="I832" s="1440"/>
      <c r="J832" s="1440"/>
      <c r="K832" s="1440"/>
      <c r="L832" s="1440"/>
      <c r="M832" s="1440"/>
      <c r="N832" s="1440"/>
      <c r="O832" s="1440"/>
      <c r="P832" s="1440"/>
      <c r="Q832" s="1440"/>
      <c r="R832" s="1440"/>
      <c r="S832"/>
      <c r="T832" s="3" t="s">
        <v>2657</v>
      </c>
      <c r="U832"/>
      <c r="V832" s="3"/>
      <c r="W832" s="3"/>
      <c r="X832" s="3"/>
      <c r="Y832" s="3"/>
      <c r="Z832"/>
      <c r="AA832" s="1440" t="s">
        <v>2737</v>
      </c>
      <c r="AB832" s="1440"/>
      <c r="AC832" s="1440"/>
      <c r="AD832" s="1440"/>
      <c r="AE832" s="1440"/>
      <c r="AF832" s="1440"/>
      <c r="AG832" s="1440"/>
      <c r="AH832" s="1440"/>
      <c r="AI832" s="1440"/>
      <c r="AJ832" s="1440"/>
      <c r="AK832" s="1440"/>
      <c r="AL832" s="350"/>
      <c r="AN832" s="1272"/>
      <c r="AP832" t="s">
        <v>1425</v>
      </c>
    </row>
    <row r="833" spans="1:42" s="1277" customFormat="1" ht="12.75" customHeight="1">
      <c r="A833" s="22"/>
      <c r="B833" s="3" t="s">
        <v>471</v>
      </c>
      <c r="C833" s="3"/>
      <c r="D833" s="3"/>
      <c r="E833" s="3"/>
      <c r="F833" s="3"/>
      <c r="G833"/>
      <c r="H833" s="1424" t="s">
        <v>2734</v>
      </c>
      <c r="I833" s="1424"/>
      <c r="J833" s="1424"/>
      <c r="K833" s="1424"/>
      <c r="L833" s="1424"/>
      <c r="M833" s="1424"/>
      <c r="N833" s="1424"/>
      <c r="O833" s="1424"/>
      <c r="P833" s="1424"/>
      <c r="Q833" s="1424"/>
      <c r="R833" s="1424"/>
      <c r="S833"/>
      <c r="T833" s="3" t="s">
        <v>471</v>
      </c>
      <c r="U833"/>
      <c r="V833" s="3"/>
      <c r="W833" s="3"/>
      <c r="X833" s="3"/>
      <c r="Y833" s="3"/>
      <c r="Z833"/>
      <c r="AA833" s="1424" t="s">
        <v>2738</v>
      </c>
      <c r="AB833" s="1424"/>
      <c r="AC833" s="1424"/>
      <c r="AD833" s="1424"/>
      <c r="AE833" s="1424"/>
      <c r="AF833" s="1424"/>
      <c r="AG833" s="1424"/>
      <c r="AH833" s="1424"/>
      <c r="AI833" s="1424"/>
      <c r="AJ833" s="1424"/>
      <c r="AK833" s="1424"/>
      <c r="AL833" s="350"/>
      <c r="AM833" s="22"/>
      <c r="AN833" s="1272"/>
      <c r="AO833" s="22"/>
      <c r="AP833" s="39" t="s">
        <v>1427</v>
      </c>
    </row>
    <row r="834" spans="1:42" s="1277" customFormat="1" ht="12.75" customHeight="1">
      <c r="A834" s="22"/>
      <c r="B834" s="3" t="s">
        <v>2658</v>
      </c>
      <c r="C834" s="3"/>
      <c r="D834" s="3"/>
      <c r="E834" s="3"/>
      <c r="F834" s="3"/>
      <c r="G834"/>
      <c r="H834" s="1424" t="s">
        <v>2724</v>
      </c>
      <c r="I834" s="1424"/>
      <c r="J834" s="1424"/>
      <c r="K834" s="1424"/>
      <c r="L834" s="1424"/>
      <c r="M834" s="1424"/>
      <c r="N834" s="1424"/>
      <c r="O834" s="1424"/>
      <c r="P834" s="1424"/>
      <c r="Q834" s="1424"/>
      <c r="R834" s="1424"/>
      <c r="S834"/>
      <c r="T834" s="3" t="s">
        <v>2658</v>
      </c>
      <c r="U834"/>
      <c r="V834" s="3"/>
      <c r="W834" s="3"/>
      <c r="X834" s="3"/>
      <c r="Y834" s="3"/>
      <c r="Z834"/>
      <c r="AA834" s="1424" t="s">
        <v>2739</v>
      </c>
      <c r="AB834" s="1424"/>
      <c r="AC834" s="1424"/>
      <c r="AD834" s="1424"/>
      <c r="AE834" s="1424"/>
      <c r="AF834" s="1424"/>
      <c r="AG834" s="1424"/>
      <c r="AH834" s="1424"/>
      <c r="AI834" s="1424"/>
      <c r="AJ834" s="1424"/>
      <c r="AK834" s="1424"/>
      <c r="AL834" s="350"/>
      <c r="AM834" s="22"/>
      <c r="AN834" s="1272"/>
      <c r="AO834" s="22"/>
    </row>
    <row r="835" spans="1:42" s="22" customFormat="1" ht="12.75" customHeight="1">
      <c r="B835" s="3" t="s">
        <v>87</v>
      </c>
      <c r="C835" s="3"/>
      <c r="D835" s="3"/>
      <c r="E835" s="3"/>
      <c r="F835" s="3"/>
      <c r="G835"/>
      <c r="H835" s="1424"/>
      <c r="I835" s="1424"/>
      <c r="J835" s="1424"/>
      <c r="K835" s="1424"/>
      <c r="L835" s="1424"/>
      <c r="M835" s="1424"/>
      <c r="N835" s="1424"/>
      <c r="O835" s="1424"/>
      <c r="P835" s="1424"/>
      <c r="Q835" s="1424"/>
      <c r="R835" s="1424"/>
      <c r="S835"/>
      <c r="T835" s="3" t="s">
        <v>87</v>
      </c>
      <c r="U835"/>
      <c r="V835" s="3"/>
      <c r="W835" s="3"/>
      <c r="X835" s="3"/>
      <c r="Y835" s="3"/>
      <c r="Z835"/>
      <c r="AA835" s="1424"/>
      <c r="AB835" s="1424"/>
      <c r="AC835" s="1424"/>
      <c r="AD835" s="1424"/>
      <c r="AE835" s="1424"/>
      <c r="AF835" s="1424"/>
      <c r="AG835" s="1424"/>
      <c r="AH835" s="1424"/>
      <c r="AI835" s="1424"/>
      <c r="AJ835" s="1424"/>
      <c r="AK835" s="1424"/>
      <c r="AL835" s="350"/>
      <c r="AN835" s="1272"/>
    </row>
    <row r="836" spans="1:42" s="22" customFormat="1" ht="12.75" customHeight="1">
      <c r="B836" s="3" t="s">
        <v>88</v>
      </c>
      <c r="C836" s="3"/>
      <c r="D836" s="3"/>
      <c r="E836" s="3"/>
      <c r="F836" s="3"/>
      <c r="G836" s="3"/>
      <c r="H836" s="1738" t="s">
        <v>2736</v>
      </c>
      <c r="I836" s="1738"/>
      <c r="J836" s="1738"/>
      <c r="K836" s="1738"/>
      <c r="L836" s="1738"/>
      <c r="M836" s="1738"/>
      <c r="N836" s="3" t="s">
        <v>206</v>
      </c>
      <c r="O836" s="3"/>
      <c r="P836" s="1462"/>
      <c r="Q836" s="1462"/>
      <c r="R836" s="1462"/>
      <c r="S836" s="3"/>
      <c r="T836" s="3" t="s">
        <v>88</v>
      </c>
      <c r="U836"/>
      <c r="V836" s="3"/>
      <c r="W836" s="3"/>
      <c r="X836" s="3"/>
      <c r="Y836" s="3"/>
      <c r="Z836"/>
      <c r="AA836" s="1738" t="s">
        <v>2741</v>
      </c>
      <c r="AB836" s="1738"/>
      <c r="AC836" s="1738"/>
      <c r="AD836" s="1738"/>
      <c r="AE836" s="1738"/>
      <c r="AF836" s="1738"/>
      <c r="AG836" s="3" t="s">
        <v>206</v>
      </c>
      <c r="AH836" s="3"/>
      <c r="AI836" s="1462"/>
      <c r="AJ836" s="1462"/>
      <c r="AK836" s="1462"/>
      <c r="AL836" s="350"/>
      <c r="AN836" s="1272"/>
    </row>
    <row r="837" spans="1:42" s="22" customFormat="1" ht="12.75" customHeight="1">
      <c r="B837" s="3" t="s">
        <v>2659</v>
      </c>
      <c r="C837" s="3"/>
      <c r="D837" s="3"/>
      <c r="E837" s="3"/>
      <c r="F837" s="3"/>
      <c r="G837" s="3"/>
      <c r="H837" s="1424" t="s">
        <v>1419</v>
      </c>
      <c r="I837" s="1424"/>
      <c r="J837" s="1424"/>
      <c r="K837" s="1424"/>
      <c r="L837" s="1424"/>
      <c r="M837" s="1424"/>
      <c r="N837" s="1424"/>
      <c r="O837" s="1424"/>
      <c r="P837" s="1424"/>
      <c r="Q837" s="1424"/>
      <c r="R837" s="1424"/>
      <c r="S837" s="3"/>
      <c r="T837" s="3" t="s">
        <v>2659</v>
      </c>
      <c r="U837"/>
      <c r="V837" s="3"/>
      <c r="W837" s="3"/>
      <c r="X837" s="3"/>
      <c r="Y837" s="3"/>
      <c r="Z837"/>
      <c r="AA837" s="1424" t="s">
        <v>2684</v>
      </c>
      <c r="AB837" s="1424"/>
      <c r="AC837" s="1424"/>
      <c r="AD837" s="1424"/>
      <c r="AE837" s="1424"/>
      <c r="AF837" s="1424"/>
      <c r="AG837" s="1424"/>
      <c r="AH837" s="1424"/>
      <c r="AI837" s="1424"/>
      <c r="AJ837" s="1424"/>
      <c r="AK837" s="1424"/>
      <c r="AL837" s="350"/>
      <c r="AN837" s="1272"/>
    </row>
    <row r="838" spans="1:42" s="22" customFormat="1" ht="12.75" customHeight="1">
      <c r="B838" s="3" t="s">
        <v>2660</v>
      </c>
      <c r="C838" s="3"/>
      <c r="D838" s="3"/>
      <c r="E838" s="3"/>
      <c r="F838" s="3"/>
      <c r="G838" s="3"/>
      <c r="H838" s="1424" t="s">
        <v>2735</v>
      </c>
      <c r="I838" s="1424"/>
      <c r="J838" s="1424"/>
      <c r="K838" s="1424"/>
      <c r="L838" s="1424"/>
      <c r="M838" s="1424"/>
      <c r="N838" s="1424"/>
      <c r="O838" s="1424"/>
      <c r="P838" s="1424"/>
      <c r="Q838" s="1424"/>
      <c r="R838" s="1424"/>
      <c r="S838" s="3"/>
      <c r="T838" s="3" t="s">
        <v>2660</v>
      </c>
      <c r="U838"/>
      <c r="V838" s="3"/>
      <c r="W838" s="3"/>
      <c r="X838" s="3"/>
      <c r="Y838" s="3"/>
      <c r="Z838"/>
      <c r="AA838" s="1424" t="s">
        <v>2740</v>
      </c>
      <c r="AB838" s="1424"/>
      <c r="AC838" s="1424"/>
      <c r="AD838" s="1424"/>
      <c r="AE838" s="1424"/>
      <c r="AF838" s="1424"/>
      <c r="AG838" s="1424"/>
      <c r="AH838" s="1424"/>
      <c r="AI838" s="1424"/>
      <c r="AJ838" s="1424"/>
      <c r="AK838" s="1424"/>
      <c r="AL838" s="350"/>
      <c r="AN838" s="1272"/>
    </row>
    <row r="839" spans="1:42" s="22" customFormat="1" ht="12.75" customHeight="1">
      <c r="B839" s="3" t="s">
        <v>2661</v>
      </c>
      <c r="C839" s="3"/>
      <c r="D839" s="3"/>
      <c r="E839" s="3"/>
      <c r="F839" s="3"/>
      <c r="G839" s="3"/>
      <c r="H839" s="2410" t="s">
        <v>2743</v>
      </c>
      <c r="I839" s="2410"/>
      <c r="J839" s="2410"/>
      <c r="K839" s="2410"/>
      <c r="L839" s="2410"/>
      <c r="M839" s="2410"/>
      <c r="N839" s="2410"/>
      <c r="O839" s="2410"/>
      <c r="P839" s="2410"/>
      <c r="Q839" s="2410"/>
      <c r="R839" s="2410"/>
      <c r="S839" s="3"/>
      <c r="T839" s="3" t="s">
        <v>2661</v>
      </c>
      <c r="U839" s="3"/>
      <c r="V839" s="3"/>
      <c r="W839" s="3"/>
      <c r="X839" s="3"/>
      <c r="Y839" s="3"/>
      <c r="Z839" s="8"/>
      <c r="AA839" s="2410" t="s">
        <v>2742</v>
      </c>
      <c r="AB839" s="2410"/>
      <c r="AC839" s="2410"/>
      <c r="AD839" s="2410"/>
      <c r="AE839" s="2410"/>
      <c r="AF839" s="2410"/>
      <c r="AG839" s="2410"/>
      <c r="AH839" s="2410"/>
      <c r="AI839" s="2410"/>
      <c r="AJ839" s="2410"/>
      <c r="AK839" s="2410"/>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40" t="s">
        <v>2744</v>
      </c>
      <c r="I841" s="1440"/>
      <c r="J841" s="1440"/>
      <c r="K841" s="1440"/>
      <c r="L841" s="1440"/>
      <c r="M841" s="1440"/>
      <c r="N841" s="1440"/>
      <c r="O841" s="1440"/>
      <c r="P841" s="1440"/>
      <c r="Q841" s="1440"/>
      <c r="R841" s="1440"/>
      <c r="S841"/>
      <c r="T841" s="3" t="s">
        <v>2657</v>
      </c>
      <c r="U841"/>
      <c r="V841" s="3"/>
      <c r="W841" s="3"/>
      <c r="X841" s="3"/>
      <c r="Y841" s="3"/>
      <c r="Z841"/>
      <c r="AA841" s="1440" t="s">
        <v>2749</v>
      </c>
      <c r="AB841" s="1440"/>
      <c r="AC841" s="1440"/>
      <c r="AD841" s="1440"/>
      <c r="AE841" s="1440"/>
      <c r="AF841" s="1440"/>
      <c r="AG841" s="1440"/>
      <c r="AH841" s="1440"/>
      <c r="AI841" s="1440"/>
      <c r="AJ841" s="1440"/>
      <c r="AK841" s="1440"/>
      <c r="AL841" s="350"/>
      <c r="AN841" s="1272"/>
    </row>
    <row r="842" spans="1:42" s="22" customFormat="1" ht="12.75" customHeight="1">
      <c r="B842" s="3" t="s">
        <v>471</v>
      </c>
      <c r="C842" s="3"/>
      <c r="D842" s="3"/>
      <c r="E842" s="3"/>
      <c r="F842" s="3"/>
      <c r="G842"/>
      <c r="H842" s="1424" t="s">
        <v>2745</v>
      </c>
      <c r="I842" s="1424"/>
      <c r="J842" s="1424"/>
      <c r="K842" s="1424"/>
      <c r="L842" s="1424"/>
      <c r="M842" s="1424"/>
      <c r="N842" s="1424"/>
      <c r="O842" s="1424"/>
      <c r="P842" s="1424"/>
      <c r="Q842" s="1424"/>
      <c r="R842" s="1424"/>
      <c r="S842"/>
      <c r="T842" s="3" t="s">
        <v>471</v>
      </c>
      <c r="U842"/>
      <c r="V842" s="3"/>
      <c r="W842" s="3"/>
      <c r="X842" s="3"/>
      <c r="Y842" s="3"/>
      <c r="Z842"/>
      <c r="AA842" s="1424" t="s">
        <v>2750</v>
      </c>
      <c r="AB842" s="1424"/>
      <c r="AC842" s="1424"/>
      <c r="AD842" s="1424"/>
      <c r="AE842" s="1424"/>
      <c r="AF842" s="1424"/>
      <c r="AG842" s="1424"/>
      <c r="AH842" s="1424"/>
      <c r="AI842" s="1424"/>
      <c r="AJ842" s="1424"/>
      <c r="AK842" s="1424"/>
      <c r="AL842" s="350"/>
      <c r="AN842" s="1272"/>
    </row>
    <row r="843" spans="1:42" s="22" customFormat="1" ht="12.75" customHeight="1">
      <c r="B843" s="3" t="s">
        <v>2658</v>
      </c>
      <c r="C843" s="3"/>
      <c r="D843" s="3"/>
      <c r="E843" s="3"/>
      <c r="F843" s="3"/>
      <c r="G843"/>
      <c r="H843" s="1424" t="s">
        <v>2724</v>
      </c>
      <c r="I843" s="1424"/>
      <c r="J843" s="1424"/>
      <c r="K843" s="1424"/>
      <c r="L843" s="1424"/>
      <c r="M843" s="1424"/>
      <c r="N843" s="1424"/>
      <c r="O843" s="1424"/>
      <c r="P843" s="1424"/>
      <c r="Q843" s="1424"/>
      <c r="R843" s="1424"/>
      <c r="S843"/>
      <c r="T843" s="3" t="s">
        <v>2658</v>
      </c>
      <c r="U843"/>
      <c r="V843" s="3"/>
      <c r="W843" s="3"/>
      <c r="X843" s="3"/>
      <c r="Y843" s="3"/>
      <c r="Z843"/>
      <c r="AA843" s="1424" t="s">
        <v>2739</v>
      </c>
      <c r="AB843" s="1424"/>
      <c r="AC843" s="1424"/>
      <c r="AD843" s="1424"/>
      <c r="AE843" s="1424"/>
      <c r="AF843" s="1424"/>
      <c r="AG843" s="1424"/>
      <c r="AH843" s="1424"/>
      <c r="AI843" s="1424"/>
      <c r="AJ843" s="1424"/>
      <c r="AK843" s="1424"/>
      <c r="AL843" s="350"/>
      <c r="AN843" s="1272"/>
    </row>
    <row r="844" spans="1:42" s="22" customFormat="1" ht="12.75" customHeight="1">
      <c r="B844" s="3" t="s">
        <v>87</v>
      </c>
      <c r="C844" s="3"/>
      <c r="D844" s="3"/>
      <c r="E844" s="3"/>
      <c r="F844" s="3"/>
      <c r="G844"/>
      <c r="H844" s="1424"/>
      <c r="I844" s="1424"/>
      <c r="J844" s="1424"/>
      <c r="K844" s="1424"/>
      <c r="L844" s="1424"/>
      <c r="M844" s="1424"/>
      <c r="N844" s="1424"/>
      <c r="O844" s="1424"/>
      <c r="P844" s="1424"/>
      <c r="Q844" s="1424"/>
      <c r="R844" s="1424"/>
      <c r="S844"/>
      <c r="T844" s="3" t="s">
        <v>87</v>
      </c>
      <c r="U844"/>
      <c r="V844" s="3"/>
      <c r="W844" s="3"/>
      <c r="X844" s="3"/>
      <c r="Y844" s="3"/>
      <c r="Z844"/>
      <c r="AA844" s="1424"/>
      <c r="AB844" s="1424"/>
      <c r="AC844" s="1424"/>
      <c r="AD844" s="1424"/>
      <c r="AE844" s="1424"/>
      <c r="AF844" s="1424"/>
      <c r="AG844" s="1424"/>
      <c r="AH844" s="1424"/>
      <c r="AI844" s="1424"/>
      <c r="AJ844" s="1424"/>
      <c r="AK844" s="1424"/>
      <c r="AL844" s="350"/>
      <c r="AN844" s="1272"/>
    </row>
    <row r="845" spans="1:42" s="22" customFormat="1" ht="12.75" customHeight="1">
      <c r="B845" s="3" t="s">
        <v>88</v>
      </c>
      <c r="C845" s="3"/>
      <c r="D845" s="3"/>
      <c r="E845" s="3"/>
      <c r="F845" s="3"/>
      <c r="G845" s="3"/>
      <c r="H845" s="1738" t="s">
        <v>2746</v>
      </c>
      <c r="I845" s="1738"/>
      <c r="J845" s="1738"/>
      <c r="K845" s="1738"/>
      <c r="L845" s="1738"/>
      <c r="M845" s="1738"/>
      <c r="N845" s="3" t="s">
        <v>206</v>
      </c>
      <c r="O845" s="3"/>
      <c r="P845" s="1462"/>
      <c r="Q845" s="1462"/>
      <c r="R845" s="1462"/>
      <c r="S845" s="3"/>
      <c r="T845" s="3" t="s">
        <v>88</v>
      </c>
      <c r="U845"/>
      <c r="V845" s="3"/>
      <c r="W845" s="3"/>
      <c r="X845" s="3"/>
      <c r="Y845" s="3"/>
      <c r="Z845"/>
      <c r="AA845" s="1738" t="s">
        <v>2751</v>
      </c>
      <c r="AB845" s="1738"/>
      <c r="AC845" s="1738"/>
      <c r="AD845" s="1738"/>
      <c r="AE845" s="1738"/>
      <c r="AF845" s="1738"/>
      <c r="AG845" s="3" t="s">
        <v>206</v>
      </c>
      <c r="AH845" s="3"/>
      <c r="AI845" s="1462"/>
      <c r="AJ845" s="1462"/>
      <c r="AK845" s="1462"/>
      <c r="AL845" s="350"/>
      <c r="AN845" s="1272"/>
    </row>
    <row r="846" spans="1:42" s="22" customFormat="1" ht="12.75" customHeight="1">
      <c r="B846" s="3" t="s">
        <v>2659</v>
      </c>
      <c r="C846" s="3"/>
      <c r="D846" s="3"/>
      <c r="E846" s="3"/>
      <c r="F846" s="3"/>
      <c r="G846" s="3"/>
      <c r="H846" s="1424" t="s">
        <v>1424</v>
      </c>
      <c r="I846" s="1424"/>
      <c r="J846" s="1424"/>
      <c r="K846" s="1424"/>
      <c r="L846" s="1424"/>
      <c r="M846" s="1424"/>
      <c r="N846" s="1424"/>
      <c r="O846" s="1424"/>
      <c r="P846" s="1424"/>
      <c r="Q846" s="1424"/>
      <c r="R846" s="1424"/>
      <c r="S846" s="3"/>
      <c r="T846" s="3" t="s">
        <v>2659</v>
      </c>
      <c r="U846"/>
      <c r="V846" s="3"/>
      <c r="W846" s="3"/>
      <c r="X846" s="3"/>
      <c r="Y846" s="3"/>
      <c r="Z846"/>
      <c r="AA846" s="1424" t="s">
        <v>1425</v>
      </c>
      <c r="AB846" s="1424"/>
      <c r="AC846" s="1424"/>
      <c r="AD846" s="1424"/>
      <c r="AE846" s="1424"/>
      <c r="AF846" s="1424"/>
      <c r="AG846" s="1424"/>
      <c r="AH846" s="1424"/>
      <c r="AI846" s="1424"/>
      <c r="AJ846" s="1424"/>
      <c r="AK846" s="1424"/>
      <c r="AL846" s="350"/>
      <c r="AN846" s="1272"/>
    </row>
    <row r="847" spans="1:42" s="22" customFormat="1" ht="12.75" customHeight="1">
      <c r="B847" s="3" t="s">
        <v>2660</v>
      </c>
      <c r="C847" s="3"/>
      <c r="D847" s="3"/>
      <c r="E847" s="3"/>
      <c r="F847" s="3"/>
      <c r="G847" s="3"/>
      <c r="H847" s="1424" t="s">
        <v>2747</v>
      </c>
      <c r="I847" s="1424"/>
      <c r="J847" s="1424"/>
      <c r="K847" s="1424"/>
      <c r="L847" s="1424"/>
      <c r="M847" s="1424"/>
      <c r="N847" s="1424"/>
      <c r="O847" s="1424"/>
      <c r="P847" s="1424"/>
      <c r="Q847" s="1424"/>
      <c r="R847" s="1424"/>
      <c r="S847" s="3"/>
      <c r="T847" s="3" t="s">
        <v>2660</v>
      </c>
      <c r="U847"/>
      <c r="V847" s="3"/>
      <c r="W847" s="3"/>
      <c r="X847" s="3"/>
      <c r="Y847" s="3"/>
      <c r="Z847"/>
      <c r="AA847" s="1424" t="s">
        <v>2753</v>
      </c>
      <c r="AB847" s="1424"/>
      <c r="AC847" s="1424"/>
      <c r="AD847" s="1424"/>
      <c r="AE847" s="1424"/>
      <c r="AF847" s="1424"/>
      <c r="AG847" s="1424"/>
      <c r="AH847" s="1424"/>
      <c r="AI847" s="1424"/>
      <c r="AJ847" s="1424"/>
      <c r="AK847" s="1424"/>
      <c r="AL847" s="350"/>
      <c r="AN847" s="1272"/>
    </row>
    <row r="848" spans="1:42" s="22" customFormat="1" ht="12.75" customHeight="1">
      <c r="B848" s="3" t="s">
        <v>2661</v>
      </c>
      <c r="C848" s="3"/>
      <c r="D848" s="3"/>
      <c r="E848" s="3"/>
      <c r="F848" s="3"/>
      <c r="G848" s="3"/>
      <c r="H848" s="2410" t="s">
        <v>2748</v>
      </c>
      <c r="I848" s="2410"/>
      <c r="J848" s="2410"/>
      <c r="K848" s="2410"/>
      <c r="L848" s="2410"/>
      <c r="M848" s="2410"/>
      <c r="N848" s="2410"/>
      <c r="O848" s="2410"/>
      <c r="P848" s="2410"/>
      <c r="Q848" s="2410"/>
      <c r="R848" s="2410"/>
      <c r="S848" s="3"/>
      <c r="T848" s="3" t="s">
        <v>2661</v>
      </c>
      <c r="U848" s="3"/>
      <c r="V848" s="3"/>
      <c r="W848" s="3"/>
      <c r="X848" s="3"/>
      <c r="Y848" s="3"/>
      <c r="Z848" s="8"/>
      <c r="AA848" s="2410" t="s">
        <v>2752</v>
      </c>
      <c r="AB848" s="2410"/>
      <c r="AC848" s="2410"/>
      <c r="AD848" s="2410"/>
      <c r="AE848" s="2410"/>
      <c r="AF848" s="2410"/>
      <c r="AG848" s="2410"/>
      <c r="AH848" s="2410"/>
      <c r="AI848" s="2410"/>
      <c r="AJ848" s="2410"/>
      <c r="AK848" s="2410"/>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40"/>
      <c r="I850" s="1440"/>
      <c r="J850" s="1440"/>
      <c r="K850" s="1440"/>
      <c r="L850" s="1440"/>
      <c r="M850" s="1440"/>
      <c r="N850" s="1440"/>
      <c r="O850" s="1440"/>
      <c r="P850" s="1440"/>
      <c r="Q850" s="1440"/>
      <c r="R850" s="1440"/>
      <c r="S850"/>
      <c r="T850" s="3" t="s">
        <v>2657</v>
      </c>
      <c r="U850"/>
      <c r="V850" s="3"/>
      <c r="W850" s="3"/>
      <c r="X850" s="3"/>
      <c r="Y850" s="3"/>
      <c r="Z850"/>
      <c r="AA850" s="1440"/>
      <c r="AB850" s="1440"/>
      <c r="AC850" s="1440"/>
      <c r="AD850" s="1440"/>
      <c r="AE850" s="1440"/>
      <c r="AF850" s="1440"/>
      <c r="AG850" s="1440"/>
      <c r="AH850" s="1440"/>
      <c r="AI850" s="1440"/>
      <c r="AJ850" s="1440"/>
      <c r="AK850" s="1440"/>
      <c r="AL850" s="350"/>
      <c r="AN850" s="1272"/>
    </row>
    <row r="851" spans="2:40" s="22" customFormat="1" ht="12.75" customHeight="1">
      <c r="B851" s="3" t="s">
        <v>471</v>
      </c>
      <c r="C851" s="3"/>
      <c r="D851" s="3"/>
      <c r="E851" s="3"/>
      <c r="F851" s="3"/>
      <c r="G851"/>
      <c r="H851" s="1424"/>
      <c r="I851" s="1424"/>
      <c r="J851" s="1424"/>
      <c r="K851" s="1424"/>
      <c r="L851" s="1424"/>
      <c r="M851" s="1424"/>
      <c r="N851" s="1424"/>
      <c r="O851" s="1424"/>
      <c r="P851" s="1424"/>
      <c r="Q851" s="1424"/>
      <c r="R851" s="1424"/>
      <c r="S851"/>
      <c r="T851" s="3" t="s">
        <v>471</v>
      </c>
      <c r="U851"/>
      <c r="V851" s="3"/>
      <c r="W851" s="3"/>
      <c r="X851" s="3"/>
      <c r="Y851" s="3"/>
      <c r="Z851"/>
      <c r="AA851" s="1424"/>
      <c r="AB851" s="1424"/>
      <c r="AC851" s="1424"/>
      <c r="AD851" s="1424"/>
      <c r="AE851" s="1424"/>
      <c r="AF851" s="1424"/>
      <c r="AG851" s="1424"/>
      <c r="AH851" s="1424"/>
      <c r="AI851" s="1424"/>
      <c r="AJ851" s="1424"/>
      <c r="AK851" s="1424"/>
      <c r="AL851" s="350"/>
      <c r="AN851" s="1272"/>
    </row>
    <row r="852" spans="2:40" s="22" customFormat="1" ht="12.75" customHeight="1">
      <c r="B852" s="3" t="s">
        <v>2658</v>
      </c>
      <c r="C852" s="3"/>
      <c r="D852" s="3"/>
      <c r="E852" s="3"/>
      <c r="F852" s="3"/>
      <c r="G852"/>
      <c r="H852" s="1424"/>
      <c r="I852" s="1424"/>
      <c r="J852" s="1424"/>
      <c r="K852" s="1424"/>
      <c r="L852" s="1424"/>
      <c r="M852" s="1424"/>
      <c r="N852" s="1424"/>
      <c r="O852" s="1424"/>
      <c r="P852" s="1424"/>
      <c r="Q852" s="1424"/>
      <c r="R852" s="1424"/>
      <c r="S852"/>
      <c r="T852" s="3" t="s">
        <v>2658</v>
      </c>
      <c r="U852"/>
      <c r="V852" s="3"/>
      <c r="W852" s="3"/>
      <c r="X852" s="3"/>
      <c r="Y852" s="3"/>
      <c r="Z852"/>
      <c r="AA852" s="1424"/>
      <c r="AB852" s="1424"/>
      <c r="AC852" s="1424"/>
      <c r="AD852" s="1424"/>
      <c r="AE852" s="1424"/>
      <c r="AF852" s="1424"/>
      <c r="AG852" s="1424"/>
      <c r="AH852" s="1424"/>
      <c r="AI852" s="1424"/>
      <c r="AJ852" s="1424"/>
      <c r="AK852" s="1424"/>
      <c r="AL852" s="350"/>
      <c r="AN852" s="1272"/>
    </row>
    <row r="853" spans="2:40" s="22" customFormat="1" ht="12.75" customHeight="1">
      <c r="B853" s="3" t="s">
        <v>87</v>
      </c>
      <c r="C853" s="3"/>
      <c r="D853" s="3"/>
      <c r="E853" s="3"/>
      <c r="F853" s="3"/>
      <c r="G853"/>
      <c r="H853" s="1424"/>
      <c r="I853" s="1424"/>
      <c r="J853" s="1424"/>
      <c r="K853" s="1424"/>
      <c r="L853" s="1424"/>
      <c r="M853" s="1424"/>
      <c r="N853" s="1424"/>
      <c r="O853" s="1424"/>
      <c r="P853" s="1424"/>
      <c r="Q853" s="1424"/>
      <c r="R853" s="1424"/>
      <c r="S853"/>
      <c r="T853" s="3" t="s">
        <v>87</v>
      </c>
      <c r="U853"/>
      <c r="V853" s="3"/>
      <c r="W853" s="3"/>
      <c r="X853" s="3"/>
      <c r="Y853" s="3"/>
      <c r="Z853"/>
      <c r="AA853" s="1424"/>
      <c r="AB853" s="1424"/>
      <c r="AC853" s="1424"/>
      <c r="AD853" s="1424"/>
      <c r="AE853" s="1424"/>
      <c r="AF853" s="1424"/>
      <c r="AG853" s="1424"/>
      <c r="AH853" s="1424"/>
      <c r="AI853" s="1424"/>
      <c r="AJ853" s="1424"/>
      <c r="AK853" s="1424"/>
      <c r="AL853" s="350"/>
      <c r="AN853" s="1272"/>
    </row>
    <row r="854" spans="2:40" s="22" customFormat="1" ht="12.75" customHeight="1">
      <c r="B854" s="3" t="s">
        <v>88</v>
      </c>
      <c r="C854" s="3"/>
      <c r="D854" s="3"/>
      <c r="E854" s="3"/>
      <c r="F854" s="3"/>
      <c r="G854" s="3"/>
      <c r="H854" s="1738"/>
      <c r="I854" s="1738"/>
      <c r="J854" s="1738"/>
      <c r="K854" s="1738"/>
      <c r="L854" s="1738"/>
      <c r="M854" s="1738"/>
      <c r="N854" s="3" t="s">
        <v>206</v>
      </c>
      <c r="O854" s="3"/>
      <c r="P854" s="1462"/>
      <c r="Q854" s="1462"/>
      <c r="R854" s="1462"/>
      <c r="S854" s="3"/>
      <c r="T854" s="3" t="s">
        <v>88</v>
      </c>
      <c r="U854"/>
      <c r="V854" s="3"/>
      <c r="W854" s="3"/>
      <c r="X854" s="3"/>
      <c r="Y854" s="3"/>
      <c r="Z854"/>
      <c r="AA854" s="1738"/>
      <c r="AB854" s="1738"/>
      <c r="AC854" s="1738"/>
      <c r="AD854" s="1738"/>
      <c r="AE854" s="1738"/>
      <c r="AF854" s="1738"/>
      <c r="AG854" s="3" t="s">
        <v>206</v>
      </c>
      <c r="AH854" s="3"/>
      <c r="AI854" s="1462"/>
      <c r="AJ854" s="1462"/>
      <c r="AK854" s="1462"/>
      <c r="AL854" s="350"/>
      <c r="AN854" s="1272"/>
    </row>
    <row r="855" spans="2:40" s="22" customFormat="1" ht="12.75" customHeight="1">
      <c r="B855" s="3" t="s">
        <v>2659</v>
      </c>
      <c r="C855" s="3"/>
      <c r="D855" s="3"/>
      <c r="E855" s="3"/>
      <c r="F855" s="3"/>
      <c r="G855" s="3"/>
      <c r="H855" s="1424"/>
      <c r="I855" s="1424"/>
      <c r="J855" s="1424"/>
      <c r="K855" s="1424"/>
      <c r="L855" s="1424"/>
      <c r="M855" s="1424"/>
      <c r="N855" s="1424"/>
      <c r="O855" s="1424"/>
      <c r="P855" s="1424"/>
      <c r="Q855" s="1424"/>
      <c r="R855" s="1424"/>
      <c r="S855" s="3"/>
      <c r="T855" s="3" t="s">
        <v>2659</v>
      </c>
      <c r="U855"/>
      <c r="V855" s="3"/>
      <c r="W855" s="3"/>
      <c r="X855" s="3"/>
      <c r="Y855" s="3"/>
      <c r="Z855"/>
      <c r="AA855" s="1424"/>
      <c r="AB855" s="1424"/>
      <c r="AC855" s="1424"/>
      <c r="AD855" s="1424"/>
      <c r="AE855" s="1424"/>
      <c r="AF855" s="1424"/>
      <c r="AG855" s="1424"/>
      <c r="AH855" s="1424"/>
      <c r="AI855" s="1424"/>
      <c r="AJ855" s="1424"/>
      <c r="AK855" s="1424"/>
      <c r="AL855" s="350"/>
      <c r="AN855" s="1272"/>
    </row>
    <row r="856" spans="2:40" s="22" customFormat="1" ht="12.75" customHeight="1">
      <c r="B856" s="3" t="s">
        <v>2660</v>
      </c>
      <c r="C856" s="3"/>
      <c r="D856" s="3"/>
      <c r="E856" s="3"/>
      <c r="F856" s="3"/>
      <c r="G856" s="3"/>
      <c r="H856" s="1424"/>
      <c r="I856" s="1424"/>
      <c r="J856" s="1424"/>
      <c r="K856" s="1424"/>
      <c r="L856" s="1424"/>
      <c r="M856" s="1424"/>
      <c r="N856" s="1424"/>
      <c r="O856" s="1424"/>
      <c r="P856" s="1424"/>
      <c r="Q856" s="1424"/>
      <c r="R856" s="1424"/>
      <c r="S856" s="3"/>
      <c r="T856" s="3" t="s">
        <v>2660</v>
      </c>
      <c r="U856"/>
      <c r="V856" s="3"/>
      <c r="W856" s="3"/>
      <c r="X856" s="3"/>
      <c r="Y856" s="3"/>
      <c r="Z856"/>
      <c r="AA856" s="1424"/>
      <c r="AB856" s="1424"/>
      <c r="AC856" s="1424"/>
      <c r="AD856" s="1424"/>
      <c r="AE856" s="1424"/>
      <c r="AF856" s="1424"/>
      <c r="AG856" s="1424"/>
      <c r="AH856" s="1424"/>
      <c r="AI856" s="1424"/>
      <c r="AJ856" s="1424"/>
      <c r="AK856" s="1424"/>
      <c r="AL856" s="350"/>
      <c r="AN856" s="1272"/>
    </row>
    <row r="857" spans="2:40" s="22" customFormat="1" ht="12.75" customHeight="1">
      <c r="B857" s="3" t="s">
        <v>2661</v>
      </c>
      <c r="C857" s="3"/>
      <c r="D857" s="3"/>
      <c r="E857" s="3"/>
      <c r="F857" s="3"/>
      <c r="G857" s="3"/>
      <c r="H857" s="2410"/>
      <c r="I857" s="2410"/>
      <c r="J857" s="2410"/>
      <c r="K857" s="2410"/>
      <c r="L857" s="2410"/>
      <c r="M857" s="2410"/>
      <c r="N857" s="2410"/>
      <c r="O857" s="2410"/>
      <c r="P857" s="2410"/>
      <c r="Q857" s="2410"/>
      <c r="R857" s="2410"/>
      <c r="S857" s="3"/>
      <c r="T857" s="3" t="s">
        <v>2661</v>
      </c>
      <c r="U857" s="3"/>
      <c r="V857" s="3"/>
      <c r="W857" s="3"/>
      <c r="X857" s="3"/>
      <c r="Y857" s="3"/>
      <c r="Z857" s="8"/>
      <c r="AA857" s="2410"/>
      <c r="AB857" s="2410"/>
      <c r="AC857" s="2410"/>
      <c r="AD857" s="2410"/>
      <c r="AE857" s="2410"/>
      <c r="AF857" s="2410"/>
      <c r="AG857" s="2410"/>
      <c r="AH857" s="2410"/>
      <c r="AI857" s="2410"/>
      <c r="AJ857" s="2410"/>
      <c r="AK857" s="2410"/>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40"/>
      <c r="I859" s="1440"/>
      <c r="J859" s="1440"/>
      <c r="K859" s="1440"/>
      <c r="L859" s="1440"/>
      <c r="M859" s="1440"/>
      <c r="N859" s="1440"/>
      <c r="O859" s="1440"/>
      <c r="P859" s="1440"/>
      <c r="Q859" s="1440"/>
      <c r="R859" s="1440"/>
      <c r="S859"/>
      <c r="T859" s="3" t="s">
        <v>2657</v>
      </c>
      <c r="U859"/>
      <c r="V859" s="3"/>
      <c r="W859" s="3"/>
      <c r="X859" s="3"/>
      <c r="Y859" s="3"/>
      <c r="Z859"/>
      <c r="AA859" s="1440"/>
      <c r="AB859" s="1440"/>
      <c r="AC859" s="1440"/>
      <c r="AD859" s="1440"/>
      <c r="AE859" s="1440"/>
      <c r="AF859" s="1440"/>
      <c r="AG859" s="1440"/>
      <c r="AH859" s="1440"/>
      <c r="AI859" s="1440"/>
      <c r="AJ859" s="1440"/>
      <c r="AK859" s="1440"/>
      <c r="AL859" s="3"/>
      <c r="AN859" s="1272"/>
    </row>
    <row r="860" spans="2:40" s="22" customFormat="1" ht="12.75" customHeight="1">
      <c r="B860" s="3" t="s">
        <v>471</v>
      </c>
      <c r="C860" s="3"/>
      <c r="D860" s="3"/>
      <c r="E860" s="3"/>
      <c r="F860" s="3"/>
      <c r="G860"/>
      <c r="H860" s="1424"/>
      <c r="I860" s="1424"/>
      <c r="J860" s="1424"/>
      <c r="K860" s="1424"/>
      <c r="L860" s="1424"/>
      <c r="M860" s="1424"/>
      <c r="N860" s="1424"/>
      <c r="O860" s="1424"/>
      <c r="P860" s="1424"/>
      <c r="Q860" s="1424"/>
      <c r="R860" s="1424"/>
      <c r="S860"/>
      <c r="T860" s="3" t="s">
        <v>471</v>
      </c>
      <c r="U860"/>
      <c r="V860" s="3"/>
      <c r="W860" s="3"/>
      <c r="X860" s="3"/>
      <c r="Y860" s="3"/>
      <c r="Z860"/>
      <c r="AA860" s="1424"/>
      <c r="AB860" s="1424"/>
      <c r="AC860" s="1424"/>
      <c r="AD860" s="1424"/>
      <c r="AE860" s="1424"/>
      <c r="AF860" s="1424"/>
      <c r="AG860" s="1424"/>
      <c r="AH860" s="1424"/>
      <c r="AI860" s="1424"/>
      <c r="AJ860" s="1424"/>
      <c r="AK860" s="1424"/>
      <c r="AL860" s="3"/>
      <c r="AN860" s="1272"/>
    </row>
    <row r="861" spans="2:40" s="22" customFormat="1" ht="18" customHeight="1">
      <c r="B861" s="3" t="s">
        <v>2658</v>
      </c>
      <c r="C861" s="3"/>
      <c r="D861" s="3"/>
      <c r="E861" s="3"/>
      <c r="F861" s="3"/>
      <c r="G861"/>
      <c r="H861" s="1424"/>
      <c r="I861" s="1424"/>
      <c r="J861" s="1424"/>
      <c r="K861" s="1424"/>
      <c r="L861" s="1424"/>
      <c r="M861" s="1424"/>
      <c r="N861" s="1424"/>
      <c r="O861" s="1424"/>
      <c r="P861" s="1424"/>
      <c r="Q861" s="1424"/>
      <c r="R861" s="1424"/>
      <c r="S861"/>
      <c r="T861" s="3" t="s">
        <v>2658</v>
      </c>
      <c r="U861"/>
      <c r="V861" s="3"/>
      <c r="W861" s="3"/>
      <c r="X861" s="3"/>
      <c r="Y861" s="3"/>
      <c r="Z861"/>
      <c r="AA861" s="1424"/>
      <c r="AB861" s="1424"/>
      <c r="AC861" s="1424"/>
      <c r="AD861" s="1424"/>
      <c r="AE861" s="1424"/>
      <c r="AF861" s="1424"/>
      <c r="AG861" s="1424"/>
      <c r="AH861" s="1424"/>
      <c r="AI861" s="1424"/>
      <c r="AJ861" s="1424"/>
      <c r="AK861" s="1424"/>
      <c r="AL861" s="3"/>
      <c r="AN861" s="1272"/>
    </row>
    <row r="862" spans="2:40" s="22" customFormat="1" ht="12.75" customHeight="1">
      <c r="B862" s="3" t="s">
        <v>87</v>
      </c>
      <c r="C862" s="3"/>
      <c r="D862" s="3"/>
      <c r="E862" s="3"/>
      <c r="F862" s="3"/>
      <c r="G862"/>
      <c r="H862" s="1424"/>
      <c r="I862" s="1424"/>
      <c r="J862" s="1424"/>
      <c r="K862" s="1424"/>
      <c r="L862" s="1424"/>
      <c r="M862" s="1424"/>
      <c r="N862" s="1424"/>
      <c r="O862" s="1424"/>
      <c r="P862" s="1424"/>
      <c r="Q862" s="1424"/>
      <c r="R862" s="1424"/>
      <c r="S862"/>
      <c r="T862" s="3" t="s">
        <v>87</v>
      </c>
      <c r="U862"/>
      <c r="V862" s="3"/>
      <c r="W862" s="3"/>
      <c r="X862" s="3"/>
      <c r="Y862" s="3"/>
      <c r="Z862"/>
      <c r="AA862" s="1424"/>
      <c r="AB862" s="1424"/>
      <c r="AC862" s="1424"/>
      <c r="AD862" s="1424"/>
      <c r="AE862" s="1424"/>
      <c r="AF862" s="1424"/>
      <c r="AG862" s="1424"/>
      <c r="AH862" s="1424"/>
      <c r="AI862" s="1424"/>
      <c r="AJ862" s="1424"/>
      <c r="AK862" s="1424"/>
      <c r="AL862" s="3"/>
      <c r="AN862" s="1272"/>
    </row>
    <row r="863" spans="2:40" s="22" customFormat="1" ht="12.75" customHeight="1">
      <c r="B863" s="3" t="s">
        <v>88</v>
      </c>
      <c r="C863" s="3"/>
      <c r="D863" s="3"/>
      <c r="E863" s="3"/>
      <c r="F863" s="3"/>
      <c r="G863" s="3"/>
      <c r="H863" s="1738"/>
      <c r="I863" s="1738"/>
      <c r="J863" s="1738"/>
      <c r="K863" s="1738"/>
      <c r="L863" s="1738"/>
      <c r="M863" s="1738"/>
      <c r="N863" s="3" t="s">
        <v>206</v>
      </c>
      <c r="O863" s="3"/>
      <c r="P863" s="1462"/>
      <c r="Q863" s="1462"/>
      <c r="R863" s="1462"/>
      <c r="S863" s="3"/>
      <c r="T863" s="3" t="s">
        <v>88</v>
      </c>
      <c r="U863"/>
      <c r="V863" s="3"/>
      <c r="W863" s="3"/>
      <c r="X863" s="3"/>
      <c r="Y863" s="3"/>
      <c r="Z863"/>
      <c r="AA863" s="1738"/>
      <c r="AB863" s="1738"/>
      <c r="AC863" s="1738"/>
      <c r="AD863" s="1738"/>
      <c r="AE863" s="1738"/>
      <c r="AF863" s="1738"/>
      <c r="AG863" s="3" t="s">
        <v>206</v>
      </c>
      <c r="AH863" s="3"/>
      <c r="AI863" s="1462"/>
      <c r="AJ863" s="1462"/>
      <c r="AK863" s="1462"/>
      <c r="AL863" s="3"/>
      <c r="AN863" s="1272"/>
    </row>
    <row r="864" spans="2:40" s="22" customFormat="1" ht="12.75" customHeight="1">
      <c r="B864" s="3" t="s">
        <v>2659</v>
      </c>
      <c r="C864" s="3"/>
      <c r="D864" s="3"/>
      <c r="E864" s="3"/>
      <c r="F864" s="3"/>
      <c r="G864" s="3"/>
      <c r="H864" s="1424"/>
      <c r="I864" s="1424"/>
      <c r="J864" s="1424"/>
      <c r="K864" s="1424"/>
      <c r="L864" s="1424"/>
      <c r="M864" s="1424"/>
      <c r="N864" s="1424"/>
      <c r="O864" s="1424"/>
      <c r="P864" s="1424"/>
      <c r="Q864" s="1424"/>
      <c r="R864" s="1424"/>
      <c r="S864" s="3"/>
      <c r="T864" s="3" t="s">
        <v>2659</v>
      </c>
      <c r="U864"/>
      <c r="V864" s="3"/>
      <c r="W864" s="3"/>
      <c r="X864" s="3"/>
      <c r="Y864" s="3"/>
      <c r="Z864"/>
      <c r="AA864" s="1424"/>
      <c r="AB864" s="1424"/>
      <c r="AC864" s="1424"/>
      <c r="AD864" s="1424"/>
      <c r="AE864" s="1424"/>
      <c r="AF864" s="1424"/>
      <c r="AG864" s="1424"/>
      <c r="AH864" s="1424"/>
      <c r="AI864" s="1424"/>
      <c r="AJ864" s="1424"/>
      <c r="AK864" s="1424"/>
      <c r="AL864" s="3"/>
      <c r="AN864" s="1272"/>
    </row>
    <row r="865" spans="1:43" s="22" customFormat="1" ht="12.75" customHeight="1">
      <c r="B865" s="3" t="s">
        <v>2660</v>
      </c>
      <c r="C865" s="3"/>
      <c r="D865" s="3"/>
      <c r="E865" s="3"/>
      <c r="F865" s="3"/>
      <c r="G865" s="3"/>
      <c r="H865" s="1424"/>
      <c r="I865" s="1424"/>
      <c r="J865" s="1424"/>
      <c r="K865" s="1424"/>
      <c r="L865" s="1424"/>
      <c r="M865" s="1424"/>
      <c r="N865" s="1424"/>
      <c r="O865" s="1424"/>
      <c r="P865" s="1424"/>
      <c r="Q865" s="1424"/>
      <c r="R865" s="1424"/>
      <c r="S865" s="3"/>
      <c r="T865" s="3" t="s">
        <v>2660</v>
      </c>
      <c r="U865"/>
      <c r="V865" s="3"/>
      <c r="W865" s="3"/>
      <c r="X865" s="3"/>
      <c r="Y865" s="3"/>
      <c r="Z865"/>
      <c r="AA865" s="1424"/>
      <c r="AB865" s="1424"/>
      <c r="AC865" s="1424"/>
      <c r="AD865" s="1424"/>
      <c r="AE865" s="1424"/>
      <c r="AF865" s="1424"/>
      <c r="AG865" s="1424"/>
      <c r="AH865" s="1424"/>
      <c r="AI865" s="1424"/>
      <c r="AJ865" s="1424"/>
      <c r="AK865" s="1424"/>
      <c r="AL865" s="3"/>
      <c r="AN865" s="1272"/>
    </row>
    <row r="866" spans="1:43" s="22" customFormat="1" ht="12.75" customHeight="1">
      <c r="B866" s="3" t="s">
        <v>2661</v>
      </c>
      <c r="C866" s="3"/>
      <c r="D866" s="3"/>
      <c r="E866" s="3"/>
      <c r="F866" s="3"/>
      <c r="G866" s="3"/>
      <c r="H866" s="2410"/>
      <c r="I866" s="2410"/>
      <c r="J866" s="2410"/>
      <c r="K866" s="2410"/>
      <c r="L866" s="2410"/>
      <c r="M866" s="2410"/>
      <c r="N866" s="2410"/>
      <c r="O866" s="2410"/>
      <c r="P866" s="2410"/>
      <c r="Q866" s="2410"/>
      <c r="R866" s="2410"/>
      <c r="S866" s="3"/>
      <c r="T866" s="3" t="s">
        <v>2661</v>
      </c>
      <c r="U866" s="3"/>
      <c r="V866" s="3"/>
      <c r="W866" s="3"/>
      <c r="X866" s="3"/>
      <c r="Y866" s="3"/>
      <c r="Z866" s="8"/>
      <c r="AA866" s="2410"/>
      <c r="AB866" s="2410"/>
      <c r="AC866" s="2410"/>
      <c r="AD866" s="2410"/>
      <c r="AE866" s="2410"/>
      <c r="AF866" s="2410"/>
      <c r="AG866" s="2410"/>
      <c r="AH866" s="2410"/>
      <c r="AI866" s="2410"/>
      <c r="AJ866" s="2410"/>
      <c r="AK866" s="2410"/>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5" t="s">
        <v>1557</v>
      </c>
      <c r="B869" s="2586"/>
      <c r="C869" s="2586"/>
      <c r="D869" s="2586"/>
      <c r="E869" s="2586"/>
      <c r="F869" s="2586"/>
      <c r="G869" s="2586"/>
      <c r="H869" s="2586"/>
      <c r="I869" s="2586"/>
      <c r="J869" s="2586"/>
      <c r="K869" s="2586"/>
      <c r="L869" s="2586"/>
      <c r="M869" s="2586"/>
      <c r="N869" s="2586"/>
      <c r="O869" s="2586"/>
      <c r="P869" s="2586"/>
      <c r="Q869" s="2586"/>
      <c r="R869" s="2586"/>
      <c r="S869" s="2586"/>
      <c r="T869" s="2586"/>
      <c r="U869" s="2586"/>
      <c r="V869" s="2586"/>
      <c r="W869" s="2586"/>
      <c r="X869" s="2586"/>
      <c r="Y869" s="2586"/>
      <c r="Z869" s="2586"/>
      <c r="AA869" s="2586"/>
      <c r="AB869" s="2586"/>
      <c r="AC869" s="2586"/>
      <c r="AD869" s="2586"/>
      <c r="AE869" s="2586"/>
      <c r="AF869" s="2586"/>
      <c r="AG869" s="2586"/>
      <c r="AH869" s="2586"/>
      <c r="AI869" s="2586"/>
      <c r="AJ869" s="2586"/>
      <c r="AK869" s="2586"/>
      <c r="AL869" s="2586"/>
      <c r="AM869" s="2586"/>
    </row>
    <row r="870" spans="1:43">
      <c r="A870" s="2587"/>
      <c r="B870" s="2587"/>
      <c r="C870" s="2587"/>
      <c r="D870" s="2587"/>
      <c r="E870" s="2587"/>
      <c r="F870" s="2587"/>
      <c r="G870" s="2587"/>
      <c r="H870" s="2587"/>
      <c r="I870" s="2587"/>
      <c r="J870" s="2587"/>
      <c r="K870" s="2587"/>
      <c r="L870" s="2587"/>
      <c r="M870" s="2587"/>
      <c r="N870" s="2587"/>
      <c r="O870" s="2587"/>
      <c r="P870" s="2587"/>
      <c r="Q870" s="2587"/>
      <c r="R870" s="2587"/>
      <c r="S870" s="2587"/>
      <c r="T870" s="2587"/>
      <c r="U870" s="2587"/>
      <c r="V870" s="2587"/>
      <c r="W870" s="2587"/>
      <c r="X870" s="2587"/>
      <c r="Y870" s="2587"/>
      <c r="Z870" s="2587"/>
      <c r="AA870" s="2587"/>
      <c r="AB870" s="2587"/>
      <c r="AC870" s="2587"/>
      <c r="AD870" s="2587"/>
      <c r="AE870" s="2587"/>
      <c r="AF870" s="2587"/>
      <c r="AG870" s="2587"/>
      <c r="AH870" s="2587"/>
      <c r="AI870" s="2587"/>
      <c r="AJ870" s="2587"/>
      <c r="AK870" s="2587"/>
      <c r="AL870" s="2587"/>
      <c r="AM870" s="2587"/>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6"/>
      <c r="B872" s="2536"/>
      <c r="C872" s="2536"/>
      <c r="D872" s="2536"/>
      <c r="E872" s="2536"/>
      <c r="F872" s="2536"/>
      <c r="G872" s="2536"/>
      <c r="H872" s="2536"/>
      <c r="I872" s="2536"/>
      <c r="J872" s="2536"/>
      <c r="K872" s="2536"/>
      <c r="L872" s="2536"/>
      <c r="M872" s="2536"/>
      <c r="N872" s="2536"/>
      <c r="O872" s="2536"/>
      <c r="P872" s="2536"/>
      <c r="Q872" s="2536"/>
      <c r="R872" s="2536"/>
      <c r="S872" s="2536"/>
      <c r="T872" s="2536"/>
      <c r="U872" s="2536"/>
      <c r="V872" s="2536"/>
      <c r="W872" s="2536"/>
      <c r="X872" s="2536"/>
      <c r="Y872" s="2536"/>
      <c r="Z872" s="2536"/>
      <c r="AA872" s="2536"/>
      <c r="AB872" s="2536"/>
      <c r="AC872" s="2536"/>
      <c r="AD872" s="2536"/>
      <c r="AE872" s="2536"/>
      <c r="AF872" s="2536"/>
      <c r="AG872" s="2536"/>
      <c r="AH872" s="2536"/>
      <c r="AI872" s="2536"/>
      <c r="AJ872" s="2536"/>
      <c r="AK872" s="2536"/>
      <c r="AL872" s="2536"/>
      <c r="AM872" s="2536"/>
      <c r="AP872" s="807"/>
      <c r="AQ872" s="807"/>
    </row>
    <row r="873" spans="1:43">
      <c r="A873" s="2536"/>
      <c r="B873" s="2536"/>
      <c r="C873" s="2536"/>
      <c r="D873" s="2536"/>
      <c r="E873" s="2536"/>
      <c r="F873" s="2536"/>
      <c r="G873" s="2536"/>
      <c r="H873" s="2536"/>
      <c r="I873" s="2536"/>
      <c r="J873" s="2536"/>
      <c r="K873" s="2536"/>
      <c r="L873" s="2536"/>
      <c r="M873" s="2536"/>
      <c r="N873" s="2536"/>
      <c r="O873" s="2536"/>
      <c r="P873" s="2536"/>
      <c r="Q873" s="2536"/>
      <c r="R873" s="2536"/>
      <c r="S873" s="2536"/>
      <c r="T873" s="2536"/>
      <c r="U873" s="2536"/>
      <c r="V873" s="2536"/>
      <c r="W873" s="2536"/>
      <c r="X873" s="2536"/>
      <c r="Y873" s="2536"/>
      <c r="Z873" s="2536"/>
      <c r="AA873" s="2536"/>
      <c r="AB873" s="2536"/>
      <c r="AC873" s="2536"/>
      <c r="AD873" s="2536"/>
      <c r="AE873" s="2536"/>
      <c r="AF873" s="2536"/>
      <c r="AG873" s="2536"/>
      <c r="AH873" s="2536"/>
      <c r="AI873" s="2536"/>
      <c r="AJ873" s="2536"/>
      <c r="AK873" s="2536"/>
      <c r="AL873" s="2536"/>
      <c r="AM873" s="253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8" t="s">
        <v>1558</v>
      </c>
      <c r="U874" s="2589"/>
      <c r="V874" s="2589"/>
      <c r="W874" s="2589"/>
      <c r="X874" s="2589"/>
      <c r="Y874" s="2590"/>
      <c r="Z874" s="2588" t="s">
        <v>1559</v>
      </c>
      <c r="AA874" s="2589"/>
      <c r="AB874" s="2589"/>
      <c r="AC874" s="2589"/>
      <c r="AD874" s="2589"/>
      <c r="AE874" s="2590"/>
      <c r="AF874" s="2588" t="s">
        <v>1560</v>
      </c>
      <c r="AG874" s="2589"/>
      <c r="AH874" s="2589"/>
      <c r="AI874" s="2589"/>
      <c r="AJ874" s="2589"/>
      <c r="AK874" s="2590"/>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1"/>
      <c r="U875" s="2592"/>
      <c r="V875" s="2592"/>
      <c r="W875" s="2592"/>
      <c r="X875" s="2592"/>
      <c r="Y875" s="2593"/>
      <c r="Z875" s="2591"/>
      <c r="AA875" s="2592"/>
      <c r="AB875" s="2592"/>
      <c r="AC875" s="2592"/>
      <c r="AD875" s="2592"/>
      <c r="AE875" s="2593"/>
      <c r="AF875" s="2591"/>
      <c r="AG875" s="2592"/>
      <c r="AH875" s="2592"/>
      <c r="AI875" s="2592"/>
      <c r="AJ875" s="2592"/>
      <c r="AK875" s="2593"/>
      <c r="AL875" s="809"/>
      <c r="AM875" s="589"/>
      <c r="AO875" s="807"/>
      <c r="AP875" s="807"/>
      <c r="AQ875" s="807"/>
    </row>
    <row r="876" spans="1:43">
      <c r="A876" s="810" t="s">
        <v>757</v>
      </c>
      <c r="B876" s="2568" t="str">
        <f>B7</f>
        <v xml:space="preserve">Acquisition/Rehabilitation Project Priorities </v>
      </c>
      <c r="C876" s="2568"/>
      <c r="D876" s="2568"/>
      <c r="E876" s="2568"/>
      <c r="F876" s="2568"/>
      <c r="G876" s="2568"/>
      <c r="H876" s="2568"/>
      <c r="I876" s="2568"/>
      <c r="J876" s="2568"/>
      <c r="K876" s="2568"/>
      <c r="L876" s="2568"/>
      <c r="M876" s="2568"/>
      <c r="N876" s="2568"/>
      <c r="O876" s="2568"/>
      <c r="P876" s="2568"/>
      <c r="Q876" s="2568"/>
      <c r="R876" s="2568"/>
      <c r="S876" s="2569"/>
      <c r="T876" s="2570">
        <f>AK61</f>
        <v>0</v>
      </c>
      <c r="U876" s="2571"/>
      <c r="V876" s="2571"/>
      <c r="W876" s="2571"/>
      <c r="X876" s="2571"/>
      <c r="Y876" s="2572"/>
      <c r="Z876" s="2573">
        <v>20</v>
      </c>
      <c r="AA876" s="2571"/>
      <c r="AB876" s="2571"/>
      <c r="AC876" s="2571"/>
      <c r="AD876" s="2571"/>
      <c r="AE876" s="2572"/>
      <c r="AF876" s="2566">
        <f>IF(T876&gt;Z876,Z876,T876)</f>
        <v>0</v>
      </c>
      <c r="AG876" s="2566"/>
      <c r="AH876" s="2566"/>
      <c r="AI876" s="2566"/>
      <c r="AJ876" s="2566"/>
      <c r="AK876" s="2566"/>
      <c r="AL876" s="809"/>
      <c r="AM876" s="589"/>
      <c r="AO876" s="807"/>
      <c r="AP876" s="807"/>
      <c r="AQ876" s="807"/>
    </row>
    <row r="877" spans="1:43">
      <c r="A877" s="810" t="s">
        <v>1531</v>
      </c>
      <c r="B877" s="2568" t="s">
        <v>1306</v>
      </c>
      <c r="C877" s="2568"/>
      <c r="D877" s="2568"/>
      <c r="E877" s="2568"/>
      <c r="F877" s="2568"/>
      <c r="G877" s="2568"/>
      <c r="H877" s="2568"/>
      <c r="I877" s="2568"/>
      <c r="J877" s="2568"/>
      <c r="K877" s="2568"/>
      <c r="L877" s="2568"/>
      <c r="M877" s="2568"/>
      <c r="N877" s="2568"/>
      <c r="O877" s="2568"/>
      <c r="P877" s="2568"/>
      <c r="Q877" s="2568"/>
      <c r="R877" s="2568"/>
      <c r="S877" s="2569"/>
      <c r="T877" s="2570">
        <f>AK83</f>
        <v>10</v>
      </c>
      <c r="U877" s="2571"/>
      <c r="V877" s="2571"/>
      <c r="W877" s="2571"/>
      <c r="X877" s="2571"/>
      <c r="Y877" s="2572"/>
      <c r="Z877" s="2573">
        <v>10</v>
      </c>
      <c r="AA877" s="2571"/>
      <c r="AB877" s="2571"/>
      <c r="AC877" s="2571"/>
      <c r="AD877" s="2571"/>
      <c r="AE877" s="2572"/>
      <c r="AF877" s="2566">
        <f>IF(T877&gt;Z877,Z877,T877)</f>
        <v>10</v>
      </c>
      <c r="AG877" s="2566"/>
      <c r="AH877" s="2566"/>
      <c r="AI877" s="2566"/>
      <c r="AJ877" s="2566"/>
      <c r="AK877" s="2566"/>
      <c r="AL877" s="809"/>
      <c r="AM877" s="589"/>
      <c r="AO877" s="807"/>
      <c r="AP877" s="807"/>
      <c r="AQ877" s="807"/>
    </row>
    <row r="878" spans="1:43">
      <c r="A878" s="810" t="s">
        <v>1540</v>
      </c>
      <c r="B878" s="2568" t="s">
        <v>1316</v>
      </c>
      <c r="C878" s="2568"/>
      <c r="D878" s="2568"/>
      <c r="E878" s="2568"/>
      <c r="F878" s="2568"/>
      <c r="G878" s="2568"/>
      <c r="H878" s="2568"/>
      <c r="I878" s="2568"/>
      <c r="J878" s="2568"/>
      <c r="K878" s="2568"/>
      <c r="L878" s="2568"/>
      <c r="M878" s="2568"/>
      <c r="N878" s="2568"/>
      <c r="O878" s="2568"/>
      <c r="P878" s="2568"/>
      <c r="Q878" s="2568"/>
      <c r="R878" s="2568"/>
      <c r="S878" s="2569"/>
      <c r="T878" s="2570">
        <f ca="1">AK108</f>
        <v>20</v>
      </c>
      <c r="U878" s="2571"/>
      <c r="V878" s="2571"/>
      <c r="W878" s="2571"/>
      <c r="X878" s="2571"/>
      <c r="Y878" s="2572"/>
      <c r="Z878" s="2573">
        <v>20</v>
      </c>
      <c r="AA878" s="2571"/>
      <c r="AB878" s="2571"/>
      <c r="AC878" s="2571"/>
      <c r="AD878" s="2571"/>
      <c r="AE878" s="2572"/>
      <c r="AF878" s="2566">
        <f ca="1">IF(T878&gt;Z878,Z878,T878)</f>
        <v>20</v>
      </c>
      <c r="AG878" s="2566"/>
      <c r="AH878" s="2566"/>
      <c r="AI878" s="2566"/>
      <c r="AJ878" s="2566"/>
      <c r="AK878" s="2566"/>
      <c r="AL878" s="809"/>
      <c r="AM878" s="589"/>
      <c r="AO878" s="807"/>
      <c r="AP878" s="807"/>
      <c r="AQ878" s="807"/>
    </row>
    <row r="879" spans="1:43">
      <c r="A879" s="810" t="s">
        <v>1561</v>
      </c>
      <c r="B879" s="2568" t="s">
        <v>1326</v>
      </c>
      <c r="C879" s="2568"/>
      <c r="D879" s="2568"/>
      <c r="E879" s="2568"/>
      <c r="F879" s="2568"/>
      <c r="G879" s="2568"/>
      <c r="H879" s="2568"/>
      <c r="I879" s="2568"/>
      <c r="J879" s="2568"/>
      <c r="K879" s="2568"/>
      <c r="L879" s="2568"/>
      <c r="M879" s="2568"/>
      <c r="N879" s="2568"/>
      <c r="O879" s="2568"/>
      <c r="P879" s="2568"/>
      <c r="Q879" s="2568"/>
      <c r="R879" s="2568"/>
      <c r="S879" s="2569"/>
      <c r="T879" s="2570">
        <f>AK142</f>
        <v>10</v>
      </c>
      <c r="U879" s="2571"/>
      <c r="V879" s="2571"/>
      <c r="W879" s="2571"/>
      <c r="X879" s="2571"/>
      <c r="Y879" s="2572"/>
      <c r="Z879" s="2573">
        <v>10</v>
      </c>
      <c r="AA879" s="2571"/>
      <c r="AB879" s="2571"/>
      <c r="AC879" s="2571"/>
      <c r="AD879" s="2571"/>
      <c r="AE879" s="2572"/>
      <c r="AF879" s="2566">
        <f>IF(T879&gt;Z879,Z879,T879)</f>
        <v>10</v>
      </c>
      <c r="AG879" s="2566"/>
      <c r="AH879" s="2566"/>
      <c r="AI879" s="2566"/>
      <c r="AJ879" s="2566"/>
      <c r="AK879" s="2566"/>
      <c r="AL879" s="809"/>
      <c r="AM879" s="589"/>
      <c r="AO879" s="807"/>
      <c r="AP879" s="807"/>
      <c r="AQ879" s="807"/>
    </row>
    <row r="880" spans="1:43">
      <c r="A880" s="811" t="s">
        <v>1562</v>
      </c>
      <c r="B880" s="2568" t="s">
        <v>1563</v>
      </c>
      <c r="C880" s="2568"/>
      <c r="D880" s="2568"/>
      <c r="E880" s="2568"/>
      <c r="F880" s="2568"/>
      <c r="G880" s="2568"/>
      <c r="H880" s="2568"/>
      <c r="I880" s="2568"/>
      <c r="J880" s="2568"/>
      <c r="K880" s="2568"/>
      <c r="L880" s="2568"/>
      <c r="M880" s="2568"/>
      <c r="N880" s="2568"/>
      <c r="O880" s="2568"/>
      <c r="P880" s="2568"/>
      <c r="Q880" s="2568"/>
      <c r="R880" s="2568"/>
      <c r="S880" s="2569"/>
      <c r="T880" s="2594">
        <f>SUM(T881:Y882)</f>
        <v>10</v>
      </c>
      <c r="U880" s="2594"/>
      <c r="V880" s="2594"/>
      <c r="W880" s="2594"/>
      <c r="X880" s="2594"/>
      <c r="Y880" s="2594"/>
      <c r="Z880" s="2566">
        <v>10</v>
      </c>
      <c r="AA880" s="2566"/>
      <c r="AB880" s="2566"/>
      <c r="AC880" s="2566"/>
      <c r="AD880" s="2566"/>
      <c r="AE880" s="2566"/>
      <c r="AF880" s="2566">
        <f>IF(T880&gt;Z880,Z880,T880)</f>
        <v>10</v>
      </c>
      <c r="AG880" s="2566"/>
      <c r="AH880" s="2566"/>
      <c r="AI880" s="2566"/>
      <c r="AJ880" s="2566"/>
      <c r="AK880" s="2566"/>
      <c r="AL880" s="809"/>
      <c r="AM880" s="589"/>
    </row>
    <row r="881" spans="1:81">
      <c r="A881" s="531"/>
      <c r="B881" s="594"/>
      <c r="C881" s="2595" t="s">
        <v>1564</v>
      </c>
      <c r="D881" s="2595"/>
      <c r="E881" s="2595"/>
      <c r="F881" s="2595"/>
      <c r="G881" s="2595"/>
      <c r="H881" s="2595"/>
      <c r="I881" s="2595"/>
      <c r="J881" s="2595"/>
      <c r="K881" s="2595"/>
      <c r="L881" s="2595"/>
      <c r="M881" s="2595"/>
      <c r="N881" s="2595"/>
      <c r="O881" s="2595"/>
      <c r="P881" s="2595"/>
      <c r="Q881" s="2595"/>
      <c r="R881" s="2595"/>
      <c r="S881" s="2596"/>
      <c r="T881" s="2487">
        <f>AJ165</f>
        <v>7</v>
      </c>
      <c r="U881" s="2487"/>
      <c r="V881" s="2487"/>
      <c r="W881" s="2487"/>
      <c r="X881" s="2487"/>
      <c r="Y881" s="2487"/>
      <c r="Z881" s="2488">
        <v>7</v>
      </c>
      <c r="AA881" s="2488"/>
      <c r="AB881" s="2488"/>
      <c r="AC881" s="2488"/>
      <c r="AD881" s="2488"/>
      <c r="AE881" s="2488"/>
      <c r="AF881" s="2597"/>
      <c r="AG881" s="2597"/>
      <c r="AH881" s="2597"/>
      <c r="AI881" s="2597"/>
      <c r="AJ881" s="2597"/>
      <c r="AK881" s="2597"/>
      <c r="AL881" s="809"/>
      <c r="AM881" s="589"/>
    </row>
    <row r="882" spans="1:81">
      <c r="A882" s="593"/>
      <c r="B882" s="594"/>
      <c r="C882" s="2595" t="s">
        <v>1565</v>
      </c>
      <c r="D882" s="2595"/>
      <c r="E882" s="2595"/>
      <c r="F882" s="2595"/>
      <c r="G882" s="2595"/>
      <c r="H882" s="2595"/>
      <c r="I882" s="2595"/>
      <c r="J882" s="2595"/>
      <c r="K882" s="2595"/>
      <c r="L882" s="2595"/>
      <c r="M882" s="2595"/>
      <c r="N882" s="2595"/>
      <c r="O882" s="2595"/>
      <c r="P882" s="2595"/>
      <c r="Q882" s="2595"/>
      <c r="R882" s="2595"/>
      <c r="S882" s="2596"/>
      <c r="T882" s="2487">
        <f>AJ179</f>
        <v>3</v>
      </c>
      <c r="U882" s="2487"/>
      <c r="V882" s="2487"/>
      <c r="W882" s="2487"/>
      <c r="X882" s="2487"/>
      <c r="Y882" s="2487"/>
      <c r="Z882" s="2488">
        <v>3</v>
      </c>
      <c r="AA882" s="2488"/>
      <c r="AB882" s="2488"/>
      <c r="AC882" s="2488"/>
      <c r="AD882" s="2488"/>
      <c r="AE882" s="2488"/>
      <c r="AF882" s="2597"/>
      <c r="AG882" s="2597"/>
      <c r="AH882" s="2597"/>
      <c r="AI882" s="2597"/>
      <c r="AJ882" s="2597"/>
      <c r="AK882" s="2597"/>
      <c r="AL882" s="809"/>
      <c r="AM882" s="589"/>
      <c r="AO882" s="544"/>
    </row>
    <row r="883" spans="1:81">
      <c r="A883" s="811" t="s">
        <v>1354</v>
      </c>
      <c r="B883" s="2568" t="s">
        <v>1566</v>
      </c>
      <c r="C883" s="2568"/>
      <c r="D883" s="2568"/>
      <c r="E883" s="2568"/>
      <c r="F883" s="2568"/>
      <c r="G883" s="2568"/>
      <c r="H883" s="2568"/>
      <c r="I883" s="2568"/>
      <c r="J883" s="2568"/>
      <c r="K883" s="2568"/>
      <c r="L883" s="2568"/>
      <c r="M883" s="2568"/>
      <c r="N883" s="2568"/>
      <c r="O883" s="2568"/>
      <c r="P883" s="2568"/>
      <c r="Q883" s="2568"/>
      <c r="R883" s="2568"/>
      <c r="S883" s="2569"/>
      <c r="T883" s="2594">
        <f>AK190</f>
        <v>10</v>
      </c>
      <c r="U883" s="2594"/>
      <c r="V883" s="2594"/>
      <c r="W883" s="2594"/>
      <c r="X883" s="2594"/>
      <c r="Y883" s="2594"/>
      <c r="Z883" s="2566">
        <v>10</v>
      </c>
      <c r="AA883" s="2566"/>
      <c r="AB883" s="2566"/>
      <c r="AC883" s="2566"/>
      <c r="AD883" s="2566"/>
      <c r="AE883" s="2566"/>
      <c r="AF883" s="2566">
        <f>IF(T883&gt;Z883,Z883,T883)</f>
        <v>10</v>
      </c>
      <c r="AG883" s="2566"/>
      <c r="AH883" s="2566"/>
      <c r="AI883" s="2566"/>
      <c r="AJ883" s="2566"/>
      <c r="AK883" s="2566"/>
      <c r="AL883" s="809"/>
      <c r="AM883" s="589"/>
    </row>
    <row r="884" spans="1:81" hidden="1">
      <c r="A884" s="810" t="s">
        <v>1362</v>
      </c>
      <c r="B884" s="2568" t="s">
        <v>1363</v>
      </c>
      <c r="C884" s="2568"/>
      <c r="D884" s="2568"/>
      <c r="E884" s="2568"/>
      <c r="F884" s="2568"/>
      <c r="G884" s="2568"/>
      <c r="H884" s="2568"/>
      <c r="I884" s="2568"/>
      <c r="J884" s="2568"/>
      <c r="K884" s="2568"/>
      <c r="L884" s="2568"/>
      <c r="M884" s="2568"/>
      <c r="N884" s="2568"/>
      <c r="O884" s="2568"/>
      <c r="P884" s="2568"/>
      <c r="Q884" s="2568"/>
      <c r="R884" s="2568"/>
      <c r="S884" s="2569"/>
      <c r="T884" s="2594">
        <f>AK272</f>
        <v>0</v>
      </c>
      <c r="U884" s="2594"/>
      <c r="V884" s="2594"/>
      <c r="W884" s="2594"/>
      <c r="X884" s="2594"/>
      <c r="Y884" s="2594"/>
      <c r="Z884" s="2573">
        <v>8</v>
      </c>
      <c r="AA884" s="2571"/>
      <c r="AB884" s="2571"/>
      <c r="AC884" s="2571"/>
      <c r="AD884" s="2571"/>
      <c r="AE884" s="2572"/>
      <c r="AF884" s="2566"/>
      <c r="AG884" s="2566"/>
      <c r="AH884" s="2566"/>
      <c r="AI884" s="2566"/>
      <c r="AJ884" s="2566"/>
      <c r="AK884" s="2566"/>
      <c r="AL884" s="809"/>
      <c r="AM884" s="589"/>
    </row>
    <row r="885" spans="1:81" s="530" customFormat="1" hidden="1">
      <c r="A885" s="811" t="s">
        <v>589</v>
      </c>
      <c r="B885" s="2568" t="s">
        <v>1567</v>
      </c>
      <c r="C885" s="2568"/>
      <c r="D885" s="2568"/>
      <c r="E885" s="2568"/>
      <c r="F885" s="2568"/>
      <c r="G885" s="2568"/>
      <c r="H885" s="2568"/>
      <c r="I885" s="2568"/>
      <c r="J885" s="2568"/>
      <c r="K885" s="2568"/>
      <c r="L885" s="2568"/>
      <c r="M885" s="2568"/>
      <c r="N885" s="2568"/>
      <c r="O885" s="2568"/>
      <c r="P885" s="2568"/>
      <c r="Q885" s="2568"/>
      <c r="R885" s="2568"/>
      <c r="S885" s="2569"/>
      <c r="T885" s="2594">
        <f>IF(AK548&gt;5,5,AK548)</f>
        <v>0</v>
      </c>
      <c r="U885" s="2594"/>
      <c r="V885" s="2594"/>
      <c r="W885" s="2594"/>
      <c r="X885" s="2594"/>
      <c r="Y885" s="2594"/>
      <c r="Z885" s="2566">
        <v>5</v>
      </c>
      <c r="AA885" s="2566"/>
      <c r="AB885" s="2566"/>
      <c r="AC885" s="2566"/>
      <c r="AD885" s="2566"/>
      <c r="AE885" s="2566"/>
      <c r="AF885" s="2566"/>
      <c r="AG885" s="2566"/>
      <c r="AH885" s="2566"/>
      <c r="AI885" s="2566"/>
      <c r="AJ885" s="2566"/>
      <c r="AK885" s="2566"/>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8" t="str">
        <f>B275</f>
        <v>Readiness to Proceed</v>
      </c>
      <c r="C886" s="2568"/>
      <c r="D886" s="2568"/>
      <c r="E886" s="2568"/>
      <c r="F886" s="2568"/>
      <c r="G886" s="2568"/>
      <c r="H886" s="2568"/>
      <c r="I886" s="2568"/>
      <c r="J886" s="2568"/>
      <c r="K886" s="2568"/>
      <c r="L886" s="2568"/>
      <c r="M886" s="2568"/>
      <c r="N886" s="2568"/>
      <c r="O886" s="2568"/>
      <c r="P886" s="2568"/>
      <c r="Q886" s="2568"/>
      <c r="R886" s="2568"/>
      <c r="S886" s="2569"/>
      <c r="T886" s="2594">
        <f>AK298</f>
        <v>10</v>
      </c>
      <c r="U886" s="2594"/>
      <c r="V886" s="2594"/>
      <c r="W886" s="2594"/>
      <c r="X886" s="2594"/>
      <c r="Y886" s="2594"/>
      <c r="Z886" s="2566">
        <v>10</v>
      </c>
      <c r="AA886" s="2566"/>
      <c r="AB886" s="2566"/>
      <c r="AC886" s="2566"/>
      <c r="AD886" s="2566"/>
      <c r="AE886" s="2566"/>
      <c r="AF886" s="2599">
        <f>IF(T886&gt;Z886,Z886,T886)</f>
        <v>10</v>
      </c>
      <c r="AG886" s="2600"/>
      <c r="AH886" s="2600"/>
      <c r="AI886" s="2600"/>
      <c r="AJ886" s="2600"/>
      <c r="AK886" s="260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8" t="str">
        <f>B301</f>
        <v>Access to Opportunity</v>
      </c>
      <c r="C887" s="2568"/>
      <c r="D887" s="2568"/>
      <c r="E887" s="2568"/>
      <c r="F887" s="2568"/>
      <c r="G887" s="2568"/>
      <c r="H887" s="2568"/>
      <c r="I887" s="2568"/>
      <c r="J887" s="2568"/>
      <c r="K887" s="2568"/>
      <c r="L887" s="2568"/>
      <c r="M887" s="2568"/>
      <c r="N887" s="2568"/>
      <c r="O887" s="2568"/>
      <c r="P887" s="2568"/>
      <c r="Q887" s="2568"/>
      <c r="R887" s="2568"/>
      <c r="S887" s="2569"/>
      <c r="T887" s="2594">
        <f>AK351</f>
        <v>9</v>
      </c>
      <c r="U887" s="2594"/>
      <c r="V887" s="2594"/>
      <c r="W887" s="2594"/>
      <c r="X887" s="2594"/>
      <c r="Y887" s="2594"/>
      <c r="Z887" s="2599">
        <v>10</v>
      </c>
      <c r="AA887" s="2600"/>
      <c r="AB887" s="2600"/>
      <c r="AC887" s="2600"/>
      <c r="AD887" s="2600"/>
      <c r="AE887" s="2601"/>
      <c r="AF887" s="2599">
        <f>IF(T887&gt;Z887,Z887,T887)</f>
        <v>9</v>
      </c>
      <c r="AG887" s="2600"/>
      <c r="AH887" s="2600"/>
      <c r="AI887" s="2600"/>
      <c r="AJ887" s="2600"/>
      <c r="AK887" s="260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7">
        <f>AK351</f>
        <v>9</v>
      </c>
      <c r="U888" s="2487"/>
      <c r="V888" s="2487"/>
      <c r="W888" s="2487"/>
      <c r="X888" s="2487"/>
      <c r="Y888" s="2487"/>
      <c r="Z888" s="2498">
        <v>20</v>
      </c>
      <c r="AA888" s="2499"/>
      <c r="AB888" s="2499"/>
      <c r="AC888" s="2499"/>
      <c r="AD888" s="2499"/>
      <c r="AE888" s="2500"/>
      <c r="AF888" s="2597"/>
      <c r="AG888" s="2597"/>
      <c r="AH888" s="2597"/>
      <c r="AI888" s="2597"/>
      <c r="AJ888" s="2597"/>
      <c r="AK888" s="259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8" t="s">
        <v>845</v>
      </c>
      <c r="C889" s="2568"/>
      <c r="D889" s="2568"/>
      <c r="E889" s="2568"/>
      <c r="F889" s="2568"/>
      <c r="G889" s="2568"/>
      <c r="H889" s="2568"/>
      <c r="I889" s="2568"/>
      <c r="J889" s="2568"/>
      <c r="K889" s="2568"/>
      <c r="L889" s="2568"/>
      <c r="M889" s="2568"/>
      <c r="N889" s="2568"/>
      <c r="O889" s="2568"/>
      <c r="P889" s="2568"/>
      <c r="Q889" s="2568"/>
      <c r="R889" s="2568"/>
      <c r="S889" s="2569"/>
      <c r="T889" s="2594">
        <f>AK482</f>
        <v>10</v>
      </c>
      <c r="U889" s="2594"/>
      <c r="V889" s="2594"/>
      <c r="W889" s="2594"/>
      <c r="X889" s="2594"/>
      <c r="Y889" s="2594"/>
      <c r="Z889" s="2599">
        <v>10</v>
      </c>
      <c r="AA889" s="2600"/>
      <c r="AB889" s="2600"/>
      <c r="AC889" s="2600"/>
      <c r="AD889" s="2600"/>
      <c r="AE889" s="2601"/>
      <c r="AF889" s="2566">
        <f>IF(T889&gt;Z889,Z889,T889)</f>
        <v>10</v>
      </c>
      <c r="AG889" s="2566"/>
      <c r="AH889" s="2566"/>
      <c r="AI889" s="2566"/>
      <c r="AJ889" s="2566"/>
      <c r="AK889" s="2566"/>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8" t="s">
        <v>1549</v>
      </c>
      <c r="C890" s="2568"/>
      <c r="D890" s="2568"/>
      <c r="E890" s="2568"/>
      <c r="F890" s="2568"/>
      <c r="G890" s="2568"/>
      <c r="H890" s="2568"/>
      <c r="I890" s="2568"/>
      <c r="J890" s="2568"/>
      <c r="K890" s="2568"/>
      <c r="L890" s="2568"/>
      <c r="M890" s="2568"/>
      <c r="N890" s="2568"/>
      <c r="O890" s="2568"/>
      <c r="P890" s="2568"/>
      <c r="Q890" s="2568"/>
      <c r="R890" s="2568"/>
      <c r="S890" s="2569"/>
      <c r="T890" s="2594">
        <f>AK572</f>
        <v>12</v>
      </c>
      <c r="U890" s="2594"/>
      <c r="V890" s="2594"/>
      <c r="W890" s="2594"/>
      <c r="X890" s="2594"/>
      <c r="Y890" s="2594"/>
      <c r="Z890" s="2599">
        <v>12</v>
      </c>
      <c r="AA890" s="2600"/>
      <c r="AB890" s="2600"/>
      <c r="AC890" s="2600"/>
      <c r="AD890" s="2600"/>
      <c r="AE890" s="2601"/>
      <c r="AF890" s="2566">
        <f>IF(T890&gt;Z890,Z890,T890)</f>
        <v>12</v>
      </c>
      <c r="AG890" s="2566"/>
      <c r="AH890" s="2566"/>
      <c r="AI890" s="2566"/>
      <c r="AJ890" s="2566"/>
      <c r="AK890" s="2566"/>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8" t="s">
        <v>1569</v>
      </c>
      <c r="C891" s="2568"/>
      <c r="D891" s="2568"/>
      <c r="E891" s="2568"/>
      <c r="F891" s="2568"/>
      <c r="G891" s="2568"/>
      <c r="H891" s="2568"/>
      <c r="I891" s="2568"/>
      <c r="J891" s="2568"/>
      <c r="K891" s="2568"/>
      <c r="L891" s="2568"/>
      <c r="M891" s="2568"/>
      <c r="N891" s="2568"/>
      <c r="O891" s="2568"/>
      <c r="P891" s="2568"/>
      <c r="Q891" s="2568"/>
      <c r="R891" s="2568"/>
      <c r="S891" s="2569"/>
      <c r="T891" s="2594">
        <f>AK819</f>
        <v>10</v>
      </c>
      <c r="U891" s="2594"/>
      <c r="V891" s="2594"/>
      <c r="W891" s="2594"/>
      <c r="X891" s="2594"/>
      <c r="Y891" s="2594"/>
      <c r="Z891" s="2599">
        <v>10</v>
      </c>
      <c r="AA891" s="2600"/>
      <c r="AB891" s="2600"/>
      <c r="AC891" s="2600"/>
      <c r="AD891" s="2600"/>
      <c r="AE891" s="2601"/>
      <c r="AF891" s="2566">
        <f>IF(T891&gt;Z891,Z891,T891)</f>
        <v>10</v>
      </c>
      <c r="AG891" s="2566"/>
      <c r="AH891" s="2566"/>
      <c r="AI891" s="2566"/>
      <c r="AJ891" s="2566"/>
      <c r="AK891" s="2566"/>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8"/>
      <c r="U892" s="2598"/>
      <c r="V892" s="2598"/>
      <c r="W892" s="2598"/>
      <c r="X892" s="2598"/>
      <c r="Y892" s="2598"/>
      <c r="Z892" s="2488" t="s">
        <v>1571</v>
      </c>
      <c r="AA892" s="2488"/>
      <c r="AB892" s="2488"/>
      <c r="AC892" s="2488"/>
      <c r="AD892" s="2488"/>
      <c r="AE892" s="2488"/>
      <c r="AF892" s="2599">
        <f>ABS(T892)</f>
        <v>0</v>
      </c>
      <c r="AG892" s="2600"/>
      <c r="AH892" s="2600"/>
      <c r="AI892" s="2600"/>
      <c r="AJ892" s="2600"/>
      <c r="AK892" s="260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602" t="s">
        <v>1572</v>
      </c>
      <c r="B893" s="2603"/>
      <c r="C893" s="2603"/>
      <c r="D893" s="2603"/>
      <c r="E893" s="2603"/>
      <c r="F893" s="2603"/>
      <c r="G893" s="2603"/>
      <c r="H893" s="2603"/>
      <c r="I893" s="2603"/>
      <c r="J893" s="2603"/>
      <c r="K893" s="2603"/>
      <c r="L893" s="2603"/>
      <c r="M893" s="2603"/>
      <c r="N893" s="2603"/>
      <c r="O893" s="2603"/>
      <c r="P893" s="2603"/>
      <c r="Q893" s="2603"/>
      <c r="R893" s="2603"/>
      <c r="S893" s="2603"/>
      <c r="T893" s="2603"/>
      <c r="U893" s="2603"/>
      <c r="V893" s="2603"/>
      <c r="W893" s="2603"/>
      <c r="X893" s="2603"/>
      <c r="Y893" s="2603"/>
      <c r="Z893" s="2603"/>
      <c r="AA893" s="2603"/>
      <c r="AB893" s="2603"/>
      <c r="AC893" s="2603"/>
      <c r="AD893" s="2603"/>
      <c r="AE893" s="2604"/>
      <c r="AF893" s="2608">
        <f ca="1">SUM(AF876:AK891)-AF892</f>
        <v>111</v>
      </c>
      <c r="AG893" s="2609"/>
      <c r="AH893" s="2609"/>
      <c r="AI893" s="2609"/>
      <c r="AJ893" s="2609"/>
      <c r="AK893" s="261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605"/>
      <c r="B894" s="2606"/>
      <c r="C894" s="2606"/>
      <c r="D894" s="2606"/>
      <c r="E894" s="2606"/>
      <c r="F894" s="2606"/>
      <c r="G894" s="2606"/>
      <c r="H894" s="2606"/>
      <c r="I894" s="2606"/>
      <c r="J894" s="2606"/>
      <c r="K894" s="2606"/>
      <c r="L894" s="2606"/>
      <c r="M894" s="2606"/>
      <c r="N894" s="2606"/>
      <c r="O894" s="2606"/>
      <c r="P894" s="2606"/>
      <c r="Q894" s="2606"/>
      <c r="R894" s="2606"/>
      <c r="S894" s="2606"/>
      <c r="T894" s="2606"/>
      <c r="U894" s="2606"/>
      <c r="V894" s="2606"/>
      <c r="W894" s="2606"/>
      <c r="X894" s="2606"/>
      <c r="Y894" s="2606"/>
      <c r="Z894" s="2606"/>
      <c r="AA894" s="2606"/>
      <c r="AB894" s="2606"/>
      <c r="AC894" s="2606"/>
      <c r="AD894" s="2606"/>
      <c r="AE894" s="2607"/>
      <c r="AF894" s="2611"/>
      <c r="AG894" s="2612"/>
      <c r="AH894" s="2612"/>
      <c r="AI894" s="2612"/>
      <c r="AJ894" s="2612"/>
      <c r="AK894" s="261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L134" sqref="L134"/>
    </sheetView>
  </sheetViews>
  <sheetFormatPr defaultColWidth="9.109375" defaultRowHeight="13.8"/>
  <cols>
    <col min="1" max="1" width="2.44140625" style="1034" customWidth="1"/>
    <col min="2" max="9" width="14.6640625" style="1034" customWidth="1"/>
    <col min="10" max="10" width="2.33203125" style="1034" customWidth="1"/>
    <col min="11" max="11" width="11.88671875" style="1035" customWidth="1"/>
    <col min="12" max="12" width="10.6640625" style="1034" customWidth="1"/>
    <col min="13" max="13" width="10.44140625" style="1034" customWidth="1"/>
    <col min="14" max="14" width="10.88671875" style="1034" customWidth="1"/>
    <col min="15" max="18" width="9.109375" style="1034"/>
    <col min="19" max="19" width="9.44140625" style="1034" bestFit="1" customWidth="1"/>
    <col min="20" max="16384" width="9.109375" style="1034"/>
  </cols>
  <sheetData>
    <row r="1" spans="1:13" ht="30" customHeight="1">
      <c r="A1" s="2680" t="s">
        <v>1573</v>
      </c>
      <c r="B1" s="2680"/>
      <c r="C1" s="2680"/>
      <c r="D1" s="2680"/>
      <c r="E1" s="2680"/>
      <c r="F1" s="2680"/>
      <c r="G1" s="2680"/>
      <c r="H1" s="2680"/>
      <c r="I1" s="2680"/>
      <c r="J1" s="2680"/>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45612632</v>
      </c>
      <c r="I3" s="1094"/>
    </row>
    <row r="4" spans="1:13" s="1041" customFormat="1" ht="20.100000000000001" customHeight="1">
      <c r="B4" s="1083"/>
      <c r="D4" s="1097"/>
      <c r="F4" s="1082" t="s">
        <v>1959</v>
      </c>
      <c r="G4" s="1081" t="s">
        <v>1958</v>
      </c>
      <c r="H4" s="1195">
        <f>I18</f>
        <v>27056538.982785717</v>
      </c>
      <c r="I4" s="1084"/>
      <c r="K4" s="1045"/>
    </row>
    <row r="5" spans="1:13" s="1041" customFormat="1" ht="20.100000000000001" customHeight="1" thickBot="1">
      <c r="B5" s="1085"/>
      <c r="C5" s="1086"/>
      <c r="D5" s="1098"/>
      <c r="E5" s="1087"/>
      <c r="F5" s="1098" t="s">
        <v>1909</v>
      </c>
      <c r="G5" s="1099"/>
      <c r="H5" s="1095">
        <f>IFERROR(H3/H4,0)</f>
        <v>1.6858265585639129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1907</v>
      </c>
      <c r="C8" s="2684"/>
      <c r="D8" s="2684"/>
      <c r="E8" s="2685"/>
      <c r="G8" s="2686" t="s">
        <v>1908</v>
      </c>
      <c r="H8" s="2687"/>
      <c r="I8" s="2688"/>
      <c r="K8" s="1047"/>
    </row>
    <row r="9" spans="1:13" ht="15" customHeight="1">
      <c r="A9" s="1036"/>
      <c r="B9" s="2681" t="s">
        <v>1941</v>
      </c>
      <c r="C9" s="2681"/>
      <c r="D9" s="2681"/>
      <c r="E9" s="1049">
        <f>G33</f>
        <v>9480000</v>
      </c>
      <c r="G9" s="2677" t="s">
        <v>1939</v>
      </c>
      <c r="H9" s="2677"/>
      <c r="I9" s="1050">
        <f>MAX(SUMIF(Application!M562:M573,"Loan, Tax-Exempt",Application!AM562:AM573),27.5%*SUM('Sources and Uses Budget'!C8,'Sources and Uses Budget'!S105,'Sources and Uses Budget'!T105))</f>
        <v>26883715.100000001</v>
      </c>
      <c r="K9" s="1051"/>
      <c r="M9" s="1052"/>
    </row>
    <row r="10" spans="1:13" ht="15" customHeight="1" thickBot="1">
      <c r="A10" s="1036"/>
      <c r="B10" s="2681" t="s">
        <v>1942</v>
      </c>
      <c r="C10" s="2681"/>
      <c r="D10" s="2681"/>
      <c r="E10" s="1050">
        <f>G47</f>
        <v>18499032</v>
      </c>
      <c r="G10" s="2679" t="s">
        <v>1910</v>
      </c>
      <c r="H10" s="2679"/>
      <c r="I10" s="1129">
        <f>IF(OR(Application!Z205="State Farmworker Credit",Application!Z205="$500M (Farmworker Housing)"),0,'Basis &amp; Credits'!AB78)</f>
        <v>0</v>
      </c>
      <c r="M10" s="1052"/>
    </row>
    <row r="11" spans="1:13" ht="15" customHeight="1">
      <c r="A11" s="1036"/>
      <c r="B11" s="2690" t="s">
        <v>2204</v>
      </c>
      <c r="C11" s="2691"/>
      <c r="D11" s="2692"/>
      <c r="E11" s="1050">
        <f>SUM(E13,E12)</f>
        <v>380000</v>
      </c>
      <c r="G11" s="2689" t="s">
        <v>1950</v>
      </c>
      <c r="H11" s="2689"/>
      <c r="I11" s="1128">
        <f>I9+I10</f>
        <v>26883715.100000001</v>
      </c>
      <c r="M11" s="1052"/>
    </row>
    <row r="12" spans="1:13" ht="15" customHeight="1">
      <c r="A12" s="1053"/>
      <c r="B12" s="2682" t="s">
        <v>2563</v>
      </c>
      <c r="C12" s="2682"/>
      <c r="D12" s="2682"/>
      <c r="E12" s="1153">
        <f>G56</f>
        <v>380000</v>
      </c>
      <c r="M12" s="1052"/>
    </row>
    <row r="13" spans="1:13" ht="15" customHeight="1">
      <c r="A13" s="1039"/>
      <c r="B13" s="2682" t="s">
        <v>2564</v>
      </c>
      <c r="C13" s="2682"/>
      <c r="D13" s="2682"/>
      <c r="E13" s="1153">
        <f>IF(G67,MAX(G65,G79),G65)</f>
        <v>0</v>
      </c>
      <c r="G13" s="2686" t="s">
        <v>1973</v>
      </c>
      <c r="H13" s="2687"/>
      <c r="I13" s="2688"/>
    </row>
    <row r="14" spans="1:13" ht="15" customHeight="1">
      <c r="A14" s="1039"/>
      <c r="B14" s="2690" t="s">
        <v>2205</v>
      </c>
      <c r="C14" s="2691"/>
      <c r="D14" s="2692"/>
      <c r="E14" s="1155">
        <f>MAX(E15,E16)+E17</f>
        <v>17253600</v>
      </c>
      <c r="G14" s="2677" t="s">
        <v>2580</v>
      </c>
      <c r="H14" s="2677"/>
      <c r="I14" s="1054">
        <f>IF(AND(G134="Yes",G136&lt;&gt;""),IF(OR(G141="Yes",G145="Yes"),18%,15%),0)</f>
        <v>0</v>
      </c>
      <c r="M14" s="1052"/>
    </row>
    <row r="15" spans="1:13" ht="15" customHeight="1">
      <c r="A15" s="1039"/>
      <c r="B15" s="2693" t="s">
        <v>2577</v>
      </c>
      <c r="C15" s="2694"/>
      <c r="D15" s="2695"/>
      <c r="E15" s="1153">
        <f>G94</f>
        <v>5688000</v>
      </c>
      <c r="G15" s="1126" t="s">
        <v>1951</v>
      </c>
      <c r="H15" s="1126"/>
      <c r="I15" s="1054">
        <f>IF(Application!AJ1041&gt;0,10%,IF(Application!AJ1045&gt;0,5%,0))</f>
        <v>0</v>
      </c>
      <c r="M15" s="1052"/>
    </row>
    <row r="16" spans="1:13" ht="15" customHeight="1">
      <c r="A16" s="1039"/>
      <c r="B16" s="2693" t="s">
        <v>2578</v>
      </c>
      <c r="C16" s="2694"/>
      <c r="D16" s="2695"/>
      <c r="E16" s="1153">
        <f>G104</f>
        <v>0</v>
      </c>
      <c r="G16" s="2677" t="s">
        <v>1952</v>
      </c>
      <c r="H16" s="2677"/>
      <c r="I16" s="1054">
        <f>G155</f>
        <v>-6.4285714285714285E-3</v>
      </c>
    </row>
    <row r="17" spans="1:21" ht="15" customHeight="1" thickBot="1">
      <c r="A17" s="1039"/>
      <c r="B17" s="2693" t="s">
        <v>2579</v>
      </c>
      <c r="C17" s="2694"/>
      <c r="D17" s="2695"/>
      <c r="E17" s="1153">
        <f>G129</f>
        <v>11565600</v>
      </c>
      <c r="G17" s="2677" t="s">
        <v>2213</v>
      </c>
      <c r="H17" s="2677"/>
      <c r="I17" s="1054">
        <f>IF(AND(G161="Yes",G159),IF(G165&gt;15%,15%,G165),0)</f>
        <v>0</v>
      </c>
    </row>
    <row r="18" spans="1:21" ht="15" customHeight="1">
      <c r="A18" s="1036"/>
      <c r="B18" s="2678" t="s">
        <v>1906</v>
      </c>
      <c r="C18" s="2678"/>
      <c r="D18" s="2678"/>
      <c r="E18" s="1100">
        <f>SUM(E9:E11,E14)</f>
        <v>45612632</v>
      </c>
      <c r="G18" s="1127" t="s">
        <v>1940</v>
      </c>
      <c r="H18" s="1127"/>
      <c r="I18" s="1101">
        <f>I11-((I11*I14)+(I11*I15)+(I11*I16)+(I11*I17))</f>
        <v>27056538.982785717</v>
      </c>
      <c r="M18" s="1055">
        <f>SUM(Cdlac[Quantity])</f>
        <v>182</v>
      </c>
      <c r="O18" s="1074" t="s">
        <v>582</v>
      </c>
      <c r="P18" s="1034">
        <f>MATCH(Application!T189,Application!CB160:CB217,0)</f>
        <v>37</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4</v>
      </c>
      <c r="N20" s="1061">
        <f>Application!AC726</f>
        <v>0.3</v>
      </c>
      <c r="O20" s="1061">
        <f>IF(Cdlac[[#This Row],[Quantity]]&gt;0,IF(Cdlac[[#This Row],[Federal]],30%,IF(AND(OR(NOT($G$38),$G$38=""),$G$43),40%,Cdlac[[#This Row],[iAMI]])),"")</f>
        <v>0.3</v>
      </c>
      <c r="P20" s="1055" cm="1">
        <f t="array" ref="P20">IF(Cdlac[[#This Row],[Quantity]]&gt;0,INDEX(TcacRents,$P$18,Cdlac[[#This Row],[Bedrooms]]+1)*Cdlac[[#This Row],[AMI]],"")</f>
        <v>918.6</v>
      </c>
      <c r="Q20" s="1152"/>
      <c r="R20" s="1055" cm="1">
        <f t="array" ref="R20">IF(Cdlac[[#This Row],[Quantity]]&gt;0,INDEX(HudFmrs,$P$18,Cdlac[[#This Row],[Bedrooms]]+1),"")</f>
        <v>2288</v>
      </c>
      <c r="S20" s="1055">
        <f>IF(Cdlac[[#This Row],[Quantity]]&gt;0,MAX(0,Cdlac[[#This Row],[Fair Market Rent]]-IF(AND($G$37,$G$38,$G$38&lt;&gt;"",NOT(Cdlac[[#This Row],[Federal]]),Cdlac[[#This Row],[Preservation Rent]]&lt;&gt;""),Cdlac[[#This Row],[Preservation Rent]],Cdlac[[#This Row],[Restricted Rent]])),"")</f>
        <v>1369.4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4</v>
      </c>
      <c r="N21" s="1061">
        <f>Application!AC727</f>
        <v>0.5</v>
      </c>
      <c r="O21" s="1061">
        <f>IF(Cdlac[[#This Row],[Quantity]]&gt;0,IF(Cdlac[[#This Row],[Federal]],30%,IF(AND(OR(NOT($G$38),$G$38=""),$G$43),40%,Cdlac[[#This Row],[iAMI]])),"")</f>
        <v>0.5</v>
      </c>
      <c r="P21" s="1055" cm="1">
        <f t="array" ref="P21">IF(Cdlac[[#This Row],[Quantity]]&gt;0,INDEX(TcacRents,$P$18,Cdlac[[#This Row],[Bedrooms]]+1)*Cdlac[[#This Row],[AMI]],"")</f>
        <v>1531</v>
      </c>
      <c r="Q21" s="1152"/>
      <c r="R21" s="1055" cm="1">
        <f t="array" ref="R21">IF(Cdlac[[#This Row],[Quantity]]&gt;0,INDEX(HudFmrs,$P$18,Cdlac[[#This Row],[Bedrooms]]+1),"")</f>
        <v>2288</v>
      </c>
      <c r="S21" s="1055">
        <f>IF(Cdlac[[#This Row],[Quantity]]&gt;0,MAX(0,Cdlac[[#This Row],[Fair Market Rent]]-IF(AND($G$37,$G$38,$G$38&lt;&gt;"",NOT(Cdlac[[#This Row],[Federal]]),Cdlac[[#This Row],[Preservation Rent]]&lt;&gt;""),Cdlac[[#This Row],[Preservation Rent]],Cdlac[[#This Row],[Restricted Rent]])),"")</f>
        <v>757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1954</v>
      </c>
      <c r="D22" s="2667" t="s">
        <v>1955</v>
      </c>
      <c r="E22" s="2667" t="s">
        <v>1956</v>
      </c>
      <c r="F22" s="2667" t="s">
        <v>2526</v>
      </c>
      <c r="G22" s="2667" t="s">
        <v>1953</v>
      </c>
      <c r="H22" s="1060"/>
      <c r="I22" s="1059"/>
      <c r="L22" s="1034">
        <f>IFERROR(MIN(4,MATCH(Application!B728,UnitSizes,0)-1),"")</f>
        <v>0</v>
      </c>
      <c r="M22" s="1055">
        <f>Application!G728</f>
        <v>4</v>
      </c>
      <c r="N22" s="1061">
        <f>Application!AC728</f>
        <v>0.6</v>
      </c>
      <c r="O22" s="1061">
        <f>IF(Cdlac[[#This Row],[Quantity]]&gt;0,IF(Cdlac[[#This Row],[Federal]],30%,IF(AND(OR(NOT($G$38),$G$38=""),$G$43),40%,Cdlac[[#This Row],[iAMI]])),"")</f>
        <v>0.6</v>
      </c>
      <c r="P22" s="1055" cm="1">
        <f t="array" ref="P22">IF(Cdlac[[#This Row],[Quantity]]&gt;0,INDEX(TcacRents,$P$18,Cdlac[[#This Row],[Bedrooms]]+1)*Cdlac[[#This Row],[AMI]],"")</f>
        <v>1837.2</v>
      </c>
      <c r="Q22" s="1152"/>
      <c r="R22" s="1055" cm="1">
        <f t="array" ref="R22">IF(Cdlac[[#This Row],[Quantity]]&gt;0,INDEX(HudFmrs,$P$18,Cdlac[[#This Row],[Bedrooms]]+1),"")</f>
        <v>2288</v>
      </c>
      <c r="S22" s="1055">
        <f>IF(Cdlac[[#This Row],[Quantity]]&gt;0,MAX(0,Cdlac[[#This Row],[Fair Market Rent]]-IF(AND($G$37,$G$38,$G$38&lt;&gt;"",NOT(Cdlac[[#This Row],[Federal]]),Cdlac[[#This Row],[Preservation Rent]]&lt;&gt;""),Cdlac[[#This Row],[Preservation Rent]],Cdlac[[#This Row],[Restricted Rent]])),"")</f>
        <v>450.79999999999995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f>IFERROR(MIN(4,MATCH(Application!B729,UnitSizes,0)-1),"")</f>
        <v>0</v>
      </c>
      <c r="M23" s="1055">
        <f>Application!G729</f>
        <v>22</v>
      </c>
      <c r="N23" s="1061">
        <f>Application!AC729</f>
        <v>0.8</v>
      </c>
      <c r="O23" s="1061">
        <f>IF(Cdlac[[#This Row],[Quantity]]&gt;0,IF(Cdlac[[#This Row],[Federal]],30%,IF(AND(OR(NOT($G$38),$G$38=""),$G$43),40%,Cdlac[[#This Row],[iAMI]])),"")</f>
        <v>0.8</v>
      </c>
      <c r="P23" s="1055" cm="1">
        <f t="array" ref="P23">IF(Cdlac[[#This Row],[Quantity]]&gt;0,INDEX(TcacRents,$P$18,Cdlac[[#This Row],[Bedrooms]]+1)*Cdlac[[#This Row],[AMI]],"")</f>
        <v>2449.6</v>
      </c>
      <c r="Q23" s="1152"/>
      <c r="R23" s="1055" cm="1">
        <f t="array" ref="R23">IF(Cdlac[[#This Row],[Quantity]]&gt;0,INDEX(HudFmrs,$P$18,Cdlac[[#This Row],[Bedrooms]]+1),"")</f>
        <v>2288</v>
      </c>
      <c r="S23" s="1055">
        <f>IF(Cdlac[[#This Row],[Quantity]]&gt;0,MAX(0,Cdlac[[#This Row],[Fair Market Rent]]-IF(AND($G$37,$G$38,$G$38&lt;&gt;"",NOT(Cdlac[[#This Row],[Federal]]),Cdlac[[#This Row],[Preservation Rent]]&lt;&gt;""),Cdlac[[#This Row],[Preservation Rent]],Cdlac[[#This Row],[Restricted Rent]])),"")</f>
        <v>0</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34</v>
      </c>
      <c r="F24" s="1062">
        <f>E24</f>
        <v>34</v>
      </c>
      <c r="G24" s="1062">
        <f>D24*F24</f>
        <v>30.6</v>
      </c>
      <c r="L24" s="1034">
        <f>IFERROR(MIN(4,MATCH(Application!B730,UnitSizes,0)-1),"")</f>
        <v>1</v>
      </c>
      <c r="M24" s="1055">
        <f>Application!G730</f>
        <v>9</v>
      </c>
      <c r="N24" s="1061">
        <f>Application!AC730</f>
        <v>0.3</v>
      </c>
      <c r="O24" s="1061">
        <f>IF(Cdlac[[#This Row],[Quantity]]&gt;0,IF(Cdlac[[#This Row],[Federal]],30%,IF(AND(OR(NOT($G$38),$G$38=""),$G$43),40%,Cdlac[[#This Row],[iAMI]])),"")</f>
        <v>0.3</v>
      </c>
      <c r="P24" s="1055" cm="1">
        <f t="array" ref="P24">IF(Cdlac[[#This Row],[Quantity]]&gt;0,INDEX(TcacRents,$P$18,Cdlac[[#This Row],[Bedrooms]]+1)*Cdlac[[#This Row],[AMI]],"")</f>
        <v>984</v>
      </c>
      <c r="Q24" s="1152"/>
      <c r="R24" s="1055" cm="1">
        <f t="array" ref="R24">IF(Cdlac[[#This Row],[Quantity]]&gt;0,INDEX(HudFmrs,$P$18,Cdlac[[#This Row],[Bedrooms]]+1),"")</f>
        <v>2459</v>
      </c>
      <c r="S24" s="1055">
        <f>IF(Cdlac[[#This Row],[Quantity]]&gt;0,MAX(0,Cdlac[[#This Row],[Fair Market Rent]]-IF(AND($G$37,$G$38,$G$38&lt;&gt;"",NOT(Cdlac[[#This Row],[Federal]]),Cdlac[[#This Row],[Preservation Rent]]&lt;&gt;""),Cdlac[[#This Row],[Preservation Rent]],Cdlac[[#This Row],[Restricted Rent]])),"")</f>
        <v>1475</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104</v>
      </c>
      <c r="F25" s="1062">
        <f>E25</f>
        <v>104</v>
      </c>
      <c r="G25" s="1062">
        <f>D25*F25</f>
        <v>104</v>
      </c>
      <c r="L25" s="1034">
        <f>IFERROR(MIN(4,MATCH(Application!B731,UnitSizes,0)-1),"")</f>
        <v>1</v>
      </c>
      <c r="M25" s="1055">
        <f>Application!G731</f>
        <v>11</v>
      </c>
      <c r="N25" s="1061">
        <f>Application!AC731</f>
        <v>0.5</v>
      </c>
      <c r="O25" s="1061">
        <f>IF(Cdlac[[#This Row],[Quantity]]&gt;0,IF(Cdlac[[#This Row],[Federal]],30%,IF(AND(OR(NOT($G$38),$G$38=""),$G$43),40%,Cdlac[[#This Row],[iAMI]])),"")</f>
        <v>0.5</v>
      </c>
      <c r="P25" s="1055" cm="1">
        <f t="array" ref="P25">IF(Cdlac[[#This Row],[Quantity]]&gt;0,INDEX(TcacRents,$P$18,Cdlac[[#This Row],[Bedrooms]]+1)*Cdlac[[#This Row],[AMI]],"")</f>
        <v>1640</v>
      </c>
      <c r="Q25" s="1152"/>
      <c r="R25" s="1055" cm="1">
        <f t="array" ref="R25">IF(Cdlac[[#This Row],[Quantity]]&gt;0,INDEX(HudFmrs,$P$18,Cdlac[[#This Row],[Bedrooms]]+1),"")</f>
        <v>2459</v>
      </c>
      <c r="S25" s="1055">
        <f>IF(Cdlac[[#This Row],[Quantity]]&gt;0,MAX(0,Cdlac[[#This Row],[Fair Market Rent]]-IF(AND($G$37,$G$38,$G$38&lt;&gt;"",NOT(Cdlac[[#This Row],[Federal]]),Cdlac[[#This Row],[Preservation Rent]]&lt;&gt;""),Cdlac[[#This Row],[Preservation Rent]],Cdlac[[#This Row],[Restricted Rent]])),"")</f>
        <v>819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44</v>
      </c>
      <c r="F26" s="1065">
        <f>SUM(E26:E28)-SUM(F27:F28)</f>
        <v>44</v>
      </c>
      <c r="G26" s="1062">
        <f>D26*F26</f>
        <v>55</v>
      </c>
      <c r="H26" s="1064"/>
      <c r="I26" s="1064"/>
      <c r="L26" s="1034">
        <f>IFERROR(MIN(4,MATCH(Application!B732,UnitSizes,0)-1),"")</f>
        <v>1</v>
      </c>
      <c r="M26" s="1055">
        <f>Application!G732</f>
        <v>70</v>
      </c>
      <c r="N26" s="1061">
        <f>Application!AC732</f>
        <v>0.6</v>
      </c>
      <c r="O26" s="1061">
        <f>IF(Cdlac[[#This Row],[Quantity]]&gt;0,IF(Cdlac[[#This Row],[Federal]],30%,IF(AND(OR(NOT($G$38),$G$38=""),$G$43),40%,Cdlac[[#This Row],[iAMI]])),"")</f>
        <v>0.6</v>
      </c>
      <c r="P26" s="1055" cm="1">
        <f t="array" ref="P26">IF(Cdlac[[#This Row],[Quantity]]&gt;0,INDEX(TcacRents,$P$18,Cdlac[[#This Row],[Bedrooms]]+1)*Cdlac[[#This Row],[AMI]],"")</f>
        <v>1968</v>
      </c>
      <c r="Q26" s="1152"/>
      <c r="R26" s="1055" cm="1">
        <f t="array" ref="R26">IF(Cdlac[[#This Row],[Quantity]]&gt;0,INDEX(HudFmrs,$P$18,Cdlac[[#This Row],[Bedrooms]]+1),"")</f>
        <v>2459</v>
      </c>
      <c r="S26" s="1055">
        <f>IF(Cdlac[[#This Row],[Quantity]]&gt;0,MAX(0,Cdlac[[#This Row],[Fair Market Rent]]-IF(AND($G$37,$G$38,$G$38&lt;&gt;"",NOT(Cdlac[[#This Row],[Federal]]),Cdlac[[#This Row],[Preservation Rent]]&lt;&gt;""),Cdlac[[#This Row],[Preservation Rent]],Cdlac[[#This Row],[Restricted Rent]])),"")</f>
        <v>491</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1</v>
      </c>
      <c r="M27" s="1055">
        <f>Application!G733</f>
        <v>14</v>
      </c>
      <c r="N27" s="1061">
        <f>Application!AC733</f>
        <v>0.8</v>
      </c>
      <c r="O27" s="1061">
        <f>IF(Cdlac[[#This Row],[Quantity]]&gt;0,IF(Cdlac[[#This Row],[Federal]],30%,IF(AND(OR(NOT($G$38),$G$38=""),$G$43),40%,Cdlac[[#This Row],[iAMI]])),"")</f>
        <v>0.8</v>
      </c>
      <c r="P27" s="1055" cm="1">
        <f t="array" ref="P27">IF(Cdlac[[#This Row],[Quantity]]&gt;0,INDEX(TcacRents,$P$18,Cdlac[[#This Row],[Bedrooms]]+1)*Cdlac[[#This Row],[AMI]],"")</f>
        <v>2624</v>
      </c>
      <c r="Q27" s="1152"/>
      <c r="R27" s="1055" cm="1">
        <f t="array" ref="R27">IF(Cdlac[[#This Row],[Quantity]]&gt;0,INDEX(HudFmrs,$P$18,Cdlac[[#This Row],[Bedrooms]]+1),"")</f>
        <v>2459</v>
      </c>
      <c r="S27" s="1055">
        <f>IF(Cdlac[[#This Row],[Quantity]]&gt;0,MAX(0,Cdlac[[#This Row],[Fair Market Rent]]-IF(AND($G$37,$G$38,$G$38&lt;&gt;"",NOT(Cdlac[[#This Row],[Federal]]),Cdlac[[#This Row],[Preservation Rent]]&lt;&gt;""),Cdlac[[#This Row],[Preservation Rent]],Cdlac[[#This Row],[Restricted Rent]])),"")</f>
        <v>0</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6</v>
      </c>
      <c r="N28" s="1061">
        <f>Application!AC734</f>
        <v>0.3</v>
      </c>
      <c r="O28" s="1061">
        <f>IF(Cdlac[[#This Row],[Quantity]]&gt;0,IF(Cdlac[[#This Row],[Federal]],30%,IF(AND(OR(NOT($G$38),$G$38=""),$G$43),40%,Cdlac[[#This Row],[iAMI]])),"")</f>
        <v>0.3</v>
      </c>
      <c r="P28" s="1055" cm="1">
        <f t="array" ref="P28">IF(Cdlac[[#This Row],[Quantity]]&gt;0,INDEX(TcacRents,$P$18,Cdlac[[#This Row],[Bedrooms]]+1)*Cdlac[[#This Row],[AMI]],"")</f>
        <v>1180.8</v>
      </c>
      <c r="Q28" s="1152"/>
      <c r="R28" s="1055" cm="1">
        <f t="array" ref="R28">IF(Cdlac[[#This Row],[Quantity]]&gt;0,INDEX(HudFmrs,$P$18,Cdlac[[#This Row],[Bedrooms]]+1),"")</f>
        <v>3001</v>
      </c>
      <c r="S28" s="1055">
        <f>IF(Cdlac[[#This Row],[Quantity]]&gt;0,MAX(0,Cdlac[[#This Row],[Fair Market Rent]]-IF(AND($G$37,$G$38,$G$38&lt;&gt;"",NOT(Cdlac[[#This Row],[Federal]]),Cdlac[[#This Row],[Preservation Rent]]&lt;&gt;""),Cdlac[[#This Row],[Preservation Rent]],Cdlac[[#This Row],[Restricted Rent]])),"")</f>
        <v>1820.2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7" t="s">
        <v>1574</v>
      </c>
      <c r="D29" s="2698"/>
      <c r="E29" s="1079">
        <f>SUM(E24:E28)</f>
        <v>182</v>
      </c>
      <c r="F29" s="1079">
        <f>SUM(F24:F28)</f>
        <v>182</v>
      </c>
      <c r="G29" s="1080">
        <f>SUMPRODUCT(D24:D28,F24:F28)</f>
        <v>189.6</v>
      </c>
      <c r="H29" s="1064"/>
      <c r="I29" s="1064"/>
      <c r="L29" s="1034">
        <f>IFERROR(MIN(4,MATCH(Application!B735,UnitSizes,0)-1),"")</f>
        <v>2</v>
      </c>
      <c r="M29" s="1055">
        <f>Application!G735</f>
        <v>8</v>
      </c>
      <c r="N29" s="1061">
        <f>Application!AC735</f>
        <v>0.5</v>
      </c>
      <c r="O29" s="1061">
        <f>IF(Cdlac[[#This Row],[Quantity]]&gt;0,IF(Cdlac[[#This Row],[Federal]],30%,IF(AND(OR(NOT($G$38),$G$38=""),$G$43),40%,Cdlac[[#This Row],[iAMI]])),"")</f>
        <v>0.5</v>
      </c>
      <c r="P29" s="1055" cm="1">
        <f t="array" ref="P29">IF(Cdlac[[#This Row],[Quantity]]&gt;0,INDEX(TcacRents,$P$18,Cdlac[[#This Row],[Bedrooms]]+1)*Cdlac[[#This Row],[AMI]],"")</f>
        <v>1968</v>
      </c>
      <c r="Q29" s="1152"/>
      <c r="R29" s="1055" cm="1">
        <f t="array" ref="R29">IF(Cdlac[[#This Row],[Quantity]]&gt;0,INDEX(HudFmrs,$P$18,Cdlac[[#This Row],[Bedrooms]]+1),"")</f>
        <v>3001</v>
      </c>
      <c r="S29" s="1055">
        <f>IF(Cdlac[[#This Row],[Quantity]]&gt;0,MAX(0,Cdlac[[#This Row],[Fair Market Rent]]-IF(AND($G$37,$G$38,$G$38&lt;&gt;"",NOT(Cdlac[[#This Row],[Federal]]),Cdlac[[#This Row],[Preservation Rent]]&lt;&gt;""),Cdlac[[#This Row],[Preservation Rent]],Cdlac[[#This Row],[Restricted Rent]])),"")</f>
        <v>1033</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26</v>
      </c>
      <c r="N30" s="1061">
        <f>Application!AC736</f>
        <v>0.6</v>
      </c>
      <c r="O30" s="1061">
        <f>IF(Cdlac[[#This Row],[Quantity]]&gt;0,IF(Cdlac[[#This Row],[Federal]],30%,IF(AND(OR(NOT($G$38),$G$38=""),$G$43),40%,Cdlac[[#This Row],[iAMI]])),"")</f>
        <v>0.6</v>
      </c>
      <c r="P30" s="1055" cm="1">
        <f t="array" ref="P30">IF(Cdlac[[#This Row],[Quantity]]&gt;0,INDEX(TcacRents,$P$18,Cdlac[[#This Row],[Bedrooms]]+1)*Cdlac[[#This Row],[AMI]],"")</f>
        <v>2361.6</v>
      </c>
      <c r="Q30" s="1152"/>
      <c r="R30" s="1055" cm="1">
        <f t="array" ref="R30">IF(Cdlac[[#This Row],[Quantity]]&gt;0,INDEX(HudFmrs,$P$18,Cdlac[[#This Row],[Bedrooms]]+1),"")</f>
        <v>3001</v>
      </c>
      <c r="S30" s="1055">
        <f>IF(Cdlac[[#This Row],[Quantity]]&gt;0,MAX(0,Cdlac[[#This Row],[Fair Market Rent]]-IF(AND($G$37,$G$38,$G$38&lt;&gt;"",NOT(Cdlac[[#This Row],[Federal]]),Cdlac[[#This Row],[Preservation Rent]]&lt;&gt;""),Cdlac[[#This Row],[Preservation Rent]],Cdlac[[#This Row],[Restricted Rent]])),"")</f>
        <v>639.40000000000009</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189.6</v>
      </c>
      <c r="H31" s="1064"/>
      <c r="I31" s="1064"/>
      <c r="L31" s="1034">
        <f>IFERROR(MIN(4,MATCH(Application!B737,UnitSizes,0)-1),"")</f>
        <v>2</v>
      </c>
      <c r="M31" s="1055">
        <f>Application!G737</f>
        <v>4</v>
      </c>
      <c r="N31" s="1061">
        <f>Application!AC737</f>
        <v>0.8</v>
      </c>
      <c r="O31" s="1061">
        <f>IF(Cdlac[[#This Row],[Quantity]]&gt;0,IF(Cdlac[[#This Row],[Federal]],30%,IF(AND(OR(NOT($G$38),$G$38=""),$G$43),40%,Cdlac[[#This Row],[iAMI]])),"")</f>
        <v>0.8</v>
      </c>
      <c r="P31" s="1055" cm="1">
        <f t="array" ref="P31">IF(Cdlac[[#This Row],[Quantity]]&gt;0,INDEX(TcacRents,$P$18,Cdlac[[#This Row],[Bedrooms]]+1)*Cdlac[[#This Row],[AMI]],"")</f>
        <v>3148.8</v>
      </c>
      <c r="Q31" s="1152"/>
      <c r="R31" s="1055" cm="1">
        <f t="array" ref="R31">IF(Cdlac[[#This Row],[Quantity]]&gt;0,INDEX(HudFmrs,$P$18,Cdlac[[#This Row],[Bedrooms]]+1),"")</f>
        <v>3001</v>
      </c>
      <c r="S31" s="1055">
        <f>IF(Cdlac[[#This Row],[Quantity]]&gt;0,MAX(0,Cdlac[[#This Row],[Fair Market Rent]]-IF(AND($G$37,$G$38,$G$38&lt;&gt;"",NOT(Cdlac[[#This Row],[Federal]]),Cdlac[[#This Row],[Preservation Rent]]&lt;&gt;""),Cdlac[[#This Row],[Preservation Rent]],Cdlac[[#This Row],[Restricted Rent]])),"")</f>
        <v>0</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9480000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0" t="str">
        <f>IF(AND(G37,G38,G38&lt;&gt;""),"Enter the average rent charged for each unit type over the last three years, as documented with rent rolls or property audits, in cells Q20:Q44","")</f>
        <v/>
      </c>
      <c r="D39" s="2700"/>
      <c r="E39" s="2700"/>
      <c r="F39" s="2700"/>
      <c r="G39" s="2700"/>
      <c r="H39" s="270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0"/>
      <c r="D40" s="2700"/>
      <c r="E40" s="2700"/>
      <c r="F40" s="2700"/>
      <c r="G40" s="2700"/>
      <c r="H40" s="270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0"/>
      <c r="D41" s="2700"/>
      <c r="E41" s="2700"/>
      <c r="F41" s="2700"/>
      <c r="G41" s="2700"/>
      <c r="H41" s="270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102772.4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18499032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19</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91</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19</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380000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91</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69" t="s">
        <v>1937</v>
      </c>
      <c r="M83" s="2670"/>
      <c r="N83" s="1120">
        <v>30000</v>
      </c>
    </row>
    <row r="84" spans="2:14" ht="15" customHeight="1">
      <c r="C84" s="1067" t="s">
        <v>1949</v>
      </c>
      <c r="G84" s="1071" t="str">
        <f>IF(Application!D211="Large Family","Yes","No")</f>
        <v>No</v>
      </c>
      <c r="L84" s="2673" t="s">
        <v>1905</v>
      </c>
      <c r="M84" s="2674"/>
      <c r="N84" s="1121">
        <v>20000</v>
      </c>
    </row>
    <row r="85" spans="2:14" ht="15" customHeight="1" thickBot="1">
      <c r="C85" s="1067" t="s">
        <v>1935</v>
      </c>
      <c r="G85" s="1033" t="s">
        <v>669</v>
      </c>
      <c r="L85" s="2675" t="s">
        <v>1938</v>
      </c>
      <c r="M85" s="2676"/>
      <c r="N85" s="1122">
        <v>10000</v>
      </c>
    </row>
    <row r="86" spans="2:14" ht="15" customHeight="1" thickBot="1">
      <c r="C86" s="1067" t="s">
        <v>1936</v>
      </c>
      <c r="G86" s="1034" t="str">
        <f>Application!T193</f>
        <v>Moderate Resource</v>
      </c>
    </row>
    <row r="87" spans="2:14" ht="15" customHeight="1">
      <c r="C87" s="2703" t="s">
        <v>2203</v>
      </c>
      <c r="D87" s="2703"/>
      <c r="E87" s="2703"/>
      <c r="F87" s="2703"/>
      <c r="G87" s="1033" t="s">
        <v>545</v>
      </c>
      <c r="L87" s="1116" t="str">
        <f>'Points System'!H651</f>
        <v>(i)</v>
      </c>
      <c r="M87" s="2671" t="s">
        <v>1396</v>
      </c>
      <c r="N87" s="2672"/>
    </row>
    <row r="88" spans="2:14" ht="15" customHeight="1">
      <c r="C88" s="2703"/>
      <c r="D88" s="2703"/>
      <c r="E88" s="2703"/>
      <c r="F88" s="2703"/>
      <c r="L88" s="1117" t="str">
        <f>'Points System'!H663</f>
        <v>N/A</v>
      </c>
      <c r="M88" s="2663" t="s">
        <v>1924</v>
      </c>
      <c r="N88" s="2664"/>
    </row>
    <row r="89" spans="2:14" ht="15" customHeight="1">
      <c r="C89" s="1067"/>
      <c r="L89" s="1117" t="str">
        <f>'Points System'!H698</f>
        <v>(ii)</v>
      </c>
      <c r="M89" s="2663" t="s">
        <v>1925</v>
      </c>
      <c r="N89" s="2664"/>
    </row>
    <row r="90" spans="2:14" ht="15" customHeight="1">
      <c r="E90" s="1074" t="s">
        <v>1967</v>
      </c>
      <c r="G90" s="1069" t="b">
        <f>OR(AND(COUNTIFS(G84:G85,"Yes")&gt;=1,G83="Yes"),G87="Yes")</f>
        <v>1</v>
      </c>
      <c r="L90" s="1117" t="str">
        <f>IF(OR('Points System'!H725="(ii)",'Points System'!H725="(i)"),"(i)","N/A")</f>
        <v>(i)</v>
      </c>
      <c r="M90" s="2663" t="s">
        <v>1926</v>
      </c>
      <c r="N90" s="2664"/>
    </row>
    <row r="91" spans="2:14" ht="15" customHeight="1">
      <c r="E91" s="1074"/>
      <c r="G91" s="1069"/>
      <c r="L91" s="1118" t="str">
        <f>'Points System'!H739</f>
        <v>N/A</v>
      </c>
      <c r="M91" s="2663" t="s">
        <v>1422</v>
      </c>
      <c r="N91" s="2664"/>
    </row>
    <row r="92" spans="2:14" ht="15" customHeight="1">
      <c r="E92" s="1074" t="s">
        <v>1912</v>
      </c>
      <c r="G92" s="1068">
        <f>IFERROR(IF($G$87="Yes",30000,INDEX(N83:N85,MATCH(LEFT(G86,17),L83:L85,0))),0)</f>
        <v>30000</v>
      </c>
      <c r="L92" s="1117" t="str">
        <f>'Points System'!H751</f>
        <v>N/A</v>
      </c>
      <c r="M92" s="2663" t="s">
        <v>1927</v>
      </c>
      <c r="N92" s="2664"/>
    </row>
    <row r="93" spans="2:14" ht="15" customHeight="1">
      <c r="E93" s="1074" t="str">
        <f>E110</f>
        <v>Bedroom-Adjusted Low-Income Units</v>
      </c>
      <c r="F93" s="1102" t="s">
        <v>1960</v>
      </c>
      <c r="G93" s="1103">
        <f>G29</f>
        <v>189.6</v>
      </c>
      <c r="L93" s="1117" t="str">
        <f>'Points System'!H767</f>
        <v>(ii)</v>
      </c>
      <c r="M93" s="2663" t="s">
        <v>1928</v>
      </c>
      <c r="N93" s="2664"/>
    </row>
    <row r="94" spans="2:14" ht="15" customHeight="1" thickBot="1">
      <c r="D94" s="1036"/>
      <c r="E94" s="1107" t="s">
        <v>2206</v>
      </c>
      <c r="F94" s="1036"/>
      <c r="G94" s="1112">
        <f>G93*G92*G90</f>
        <v>5688000</v>
      </c>
      <c r="L94" s="1119" t="str">
        <f>'Points System'!H779</f>
        <v>(ii)</v>
      </c>
      <c r="M94" s="2665" t="s">
        <v>1425</v>
      </c>
      <c r="N94" s="266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189.6</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189.6</v>
      </c>
    </row>
    <row r="111" spans="2:9" ht="15" customHeight="1">
      <c r="E111" s="1107" t="s">
        <v>1929</v>
      </c>
      <c r="F111" s="1036"/>
      <c r="G111" s="1112">
        <f>G108*G109*G110</f>
        <v>5308800</v>
      </c>
    </row>
    <row r="112" spans="2:9" ht="15" customHeight="1">
      <c r="C112" s="1067"/>
      <c r="G112" s="1103"/>
    </row>
    <row r="113" spans="2:7" ht="15" customHeight="1">
      <c r="E113" s="1074" t="s">
        <v>1965</v>
      </c>
      <c r="G113" s="1103">
        <f>COUNTIFS(L87:L94,"(i)")</f>
        <v>2</v>
      </c>
    </row>
    <row r="114" spans="2:7" ht="15" customHeight="1">
      <c r="E114" s="1074" t="s">
        <v>1912</v>
      </c>
      <c r="F114" s="1102" t="s">
        <v>1960</v>
      </c>
      <c r="G114" s="1113">
        <v>4000</v>
      </c>
    </row>
    <row r="115" spans="2:7" ht="15" customHeight="1">
      <c r="E115" s="1107" t="s">
        <v>1930</v>
      </c>
      <c r="F115" s="1036"/>
      <c r="G115" s="1112">
        <f>G110*G113*G114</f>
        <v>1516800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t="s">
        <v>545</v>
      </c>
    </row>
    <row r="123" spans="2:7">
      <c r="B123" s="1068"/>
      <c r="C123" s="1067"/>
      <c r="E123" s="1074" t="s">
        <v>1967</v>
      </c>
      <c r="G123" s="1069" t="b">
        <f>COUNTIFS(G118:G121,"Yes")&gt;=1</f>
        <v>1</v>
      </c>
    </row>
    <row r="124" spans="2:7">
      <c r="E124" s="1067"/>
    </row>
    <row r="125" spans="2:7" ht="14.4">
      <c r="E125" s="1074" t="s">
        <v>1964</v>
      </c>
      <c r="F125" s="1102" t="s">
        <v>1960</v>
      </c>
      <c r="G125" s="1103">
        <f>G29</f>
        <v>189.6</v>
      </c>
    </row>
    <row r="126" spans="2:7" ht="14.4">
      <c r="E126" s="1074" t="s">
        <v>1912</v>
      </c>
      <c r="F126" s="1102" t="s">
        <v>1960</v>
      </c>
      <c r="G126" s="1113">
        <v>25000</v>
      </c>
    </row>
    <row r="127" spans="2:7">
      <c r="E127" s="1107" t="s">
        <v>1931</v>
      </c>
      <c r="F127" s="1036"/>
      <c r="G127" s="1112">
        <f>G123*G126*G110</f>
        <v>4740000</v>
      </c>
    </row>
    <row r="128" spans="2:7">
      <c r="C128" s="1067"/>
      <c r="E128" s="1067"/>
    </row>
    <row r="129" spans="2:9">
      <c r="E129" s="1107" t="s">
        <v>2208</v>
      </c>
      <c r="G129" s="1112">
        <f>G127+G115+G111</f>
        <v>11565600</v>
      </c>
    </row>
    <row r="131" spans="2:9">
      <c r="B131" s="1056" t="s">
        <v>139</v>
      </c>
      <c r="C131" s="1057"/>
      <c r="D131" s="1057"/>
      <c r="E131" s="1057"/>
      <c r="F131" s="1057"/>
      <c r="G131" s="1057"/>
      <c r="H131" s="1057"/>
      <c r="I131" s="1058"/>
    </row>
    <row r="133" spans="2:9">
      <c r="C133" s="2699" t="s">
        <v>2175</v>
      </c>
      <c r="D133" s="2699"/>
      <c r="E133" s="2699"/>
      <c r="F133" s="2699"/>
    </row>
    <row r="134" spans="2:9">
      <c r="C134" s="2699"/>
      <c r="D134" s="2699"/>
      <c r="E134" s="2699"/>
      <c r="F134" s="2699"/>
      <c r="G134" s="1033"/>
    </row>
    <row r="135" spans="2:9" ht="14.25" customHeight="1"/>
    <row r="136" spans="2:9">
      <c r="C136" s="1034" t="s">
        <v>2177</v>
      </c>
      <c r="G136" s="2701"/>
      <c r="H136" s="2701"/>
    </row>
    <row r="137" spans="2:9">
      <c r="G137" s="2701"/>
      <c r="H137" s="2701"/>
    </row>
    <row r="138" spans="2:9">
      <c r="G138" s="2702"/>
      <c r="H138" s="2702"/>
    </row>
    <row r="140" spans="2:9">
      <c r="C140" s="2699" t="s">
        <v>2582</v>
      </c>
      <c r="D140" s="2699"/>
      <c r="E140" s="2699"/>
      <c r="F140" s="2699"/>
    </row>
    <row r="141" spans="2:9">
      <c r="C141" s="2699"/>
      <c r="D141" s="2699"/>
      <c r="E141" s="2699"/>
      <c r="F141" s="2699"/>
      <c r="G141" s="1033"/>
    </row>
    <row r="142" spans="2:9">
      <c r="C142" s="2699"/>
      <c r="D142" s="2699"/>
      <c r="E142" s="2699"/>
      <c r="F142" s="2699"/>
    </row>
    <row r="144" spans="2:9">
      <c r="C144" s="2699" t="s">
        <v>2581</v>
      </c>
      <c r="D144" s="2699"/>
      <c r="E144" s="2699"/>
      <c r="F144" s="2699"/>
    </row>
    <row r="145" spans="2:9">
      <c r="C145" s="2699"/>
      <c r="D145" s="2699"/>
      <c r="E145" s="2699"/>
      <c r="F145" s="2699"/>
      <c r="G145" s="1033"/>
    </row>
    <row r="146" spans="2:9">
      <c r="C146" s="2699"/>
      <c r="D146" s="2699"/>
      <c r="E146" s="2699"/>
      <c r="F146" s="2699"/>
    </row>
    <row r="147" spans="2:9">
      <c r="C147" s="2699"/>
      <c r="D147" s="2699"/>
      <c r="E147" s="2699"/>
      <c r="F147" s="2699"/>
    </row>
    <row r="149" spans="2:9">
      <c r="B149" s="1056" t="s">
        <v>1969</v>
      </c>
      <c r="C149" s="1057"/>
      <c r="D149" s="1057"/>
      <c r="E149" s="1057"/>
      <c r="F149" s="1057"/>
      <c r="G149" s="1057"/>
      <c r="H149" s="1057"/>
      <c r="I149" s="1058"/>
    </row>
    <row r="151" spans="2:9">
      <c r="E151" s="1074" t="s">
        <v>582</v>
      </c>
      <c r="G151" s="1034" t="str">
        <f>IF(Application!T189="","",Application!T189)</f>
        <v>San Diego</v>
      </c>
    </row>
    <row r="152" spans="2:9">
      <c r="E152" s="1074"/>
      <c r="G152" s="1068"/>
    </row>
    <row r="153" spans="2:9">
      <c r="E153" s="1074" t="str">
        <f>"2-Bedroom "&amp;G151&amp;" County Basis Limit"</f>
        <v>2-Bedroom San Diego County Basis Limit</v>
      </c>
      <c r="G153" s="1068">
        <f>Application!R997</f>
        <v>545600</v>
      </c>
    </row>
    <row r="154" spans="2:9">
      <c r="E154" s="1074" t="s">
        <v>1968</v>
      </c>
      <c r="G154" s="1068">
        <f>MEDIAN((Application!CU160:CU217))</f>
        <v>560000</v>
      </c>
    </row>
    <row r="155" spans="2:9">
      <c r="D155" s="1036"/>
      <c r="E155" s="1107" t="s">
        <v>1970</v>
      </c>
      <c r="F155" s="1123"/>
      <c r="G155" s="1124">
        <f>((G153-G154)/G154)*0.25</f>
        <v>-6.4285714285714285E-3</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0</v>
      </c>
    </row>
    <row r="160" spans="2:9">
      <c r="C160" s="2696" t="s">
        <v>2210</v>
      </c>
      <c r="D160" s="2696"/>
      <c r="E160" s="2696"/>
      <c r="F160" s="2696"/>
    </row>
    <row r="161" spans="2:7">
      <c r="B161" s="1035"/>
      <c r="C161" s="2696"/>
      <c r="D161" s="2696"/>
      <c r="E161" s="2696"/>
      <c r="F161" s="269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4032557.2650000001</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8"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83.4">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4</v>
      </c>
      <c r="C4" s="1150"/>
      <c r="D4" s="424">
        <f>Application!O726</f>
        <v>918</v>
      </c>
      <c r="E4" s="425"/>
      <c r="F4" s="1073"/>
      <c r="G4" s="424">
        <f>F4*B4</f>
        <v>0</v>
      </c>
      <c r="H4" s="425"/>
      <c r="I4" s="424" t="str">
        <f>IF(F4=0,"",MAX((F4-D4),0))</f>
        <v/>
      </c>
      <c r="J4" s="424" t="str">
        <f t="shared" ref="J4:J27" si="0">IF(F4=0,"",(I4*B4))</f>
        <v/>
      </c>
      <c r="K4" s="204"/>
      <c r="L4" s="305"/>
    </row>
    <row r="5" spans="1:12">
      <c r="A5" s="424" t="str">
        <f>Application!B727</f>
        <v>SRO/Studio</v>
      </c>
      <c r="B5" s="1072">
        <f>Application!G727</f>
        <v>4</v>
      </c>
      <c r="C5" s="1150"/>
      <c r="D5" s="424">
        <f>Application!O727</f>
        <v>1531</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4</v>
      </c>
      <c r="C6" s="1150"/>
      <c r="D6" s="424">
        <f>Application!O728</f>
        <v>1837</v>
      </c>
      <c r="E6" s="425"/>
      <c r="F6" s="1073"/>
      <c r="G6" s="424">
        <f t="shared" si="1"/>
        <v>0</v>
      </c>
      <c r="H6" s="425"/>
      <c r="I6" s="424" t="str">
        <f t="shared" si="2"/>
        <v/>
      </c>
      <c r="J6" s="424" t="str">
        <f t="shared" si="0"/>
        <v/>
      </c>
      <c r="K6" s="204"/>
      <c r="L6" s="305"/>
    </row>
    <row r="7" spans="1:12">
      <c r="A7" s="424" t="str">
        <f>Application!B729</f>
        <v>SRO/Studio</v>
      </c>
      <c r="B7" s="1072">
        <f>Application!G729</f>
        <v>22</v>
      </c>
      <c r="C7" s="1150"/>
      <c r="D7" s="424">
        <f>Application!O729</f>
        <v>2450</v>
      </c>
      <c r="E7" s="425"/>
      <c r="F7" s="1073"/>
      <c r="G7" s="424">
        <f t="shared" si="1"/>
        <v>0</v>
      </c>
      <c r="H7" s="425"/>
      <c r="I7" s="424" t="str">
        <f t="shared" si="2"/>
        <v/>
      </c>
      <c r="J7" s="424" t="str">
        <f t="shared" si="0"/>
        <v/>
      </c>
      <c r="K7" s="204"/>
      <c r="L7" s="305"/>
    </row>
    <row r="8" spans="1:12">
      <c r="A8" s="424" t="str">
        <f>Application!B730</f>
        <v>1 Bedroom</v>
      </c>
      <c r="B8" s="1072">
        <f>Application!G730</f>
        <v>9</v>
      </c>
      <c r="C8" s="1150"/>
      <c r="D8" s="424">
        <f>Application!O730</f>
        <v>984</v>
      </c>
      <c r="E8" s="425"/>
      <c r="F8" s="1073"/>
      <c r="G8" s="424">
        <f t="shared" si="1"/>
        <v>0</v>
      </c>
      <c r="H8" s="425"/>
      <c r="I8" s="424" t="str">
        <f t="shared" si="2"/>
        <v/>
      </c>
      <c r="J8" s="424" t="str">
        <f t="shared" si="0"/>
        <v/>
      </c>
      <c r="K8" s="204"/>
      <c r="L8" s="305"/>
    </row>
    <row r="9" spans="1:12">
      <c r="A9" s="424" t="str">
        <f>Application!B731</f>
        <v>1 Bedroom</v>
      </c>
      <c r="B9" s="1072">
        <f>Application!G731</f>
        <v>11</v>
      </c>
      <c r="C9" s="1150"/>
      <c r="D9" s="424">
        <f>Application!O731</f>
        <v>1640</v>
      </c>
      <c r="E9" s="425"/>
      <c r="F9" s="1073"/>
      <c r="G9" s="424">
        <f t="shared" si="1"/>
        <v>0</v>
      </c>
      <c r="H9" s="425"/>
      <c r="I9" s="424" t="str">
        <f t="shared" si="2"/>
        <v/>
      </c>
      <c r="J9" s="424" t="str">
        <f t="shared" si="0"/>
        <v/>
      </c>
      <c r="K9" s="204"/>
      <c r="L9" s="305"/>
    </row>
    <row r="10" spans="1:12">
      <c r="A10" s="424" t="str">
        <f>Application!B732</f>
        <v>1 Bedroom</v>
      </c>
      <c r="B10" s="1072">
        <f>Application!G732</f>
        <v>70</v>
      </c>
      <c r="C10" s="1150"/>
      <c r="D10" s="424">
        <f>Application!O732</f>
        <v>1968</v>
      </c>
      <c r="E10" s="425"/>
      <c r="F10" s="1073"/>
      <c r="G10" s="424">
        <f t="shared" si="1"/>
        <v>0</v>
      </c>
      <c r="H10" s="425"/>
      <c r="I10" s="424" t="str">
        <f t="shared" si="2"/>
        <v/>
      </c>
      <c r="J10" s="424" t="str">
        <f t="shared" si="0"/>
        <v/>
      </c>
      <c r="K10" s="204"/>
      <c r="L10" s="305"/>
    </row>
    <row r="11" spans="1:12">
      <c r="A11" s="424" t="str">
        <f>Application!B733</f>
        <v>1 Bedroom</v>
      </c>
      <c r="B11" s="1072">
        <f>Application!G733</f>
        <v>14</v>
      </c>
      <c r="C11" s="1150"/>
      <c r="D11" s="424">
        <f>Application!O733</f>
        <v>2625</v>
      </c>
      <c r="E11" s="425"/>
      <c r="F11" s="1073"/>
      <c r="G11" s="424">
        <f t="shared" si="1"/>
        <v>0</v>
      </c>
      <c r="H11" s="425"/>
      <c r="I11" s="424" t="str">
        <f t="shared" si="2"/>
        <v/>
      </c>
      <c r="J11" s="424" t="str">
        <f t="shared" si="0"/>
        <v/>
      </c>
      <c r="K11" s="204"/>
      <c r="L11" s="305"/>
    </row>
    <row r="12" spans="1:12">
      <c r="A12" s="424" t="str">
        <f>Application!B734</f>
        <v>2 Bedrooms</v>
      </c>
      <c r="B12" s="1072">
        <f>Application!G734</f>
        <v>6</v>
      </c>
      <c r="C12" s="1150"/>
      <c r="D12" s="424">
        <f>Application!O734</f>
        <v>1181</v>
      </c>
      <c r="E12" s="425"/>
      <c r="F12" s="1073"/>
      <c r="G12" s="424">
        <f t="shared" si="1"/>
        <v>0</v>
      </c>
      <c r="H12" s="425"/>
      <c r="I12" s="424" t="str">
        <f t="shared" si="2"/>
        <v/>
      </c>
      <c r="J12" s="424" t="str">
        <f t="shared" si="0"/>
        <v/>
      </c>
      <c r="K12" s="204"/>
      <c r="L12" s="305"/>
    </row>
    <row r="13" spans="1:12">
      <c r="A13" s="424" t="str">
        <f>Application!B735</f>
        <v>2 Bedrooms</v>
      </c>
      <c r="B13" s="1072">
        <f>Application!G735</f>
        <v>8</v>
      </c>
      <c r="C13" s="1150"/>
      <c r="D13" s="424">
        <f>Application!O735</f>
        <v>1968</v>
      </c>
      <c r="E13" s="425"/>
      <c r="F13" s="1073"/>
      <c r="G13" s="424">
        <f t="shared" si="1"/>
        <v>0</v>
      </c>
      <c r="H13" s="425"/>
      <c r="I13" s="424" t="str">
        <f t="shared" si="2"/>
        <v/>
      </c>
      <c r="J13" s="424" t="str">
        <f t="shared" si="0"/>
        <v/>
      </c>
      <c r="K13" s="204"/>
      <c r="L13" s="305"/>
    </row>
    <row r="14" spans="1:12">
      <c r="A14" s="424" t="str">
        <f>Application!B736</f>
        <v>2 Bedrooms</v>
      </c>
      <c r="B14" s="1072">
        <f>Application!G736</f>
        <v>26</v>
      </c>
      <c r="C14" s="1150"/>
      <c r="D14" s="424">
        <f>Application!O736</f>
        <v>2362</v>
      </c>
      <c r="E14" s="425"/>
      <c r="F14" s="1073"/>
      <c r="G14" s="424">
        <f t="shared" si="1"/>
        <v>0</v>
      </c>
      <c r="H14" s="425"/>
      <c r="I14" s="424" t="str">
        <f t="shared" si="2"/>
        <v/>
      </c>
      <c r="J14" s="424" t="str">
        <f t="shared" si="0"/>
        <v/>
      </c>
      <c r="K14" s="204"/>
      <c r="L14" s="305"/>
    </row>
    <row r="15" spans="1:12">
      <c r="A15" s="424" t="str">
        <f>Application!B737</f>
        <v>2 Bedrooms</v>
      </c>
      <c r="B15" s="1072">
        <f>Application!G737</f>
        <v>4</v>
      </c>
      <c r="C15" s="1150"/>
      <c r="D15" s="424">
        <f>Application!O737</f>
        <v>3150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369292</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C35" workbookViewId="0">
      <selection activeCell="AH62" sqref="AH62"/>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8671875" hidden="1"/>
  </cols>
  <sheetData>
    <row r="1" spans="1:34" ht="17.399999999999999">
      <c r="A1" s="211" t="s">
        <v>2043</v>
      </c>
      <c r="B1" s="211"/>
    </row>
    <row r="2" spans="1:34"/>
    <row r="3" spans="1:34" ht="15.6">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3.8">
      <c r="A4" s="219" t="s">
        <v>837</v>
      </c>
      <c r="C4" s="237">
        <v>1.0249999999999999</v>
      </c>
      <c r="E4" s="219">
        <f>Application!Y809</f>
        <v>4507104</v>
      </c>
      <c r="G4" s="219">
        <f>E4*$C$4</f>
        <v>4619781.5999999996</v>
      </c>
      <c r="I4" s="219">
        <f>G4*$C$4</f>
        <v>4735276.1399999997</v>
      </c>
      <c r="K4" s="219">
        <f>I4*$C$4</f>
        <v>4853658.0434999997</v>
      </c>
      <c r="M4" s="219">
        <f>K4*$C$4</f>
        <v>4974999.4945874996</v>
      </c>
      <c r="O4" s="219">
        <f>M4*$C$4</f>
        <v>5099374.4819521867</v>
      </c>
      <c r="Q4" s="219">
        <f>O4*$C$4</f>
        <v>5226858.8440009905</v>
      </c>
      <c r="S4" s="219">
        <f>Q4*$C$4</f>
        <v>5357530.3151010145</v>
      </c>
      <c r="U4" s="219">
        <f>S4*$C$4</f>
        <v>5491468.5729785394</v>
      </c>
      <c r="W4" s="219">
        <f>U4*$C$4</f>
        <v>5628755.2873030026</v>
      </c>
      <c r="Y4" s="219">
        <f>W4*$C$4</f>
        <v>5769474.1694855774</v>
      </c>
      <c r="AA4" s="219">
        <f>Y4*$C$4</f>
        <v>5913711.0237227166</v>
      </c>
      <c r="AC4" s="219">
        <f>AA4*$C$4</f>
        <v>6061553.7993157841</v>
      </c>
      <c r="AE4" s="219">
        <f>AC4*$C$4</f>
        <v>6213092.6442986783</v>
      </c>
      <c r="AG4" s="219">
        <f>AE4*$C$4</f>
        <v>6368419.9604061451</v>
      </c>
    </row>
    <row r="5" spans="1:34" s="210" customFormat="1" ht="13.8">
      <c r="B5" s="210" t="s">
        <v>838</v>
      </c>
      <c r="C5" s="238">
        <f>IF(Application!$D$211="Special Needs",(((0.1*Application!$T$212)+(0.05*(1-Application!$T$212)))),0.05)</f>
        <v>0.05</v>
      </c>
      <c r="E5" s="221">
        <f>-E4*$C$5</f>
        <v>-225355.2</v>
      </c>
      <c r="F5" s="221"/>
      <c r="G5" s="221">
        <f>-G4*$C$5</f>
        <v>-230989.08</v>
      </c>
      <c r="H5" s="221"/>
      <c r="I5" s="221">
        <f>-I4*$C$5</f>
        <v>-236763.807</v>
      </c>
      <c r="J5" s="221"/>
      <c r="K5" s="221">
        <f>-K4*$C$5</f>
        <v>-242682.902175</v>
      </c>
      <c r="L5" s="221"/>
      <c r="M5" s="221">
        <f>-M4*$C$5</f>
        <v>-248749.97472937498</v>
      </c>
      <c r="N5" s="221"/>
      <c r="O5" s="221">
        <f>-O4*$C$5</f>
        <v>-254968.72409760935</v>
      </c>
      <c r="P5" s="221"/>
      <c r="Q5" s="221">
        <f>-Q4*$C$5</f>
        <v>-261342.94220004953</v>
      </c>
      <c r="R5" s="221"/>
      <c r="S5" s="221">
        <f>-S4*$C$5</f>
        <v>-267876.51575505076</v>
      </c>
      <c r="T5" s="221"/>
      <c r="U5" s="221">
        <f>-U4*$C$5</f>
        <v>-274573.42864892696</v>
      </c>
      <c r="V5" s="221"/>
      <c r="W5" s="221">
        <f>-W4*$C$5</f>
        <v>-281437.76436515013</v>
      </c>
      <c r="X5" s="221"/>
      <c r="Y5" s="221">
        <f>-Y4*$C$5</f>
        <v>-288473.70847427886</v>
      </c>
      <c r="Z5" s="221"/>
      <c r="AA5" s="221">
        <f>-AA4*$C$5</f>
        <v>-295685.55118613585</v>
      </c>
      <c r="AB5" s="221"/>
      <c r="AC5" s="221">
        <f>-AC4*$C$5</f>
        <v>-303077.68996578921</v>
      </c>
      <c r="AD5" s="221"/>
      <c r="AE5" s="221">
        <f>-AE4*$C$5</f>
        <v>-310654.63221493392</v>
      </c>
      <c r="AF5" s="221"/>
      <c r="AG5" s="221">
        <f>-AG4*$C$5</f>
        <v>-318420.99802030728</v>
      </c>
    </row>
    <row r="6" spans="1:34" s="210" customFormat="1" ht="13.8">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288</v>
      </c>
      <c r="C8" s="237">
        <v>1.0249999999999999</v>
      </c>
      <c r="E8" s="222">
        <f>Application!Z825</f>
        <v>1137480</v>
      </c>
      <c r="F8" s="222"/>
      <c r="G8" s="222">
        <f>E8*$C$8</f>
        <v>1165917</v>
      </c>
      <c r="H8" s="222"/>
      <c r="I8" s="222">
        <f>G8*$C$8</f>
        <v>1195064.9249999998</v>
      </c>
      <c r="J8" s="222"/>
      <c r="K8" s="222">
        <f>I8*$C$8</f>
        <v>1224941.5481249997</v>
      </c>
      <c r="L8" s="222"/>
      <c r="M8" s="222">
        <f>K8*$C$8</f>
        <v>1255565.0868281247</v>
      </c>
      <c r="N8" s="222"/>
      <c r="O8" s="222">
        <f>M8*$C$8</f>
        <v>1286954.2139988276</v>
      </c>
      <c r="P8" s="222"/>
      <c r="Q8" s="222">
        <f>O8*$C$8</f>
        <v>1319128.0693487981</v>
      </c>
      <c r="R8" s="222"/>
      <c r="S8" s="222">
        <f>Q8*$C$8</f>
        <v>1352106.2710825179</v>
      </c>
      <c r="T8" s="222"/>
      <c r="U8" s="222">
        <f>S8*$C$8</f>
        <v>1385908.9278595808</v>
      </c>
      <c r="V8" s="222"/>
      <c r="W8" s="222">
        <f>U8*$C$8</f>
        <v>1420556.6510560703</v>
      </c>
      <c r="X8" s="222"/>
      <c r="Y8" s="222">
        <f>W8*$C$8</f>
        <v>1456070.567332472</v>
      </c>
      <c r="Z8" s="222"/>
      <c r="AA8" s="222">
        <f>Y8*$C$8</f>
        <v>1492472.3315157837</v>
      </c>
      <c r="AB8" s="222"/>
      <c r="AC8" s="222">
        <f>AA8*$C$8</f>
        <v>1529784.139803678</v>
      </c>
      <c r="AD8" s="222"/>
      <c r="AE8" s="222">
        <f>AC8*$C$8</f>
        <v>1568028.7432987699</v>
      </c>
      <c r="AF8" s="222"/>
      <c r="AG8" s="222">
        <f>AE8*$C$8</f>
        <v>1607229.461881239</v>
      </c>
    </row>
    <row r="9" spans="1:34" s="210" customFormat="1" ht="13.8">
      <c r="B9" s="210" t="s">
        <v>838</v>
      </c>
      <c r="C9" s="238">
        <f>IF(Application!$D$211="Special Needs",(((0.1*Application!$T$212)+(0.05*(1-Application!$T$212)))),0.05)</f>
        <v>0.05</v>
      </c>
      <c r="E9" s="221">
        <f>-E8*$C$9</f>
        <v>-56874</v>
      </c>
      <c r="F9" s="221"/>
      <c r="G9" s="221">
        <f>-G8*$C$9</f>
        <v>-58295.850000000006</v>
      </c>
      <c r="H9" s="221"/>
      <c r="I9" s="221">
        <f>-I8*$C$9</f>
        <v>-59753.246249999997</v>
      </c>
      <c r="J9" s="221"/>
      <c r="K9" s="221">
        <f>-K8*$C$9</f>
        <v>-61247.077406249991</v>
      </c>
      <c r="L9" s="221"/>
      <c r="M9" s="221">
        <f>-M8*$C$9</f>
        <v>-62778.254341406238</v>
      </c>
      <c r="N9" s="221"/>
      <c r="O9" s="221">
        <f>-O8*$C$9</f>
        <v>-64347.710699941381</v>
      </c>
      <c r="P9" s="221"/>
      <c r="Q9" s="221">
        <f>-Q8*$C$9</f>
        <v>-65956.403467439915</v>
      </c>
      <c r="R9" s="221"/>
      <c r="S9" s="221">
        <f>-S8*$C$9</f>
        <v>-67605.313554125896</v>
      </c>
      <c r="T9" s="221"/>
      <c r="U9" s="221">
        <f>-U8*$C$9</f>
        <v>-69295.446392979051</v>
      </c>
      <c r="V9" s="221"/>
      <c r="W9" s="221">
        <f>-W8*$C$9</f>
        <v>-71027.83255280352</v>
      </c>
      <c r="X9" s="221"/>
      <c r="Y9" s="221">
        <f>-Y8*$C$9</f>
        <v>-72803.528366623606</v>
      </c>
      <c r="Z9" s="221"/>
      <c r="AA9" s="221">
        <f>-AA8*$C$9</f>
        <v>-74623.616575789187</v>
      </c>
      <c r="AB9" s="221"/>
      <c r="AC9" s="221">
        <f>-AC8*$C$9</f>
        <v>-76489.206990183899</v>
      </c>
      <c r="AD9" s="221"/>
      <c r="AE9" s="221">
        <f>-AE8*$C$9</f>
        <v>-78401.437164938499</v>
      </c>
      <c r="AF9" s="221"/>
      <c r="AG9" s="221">
        <f>-AG8*$C$9</f>
        <v>-80361.473094061948</v>
      </c>
    </row>
    <row r="10" spans="1:34" s="210" customFormat="1" ht="13.8">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859</v>
      </c>
      <c r="C11" s="216"/>
      <c r="E11" s="223">
        <f>SUM(E4:E10)</f>
        <v>5362354.8</v>
      </c>
      <c r="G11" s="223">
        <f>SUM(G4:G10)</f>
        <v>5496413.6699999999</v>
      </c>
      <c r="I11" s="223">
        <f>SUM(I4:I10)</f>
        <v>5633824.0117499996</v>
      </c>
      <c r="K11" s="223">
        <f>SUM(K4:K10)</f>
        <v>5774669.6120437495</v>
      </c>
      <c r="M11" s="223">
        <f>SUM(M4:M10)</f>
        <v>5919036.3523448436</v>
      </c>
      <c r="O11" s="223">
        <f>SUM(O4:O10)</f>
        <v>6067012.2611534642</v>
      </c>
      <c r="Q11" s="223">
        <f>SUM(Q4:Q10)</f>
        <v>6218687.5676822988</v>
      </c>
      <c r="S11" s="223">
        <f>SUM(S4:S10)</f>
        <v>6374154.7568743555</v>
      </c>
      <c r="U11" s="223">
        <f>SUM(U4:U10)</f>
        <v>6533508.6257962137</v>
      </c>
      <c r="W11" s="223">
        <f>SUM(W4:W10)</f>
        <v>6696846.3414411191</v>
      </c>
      <c r="Y11" s="223">
        <f>SUM(Y4:Y10)</f>
        <v>6864267.4999771472</v>
      </c>
      <c r="AA11" s="223">
        <f>SUM(AA4:AA10)</f>
        <v>7035874.1874765744</v>
      </c>
      <c r="AC11" s="223">
        <f>SUM(AC4:AC10)</f>
        <v>7211771.0421634885</v>
      </c>
      <c r="AE11" s="223">
        <f>SUM(AE4:AE10)</f>
        <v>7392065.3182175765</v>
      </c>
      <c r="AG11" s="223">
        <f>SUM(AG4:AG10)</f>
        <v>7576866.9511730149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841</v>
      </c>
      <c r="C15" s="176"/>
      <c r="E15" s="219">
        <f>Application!W855</f>
        <v>113500</v>
      </c>
      <c r="G15" s="219">
        <f>E15*$C$14</f>
        <v>117472.49999999999</v>
      </c>
      <c r="I15" s="219">
        <f>G15*$C$14</f>
        <v>121584.03749999998</v>
      </c>
      <c r="K15" s="219">
        <f>I15*$C$14</f>
        <v>125839.47881249996</v>
      </c>
      <c r="M15" s="219">
        <f>K15*$C$14</f>
        <v>130243.86057093745</v>
      </c>
      <c r="O15" s="219">
        <f>M15*$C$14</f>
        <v>134802.39569092027</v>
      </c>
      <c r="Q15" s="219">
        <f>O15*$C$14</f>
        <v>139520.47954010247</v>
      </c>
      <c r="S15" s="219">
        <f>Q15*$C$14</f>
        <v>144403.69632400604</v>
      </c>
      <c r="U15" s="219">
        <f>S15*$C$14</f>
        <v>149457.82569534626</v>
      </c>
      <c r="W15" s="219">
        <f>U15*$C$14</f>
        <v>154688.84959468336</v>
      </c>
      <c r="Y15" s="219">
        <f>W15*$C$14</f>
        <v>160102.95933049725</v>
      </c>
      <c r="AA15" s="219">
        <f>Y15*$C$14</f>
        <v>165706.56290706465</v>
      </c>
      <c r="AC15" s="219">
        <f>AA15*$C$14</f>
        <v>171506.2926088119</v>
      </c>
      <c r="AE15" s="219">
        <f>AC15*$C$14</f>
        <v>177509.01285012031</v>
      </c>
      <c r="AG15" s="219">
        <f>AE15*$C$14</f>
        <v>183721.8282998745</v>
      </c>
    </row>
    <row r="16" spans="1:34" s="210" customFormat="1" ht="13.8">
      <c r="A16" s="210" t="s">
        <v>344</v>
      </c>
      <c r="C16" s="233"/>
      <c r="E16" s="222">
        <f>Application!W857</f>
        <v>136325</v>
      </c>
      <c r="F16" s="222"/>
      <c r="G16" s="222">
        <f t="shared" ref="G16:AG21" si="0">E16*$C$14</f>
        <v>141096.375</v>
      </c>
      <c r="H16" s="222"/>
      <c r="I16" s="222">
        <f t="shared" si="0"/>
        <v>146034.74812499998</v>
      </c>
      <c r="J16" s="222"/>
      <c r="K16" s="222">
        <f t="shared" si="0"/>
        <v>151145.96430937498</v>
      </c>
      <c r="L16" s="222"/>
      <c r="M16" s="222">
        <f t="shared" si="0"/>
        <v>156436.07306020308</v>
      </c>
      <c r="N16" s="222"/>
      <c r="O16" s="222">
        <f t="shared" si="0"/>
        <v>161911.33561731016</v>
      </c>
      <c r="P16" s="222"/>
      <c r="Q16" s="222">
        <f t="shared" si="0"/>
        <v>167578.232363916</v>
      </c>
      <c r="R16" s="222"/>
      <c r="S16" s="222">
        <f t="shared" si="0"/>
        <v>173443.47049665306</v>
      </c>
      <c r="T16" s="222"/>
      <c r="U16" s="222">
        <f t="shared" si="0"/>
        <v>179513.9919640359</v>
      </c>
      <c r="V16" s="222"/>
      <c r="W16" s="222">
        <f t="shared" si="0"/>
        <v>185796.98168277714</v>
      </c>
      <c r="X16" s="222"/>
      <c r="Y16" s="222">
        <f t="shared" si="0"/>
        <v>192299.87604167432</v>
      </c>
      <c r="Z16" s="222"/>
      <c r="AA16" s="222">
        <f t="shared" si="0"/>
        <v>199030.3717031329</v>
      </c>
      <c r="AB16" s="222"/>
      <c r="AC16" s="222">
        <f t="shared" si="0"/>
        <v>205996.43471274254</v>
      </c>
      <c r="AD16" s="222"/>
      <c r="AE16" s="222">
        <f t="shared" si="0"/>
        <v>213206.3099276885</v>
      </c>
      <c r="AF16" s="222"/>
      <c r="AG16" s="222">
        <f t="shared" si="0"/>
        <v>220668.53077515759</v>
      </c>
    </row>
    <row r="17" spans="1:33" s="210" customFormat="1" ht="13.8">
      <c r="A17" s="210" t="s">
        <v>561</v>
      </c>
      <c r="C17" s="233"/>
      <c r="E17" s="222">
        <f>Application!W863</f>
        <v>220000</v>
      </c>
      <c r="F17" s="222"/>
      <c r="G17" s="222">
        <f t="shared" si="0"/>
        <v>227699.99999999997</v>
      </c>
      <c r="H17" s="222"/>
      <c r="I17" s="222">
        <f t="shared" si="0"/>
        <v>235669.49999999994</v>
      </c>
      <c r="J17" s="222"/>
      <c r="K17" s="222">
        <f t="shared" si="0"/>
        <v>243917.93249999991</v>
      </c>
      <c r="L17" s="222"/>
      <c r="M17" s="222">
        <f t="shared" si="0"/>
        <v>252455.06013749988</v>
      </c>
      <c r="N17" s="222"/>
      <c r="O17" s="222">
        <f t="shared" si="0"/>
        <v>261290.98724231235</v>
      </c>
      <c r="P17" s="222"/>
      <c r="Q17" s="222">
        <f t="shared" si="0"/>
        <v>270436.17179579329</v>
      </c>
      <c r="R17" s="222"/>
      <c r="S17" s="222">
        <f t="shared" si="0"/>
        <v>279901.43780864601</v>
      </c>
      <c r="T17" s="222"/>
      <c r="U17" s="222">
        <f t="shared" si="0"/>
        <v>289697.98813194857</v>
      </c>
      <c r="V17" s="222"/>
      <c r="W17" s="222">
        <f t="shared" si="0"/>
        <v>299837.41771656676</v>
      </c>
      <c r="X17" s="222"/>
      <c r="Y17" s="222">
        <f t="shared" si="0"/>
        <v>310331.72733664658</v>
      </c>
      <c r="Z17" s="222"/>
      <c r="AA17" s="222">
        <f t="shared" si="0"/>
        <v>321193.33779342921</v>
      </c>
      <c r="AB17" s="222"/>
      <c r="AC17" s="222">
        <f t="shared" si="0"/>
        <v>332435.10461619921</v>
      </c>
      <c r="AD17" s="222"/>
      <c r="AE17" s="222">
        <f t="shared" si="0"/>
        <v>344070.33327776619</v>
      </c>
      <c r="AF17" s="222"/>
      <c r="AG17" s="222">
        <f t="shared" si="0"/>
        <v>356112.79494248796</v>
      </c>
    </row>
    <row r="18" spans="1:33" s="210" customFormat="1" ht="13.8">
      <c r="A18" s="210" t="s">
        <v>842</v>
      </c>
      <c r="C18" s="233"/>
      <c r="E18" s="222">
        <f>Application!W870</f>
        <v>415949</v>
      </c>
      <c r="F18" s="222"/>
      <c r="G18" s="222">
        <f t="shared" si="0"/>
        <v>430507.21499999997</v>
      </c>
      <c r="H18" s="222"/>
      <c r="I18" s="222">
        <f t="shared" si="0"/>
        <v>445574.96752499993</v>
      </c>
      <c r="J18" s="222"/>
      <c r="K18" s="222">
        <f t="shared" si="0"/>
        <v>461170.09138837492</v>
      </c>
      <c r="L18" s="222"/>
      <c r="M18" s="222">
        <f t="shared" si="0"/>
        <v>477311.04458696803</v>
      </c>
      <c r="N18" s="222"/>
      <c r="O18" s="222">
        <f t="shared" si="0"/>
        <v>494016.93114751187</v>
      </c>
      <c r="P18" s="222"/>
      <c r="Q18" s="222">
        <f t="shared" si="0"/>
        <v>511307.52373767475</v>
      </c>
      <c r="R18" s="222"/>
      <c r="S18" s="222">
        <f t="shared" si="0"/>
        <v>529203.28706849332</v>
      </c>
      <c r="T18" s="222"/>
      <c r="U18" s="222">
        <f t="shared" si="0"/>
        <v>547725.40211589052</v>
      </c>
      <c r="V18" s="222"/>
      <c r="W18" s="222">
        <f t="shared" si="0"/>
        <v>566895.7911899467</v>
      </c>
      <c r="X18" s="222"/>
      <c r="Y18" s="222">
        <f t="shared" si="0"/>
        <v>586737.14388159476</v>
      </c>
      <c r="Z18" s="222"/>
      <c r="AA18" s="222">
        <f t="shared" si="0"/>
        <v>607272.9439174505</v>
      </c>
      <c r="AB18" s="222"/>
      <c r="AC18" s="222">
        <f t="shared" si="0"/>
        <v>628527.49695456121</v>
      </c>
      <c r="AD18" s="222"/>
      <c r="AE18" s="222">
        <f t="shared" si="0"/>
        <v>650525.95934797078</v>
      </c>
      <c r="AF18" s="222"/>
      <c r="AG18" s="222">
        <f t="shared" si="0"/>
        <v>673294.36792514974</v>
      </c>
    </row>
    <row r="19" spans="1:33" s="210" customFormat="1" ht="13.8">
      <c r="A19" s="210" t="s">
        <v>155</v>
      </c>
      <c r="C19" s="233"/>
      <c r="E19" s="222">
        <f>Application!W872</f>
        <v>60000</v>
      </c>
      <c r="F19" s="222"/>
      <c r="G19" s="222">
        <f t="shared" si="0"/>
        <v>62099.999999999993</v>
      </c>
      <c r="H19" s="222"/>
      <c r="I19" s="222">
        <f t="shared" si="0"/>
        <v>64273.499999999985</v>
      </c>
      <c r="J19" s="222"/>
      <c r="K19" s="222">
        <f t="shared" si="0"/>
        <v>66523.07249999998</v>
      </c>
      <c r="L19" s="222"/>
      <c r="M19" s="222">
        <f t="shared" si="0"/>
        <v>68851.38003749997</v>
      </c>
      <c r="N19" s="222"/>
      <c r="O19" s="222">
        <f t="shared" si="0"/>
        <v>71261.17833881246</v>
      </c>
      <c r="P19" s="222"/>
      <c r="Q19" s="222">
        <f t="shared" si="0"/>
        <v>73755.319580670897</v>
      </c>
      <c r="R19" s="222"/>
      <c r="S19" s="222">
        <f t="shared" si="0"/>
        <v>76336.75576599437</v>
      </c>
      <c r="T19" s="222"/>
      <c r="U19" s="222">
        <f t="shared" si="0"/>
        <v>79008.542217804163</v>
      </c>
      <c r="V19" s="222"/>
      <c r="W19" s="222">
        <f t="shared" si="0"/>
        <v>81773.841195427303</v>
      </c>
      <c r="X19" s="222"/>
      <c r="Y19" s="222">
        <f t="shared" si="0"/>
        <v>84635.925637267253</v>
      </c>
      <c r="Z19" s="222"/>
      <c r="AA19" s="222">
        <f t="shared" si="0"/>
        <v>87598.183034571601</v>
      </c>
      <c r="AB19" s="222"/>
      <c r="AC19" s="222">
        <f t="shared" si="0"/>
        <v>90664.119440781593</v>
      </c>
      <c r="AD19" s="222"/>
      <c r="AE19" s="222">
        <f t="shared" si="0"/>
        <v>93837.363621208948</v>
      </c>
      <c r="AF19" s="222"/>
      <c r="AG19" s="222">
        <f t="shared" si="0"/>
        <v>97121.671347951255</v>
      </c>
    </row>
    <row r="20" spans="1:33" s="210" customFormat="1" ht="13.8">
      <c r="A20" s="210" t="s">
        <v>390</v>
      </c>
      <c r="C20" s="233"/>
      <c r="E20" s="222">
        <f>Application!W881</f>
        <v>190350</v>
      </c>
      <c r="F20" s="222"/>
      <c r="G20" s="222">
        <f t="shared" si="0"/>
        <v>197012.24999999997</v>
      </c>
      <c r="H20" s="222"/>
      <c r="I20" s="222">
        <f t="shared" si="0"/>
        <v>203907.67874999996</v>
      </c>
      <c r="J20" s="222"/>
      <c r="K20" s="222">
        <f t="shared" si="0"/>
        <v>211044.44750624994</v>
      </c>
      <c r="L20" s="222"/>
      <c r="M20" s="222">
        <f t="shared" si="0"/>
        <v>218431.00316896866</v>
      </c>
      <c r="N20" s="222"/>
      <c r="O20" s="222">
        <f t="shared" si="0"/>
        <v>226076.08827988253</v>
      </c>
      <c r="P20" s="222"/>
      <c r="Q20" s="222">
        <f t="shared" si="0"/>
        <v>233988.75136967842</v>
      </c>
      <c r="R20" s="222"/>
      <c r="S20" s="222">
        <f t="shared" si="0"/>
        <v>242178.35766761715</v>
      </c>
      <c r="T20" s="222"/>
      <c r="U20" s="222">
        <f t="shared" si="0"/>
        <v>250654.60018598373</v>
      </c>
      <c r="V20" s="222"/>
      <c r="W20" s="222">
        <f t="shared" si="0"/>
        <v>259427.51119249314</v>
      </c>
      <c r="X20" s="222"/>
      <c r="Y20" s="222">
        <f t="shared" si="0"/>
        <v>268507.47408423037</v>
      </c>
      <c r="Z20" s="222"/>
      <c r="AA20" s="222">
        <f t="shared" si="0"/>
        <v>277905.23567717843</v>
      </c>
      <c r="AB20" s="222"/>
      <c r="AC20" s="222">
        <f t="shared" si="0"/>
        <v>287631.91892587964</v>
      </c>
      <c r="AD20" s="222"/>
      <c r="AE20" s="222">
        <f t="shared" si="0"/>
        <v>297699.03608828539</v>
      </c>
      <c r="AF20" s="222"/>
      <c r="AG20" s="222">
        <f t="shared" si="0"/>
        <v>308118.50235137535</v>
      </c>
    </row>
    <row r="21" spans="1:33" s="210" customFormat="1" ht="13.8">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3.8">
      <c r="A22" s="223" t="s">
        <v>843</v>
      </c>
      <c r="C22" s="233"/>
      <c r="E22" s="223">
        <f>SUM(E15:E21)</f>
        <v>1136124</v>
      </c>
      <c r="G22" s="223">
        <f>SUM(G15:G21)</f>
        <v>1175888.3399999999</v>
      </c>
      <c r="I22" s="223">
        <f>SUM(I15:I21)</f>
        <v>1217044.4318999997</v>
      </c>
      <c r="K22" s="223">
        <f>SUM(K15:K21)</f>
        <v>1259640.9870164995</v>
      </c>
      <c r="M22" s="223">
        <f>SUM(M15:M21)</f>
        <v>1303728.421562077</v>
      </c>
      <c r="O22" s="223">
        <f>SUM(O15:O21)</f>
        <v>1349358.9163167495</v>
      </c>
      <c r="Q22" s="223">
        <f>SUM(Q15:Q21)</f>
        <v>1396586.4783878359</v>
      </c>
      <c r="S22" s="223">
        <f>SUM(S15:S21)</f>
        <v>1445467.00513141</v>
      </c>
      <c r="U22" s="223">
        <f>SUM(U15:U21)</f>
        <v>1496058.3503110092</v>
      </c>
      <c r="W22" s="223">
        <f>SUM(W15:W21)</f>
        <v>1548420.3925718945</v>
      </c>
      <c r="Y22" s="223">
        <f>SUM(Y15:Y21)</f>
        <v>1602615.1063119106</v>
      </c>
      <c r="AA22" s="223">
        <f>SUM(AA15:AA21)</f>
        <v>1658706.6350328273</v>
      </c>
      <c r="AC22" s="223">
        <f>SUM(AC15:AC21)</f>
        <v>1716761.3672589762</v>
      </c>
      <c r="AE22" s="223">
        <f>SUM(AE15:AE21)</f>
        <v>1776848.0151130403</v>
      </c>
      <c r="AG22" s="223">
        <f>SUM(AG15:AG21)</f>
        <v>1839037.6956419963</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845</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3.8">
      <c r="A28" s="210" t="s">
        <v>846</v>
      </c>
      <c r="C28" s="237"/>
      <c r="E28" s="222">
        <f>Application!AC898</f>
        <v>55200</v>
      </c>
      <c r="F28" s="222"/>
      <c r="G28" s="222">
        <f>$E$28</f>
        <v>55200</v>
      </c>
      <c r="H28" s="222"/>
      <c r="I28" s="222">
        <f>$E$28</f>
        <v>55200</v>
      </c>
      <c r="J28" s="222"/>
      <c r="K28" s="222">
        <f>$E$28</f>
        <v>55200</v>
      </c>
      <c r="L28" s="222"/>
      <c r="M28" s="222">
        <f>$E$28</f>
        <v>55200</v>
      </c>
      <c r="N28" s="222"/>
      <c r="O28" s="222">
        <f>$E$28</f>
        <v>55200</v>
      </c>
      <c r="P28" s="222"/>
      <c r="Q28" s="222">
        <f>$E$28</f>
        <v>55200</v>
      </c>
      <c r="R28" s="222"/>
      <c r="S28" s="222">
        <f>$E$28</f>
        <v>55200</v>
      </c>
      <c r="T28" s="222"/>
      <c r="U28" s="222">
        <f>$E$28</f>
        <v>55200</v>
      </c>
      <c r="V28" s="222"/>
      <c r="W28" s="222">
        <f>$E$28</f>
        <v>55200</v>
      </c>
      <c r="X28" s="222"/>
      <c r="Y28" s="222">
        <f>$E$28</f>
        <v>55200</v>
      </c>
      <c r="Z28" s="222"/>
      <c r="AA28" s="222">
        <f>$E$28</f>
        <v>55200</v>
      </c>
      <c r="AB28" s="222"/>
      <c r="AC28" s="222">
        <f>$E$28</f>
        <v>55200</v>
      </c>
      <c r="AD28" s="222"/>
      <c r="AE28" s="222">
        <f>$E$28</f>
        <v>55200</v>
      </c>
      <c r="AF28" s="222"/>
      <c r="AG28" s="222">
        <f>$E$28</f>
        <v>55200</v>
      </c>
    </row>
    <row r="29" spans="1:33" s="210" customFormat="1" ht="13.8">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3.8">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178</v>
      </c>
      <c r="C35" s="224"/>
      <c r="E35" s="223">
        <f>SUM(E22:E33)</f>
        <v>1221324</v>
      </c>
      <c r="G35" s="223">
        <f>SUM(G22:G33)</f>
        <v>1262138.3399999999</v>
      </c>
      <c r="I35" s="223">
        <f>SUM(I22:I33)</f>
        <v>1304381.1818999997</v>
      </c>
      <c r="K35" s="223">
        <f>SUM(K22:K33)</f>
        <v>1348102.5232664994</v>
      </c>
      <c r="M35" s="223">
        <f>SUM(M22:M33)</f>
        <v>1393354.111580827</v>
      </c>
      <c r="O35" s="223">
        <f>SUM(O22:O33)</f>
        <v>1440189.5054861559</v>
      </c>
      <c r="Q35" s="223">
        <f>SUM(Q22:Q33)</f>
        <v>1488664.1381781714</v>
      </c>
      <c r="S35" s="223">
        <f>SUM(S22:S33)</f>
        <v>1538835.3830144072</v>
      </c>
      <c r="U35" s="223">
        <f>SUM(U22:U33)</f>
        <v>1590762.6214199113</v>
      </c>
      <c r="W35" s="223">
        <f>SUM(W22:W33)</f>
        <v>1644507.3131696081</v>
      </c>
      <c r="Y35" s="223">
        <f>SUM(Y22:Y33)</f>
        <v>1700133.0691305441</v>
      </c>
      <c r="AA35" s="223">
        <f>SUM(AA22:AA33)</f>
        <v>1757705.7265501132</v>
      </c>
      <c r="AC35" s="223">
        <f>SUM(AC22:AC33)</f>
        <v>1817293.4269793669</v>
      </c>
      <c r="AE35" s="223">
        <f>SUM(AE22:AE33)</f>
        <v>1878966.6969236447</v>
      </c>
      <c r="AG35" s="223">
        <f>SUM(AG22:AG33)</f>
        <v>1942798.5313159719</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847</v>
      </c>
      <c r="C37" s="224"/>
      <c r="E37" s="223">
        <f>E11-E35</f>
        <v>4141030.8</v>
      </c>
      <c r="G37" s="223">
        <f>G11-G35</f>
        <v>4234275.33</v>
      </c>
      <c r="I37" s="223">
        <f>I11-I35</f>
        <v>4329442.8298499994</v>
      </c>
      <c r="K37" s="223">
        <f>K11-K35</f>
        <v>4426567.0887772497</v>
      </c>
      <c r="M37" s="223">
        <f>M11-M35</f>
        <v>4525682.2407640163</v>
      </c>
      <c r="O37" s="223">
        <f>O11-O35</f>
        <v>4626822.7556673083</v>
      </c>
      <c r="Q37" s="223">
        <f>Q11-Q35</f>
        <v>4730023.4295041272</v>
      </c>
      <c r="S37" s="223">
        <f>S11-S35</f>
        <v>4835319.3738599485</v>
      </c>
      <c r="U37" s="223">
        <f>U11-U35</f>
        <v>4942746.0043763025</v>
      </c>
      <c r="W37" s="223">
        <f>W11-W35</f>
        <v>5052339.0282715112</v>
      </c>
      <c r="Y37" s="223">
        <f>Y11-Y35</f>
        <v>5164134.4308466036</v>
      </c>
      <c r="AA37" s="223">
        <f>AA11-AA35</f>
        <v>5278168.460926461</v>
      </c>
      <c r="AC37" s="223">
        <f>AC11-AC35</f>
        <v>5394477.6151841218</v>
      </c>
      <c r="AE37" s="223">
        <f>AE11-AE35</f>
        <v>5513098.6212939322</v>
      </c>
      <c r="AG37" s="223">
        <f>AG11-AG35</f>
        <v>5634068.4198570428</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 N.A.</v>
      </c>
      <c r="B40" s="226"/>
      <c r="C40" s="220"/>
      <c r="E40" s="222">
        <f>Application!AF635</f>
        <v>3600910</v>
      </c>
      <c r="F40" s="222"/>
      <c r="G40" s="222">
        <f>$E$40</f>
        <v>3600910</v>
      </c>
      <c r="H40" s="222"/>
      <c r="I40" s="222">
        <f>$E$40</f>
        <v>3600910</v>
      </c>
      <c r="J40" s="222"/>
      <c r="K40" s="222">
        <f>$E$40</f>
        <v>3600910</v>
      </c>
      <c r="L40" s="222"/>
      <c r="M40" s="222">
        <f>$E$40</f>
        <v>3600910</v>
      </c>
      <c r="N40" s="222"/>
      <c r="O40" s="222">
        <f>$E$40</f>
        <v>3600910</v>
      </c>
      <c r="P40" s="222"/>
      <c r="Q40" s="222">
        <f>$E$40</f>
        <v>3600910</v>
      </c>
      <c r="R40" s="222"/>
      <c r="S40" s="222">
        <f>$E$40</f>
        <v>3600910</v>
      </c>
      <c r="T40" s="222"/>
      <c r="U40" s="222">
        <f>$E$40</f>
        <v>3600910</v>
      </c>
      <c r="V40" s="222"/>
      <c r="W40" s="222">
        <f>$E$40</f>
        <v>3600910</v>
      </c>
      <c r="X40" s="222"/>
      <c r="Y40" s="222">
        <f>$E$40</f>
        <v>3600910</v>
      </c>
      <c r="Z40" s="222"/>
      <c r="AA40" s="222">
        <f>$E$40</f>
        <v>3600910</v>
      </c>
      <c r="AB40" s="222"/>
      <c r="AC40" s="222">
        <f>$E$40</f>
        <v>3600910</v>
      </c>
      <c r="AD40" s="222"/>
      <c r="AE40" s="222">
        <f>$E$40</f>
        <v>3600910</v>
      </c>
      <c r="AF40" s="222"/>
      <c r="AG40" s="222">
        <f>$E$40</f>
        <v>3600910</v>
      </c>
    </row>
    <row r="41" spans="1:33" s="210" customFormat="1" ht="13.8">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848</v>
      </c>
      <c r="C43" s="224"/>
      <c r="E43" s="223">
        <f>SUM(E40:E42)</f>
        <v>3600910</v>
      </c>
      <c r="G43" s="223">
        <f>SUM(G40:G42)</f>
        <v>3600910</v>
      </c>
      <c r="I43" s="223">
        <f>SUM(I40:I42)</f>
        <v>3600910</v>
      </c>
      <c r="K43" s="223">
        <f>SUM(K40:K42)</f>
        <v>3600910</v>
      </c>
      <c r="M43" s="223">
        <f>SUM(M40:M42)</f>
        <v>3600910</v>
      </c>
      <c r="O43" s="223">
        <f>SUM(O40:O42)</f>
        <v>3600910</v>
      </c>
      <c r="Q43" s="223">
        <f>SUM(Q40:Q42)</f>
        <v>3600910</v>
      </c>
      <c r="S43" s="223">
        <f>SUM(S40:S42)</f>
        <v>3600910</v>
      </c>
      <c r="U43" s="223">
        <f>SUM(U40:U42)</f>
        <v>3600910</v>
      </c>
      <c r="W43" s="223">
        <f>SUM(W40:W42)</f>
        <v>3600910</v>
      </c>
      <c r="Y43" s="223">
        <f>SUM(Y40:Y42)</f>
        <v>3600910</v>
      </c>
      <c r="AA43" s="223">
        <f>SUM(AA40:AA42)</f>
        <v>3600910</v>
      </c>
      <c r="AC43" s="223">
        <f>SUM(AC40:AC42)</f>
        <v>3600910</v>
      </c>
      <c r="AE43" s="223">
        <f>SUM(AE40:AE42)</f>
        <v>3600910</v>
      </c>
      <c r="AG43" s="223">
        <f>SUM(AG40:AG42)</f>
        <v>3600910</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849</v>
      </c>
      <c r="C45" s="224"/>
      <c r="E45" s="223">
        <f>E37-E43</f>
        <v>540120.79999999981</v>
      </c>
      <c r="G45" s="223">
        <f>G37-G43</f>
        <v>633365.33000000007</v>
      </c>
      <c r="I45" s="223">
        <f>I37-I43</f>
        <v>728532.8298499994</v>
      </c>
      <c r="K45" s="223">
        <f>K37-K43</f>
        <v>825657.08877724968</v>
      </c>
      <c r="M45" s="223">
        <f>M37-M43</f>
        <v>924772.24076401629</v>
      </c>
      <c r="O45" s="223">
        <f>O37-O43</f>
        <v>1025912.7556673083</v>
      </c>
      <c r="Q45" s="223">
        <f>Q37-Q43</f>
        <v>1129113.4295041272</v>
      </c>
      <c r="S45" s="223">
        <f>S37-S43</f>
        <v>1234409.3738599485</v>
      </c>
      <c r="U45" s="223">
        <f>U37-U43</f>
        <v>1341836.0043763025</v>
      </c>
      <c r="W45" s="223">
        <f>W37-W43</f>
        <v>1451429.0282715112</v>
      </c>
      <c r="Y45" s="223">
        <f>Y37-Y43</f>
        <v>1563224.4308466036</v>
      </c>
      <c r="AA45" s="223">
        <f>AA37-AA43</f>
        <v>1677258.460926461</v>
      </c>
      <c r="AC45" s="223">
        <f>AC37-AC43</f>
        <v>1793567.6151841218</v>
      </c>
      <c r="AE45" s="223">
        <f>AE37-AE43</f>
        <v>1912188.6212939322</v>
      </c>
      <c r="AG45" s="223">
        <f>AG37-AG43</f>
        <v>2033158.4198570428</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851</v>
      </c>
      <c r="C47" s="220"/>
      <c r="E47" s="227">
        <f>E45/(E4+E6+E8)</f>
        <v>9.568832707600769E-2</v>
      </c>
      <c r="G47" s="227">
        <f>G45/(G4+G6+G8)</f>
        <v>0.10947084765182896</v>
      </c>
      <c r="I47" s="227">
        <f>I45/(I4+I6+I8)</f>
        <v>0.12284838626730812</v>
      </c>
      <c r="K47" s="227">
        <f>K45/(K4+K6+K8)</f>
        <v>0.13583014908809379</v>
      </c>
      <c r="M47" s="227">
        <f>M45/(M4+M6+M8)</f>
        <v>0.14842511118854371</v>
      </c>
      <c r="O47" s="227">
        <f>O45/(O4+O6+O8)</f>
        <v>0.16064202212418938</v>
      </c>
      <c r="Q47" s="227">
        <f>Q45/(Q4+Q6+Q8)</f>
        <v>0.17248941136766255</v>
      </c>
      <c r="S47" s="227">
        <f>S45/(S4+S6+S8)</f>
        <v>0.1839755936114098</v>
      </c>
      <c r="U47" s="227">
        <f>U45/(U4+U6+U8)</f>
        <v>0.1951086739404341</v>
      </c>
      <c r="W47" s="227">
        <f>W45/(W4+W6+W8)</f>
        <v>0.20589655287823347</v>
      </c>
      <c r="Y47" s="227">
        <f>Y45/(Y4+Y6+Y8)</f>
        <v>0.21634693130901697</v>
      </c>
      <c r="AA47" s="227">
        <f>AA45/(AA4+AA6+AA8)</f>
        <v>0.22646731527921354</v>
      </c>
      <c r="AC47" s="227">
        <f>AC45/(AC4+AC6+AC8)</f>
        <v>0.23626502068121105</v>
      </c>
      <c r="AE47" s="227">
        <f>AE45/(AE4+AE6+AE8)</f>
        <v>0.24574717782218694</v>
      </c>
      <c r="AG47" s="227">
        <f>AG45/(AG4+AG6+AG8)</f>
        <v>0.2549207358808333</v>
      </c>
    </row>
    <row r="48" spans="1:33" s="227" customFormat="1" ht="13.8">
      <c r="A48" s="227" t="s">
        <v>852</v>
      </c>
      <c r="C48" s="220"/>
      <c r="E48" s="227">
        <f>E45/E43</f>
        <v>0.14999563999100221</v>
      </c>
      <c r="G48" s="227">
        <f>G45/G43</f>
        <v>0.17589035271639672</v>
      </c>
      <c r="I48" s="227">
        <f>I45/I43</f>
        <v>0.20231908874423393</v>
      </c>
      <c r="K48" s="227">
        <f>K45/K43</f>
        <v>0.22929123159902626</v>
      </c>
      <c r="M48" s="227">
        <f>M45/M43</f>
        <v>0.25681626054636641</v>
      </c>
      <c r="O48" s="227">
        <f>O45/O43</f>
        <v>0.28490374812680913</v>
      </c>
      <c r="Q48" s="227">
        <f>Q45/Q43</f>
        <v>0.31356335745801123</v>
      </c>
      <c r="S48" s="227">
        <f>S45/S43</f>
        <v>0.34280483929338651</v>
      </c>
      <c r="U48" s="227">
        <f>U45/U43</f>
        <v>0.3726380288250199</v>
      </c>
      <c r="W48" s="227">
        <f>W45/W43</f>
        <v>0.40307284221808132</v>
      </c>
      <c r="Y48" s="227">
        <f>Y45/Y43</f>
        <v>0.43411927286341606</v>
      </c>
      <c r="AA48" s="227">
        <f>AA45/AA43</f>
        <v>0.46578738733444075</v>
      </c>
      <c r="AC48" s="227">
        <f>AC45/AC43</f>
        <v>0.49808732103388359</v>
      </c>
      <c r="AE48" s="227">
        <f>AE45/AE43</f>
        <v>0.53102927351528706</v>
      </c>
      <c r="AG48" s="227">
        <f>AG45/AG43</f>
        <v>0.56462350346358081</v>
      </c>
    </row>
    <row r="49" spans="1:34" s="228" customFormat="1" ht="13.8">
      <c r="A49" s="228" t="s">
        <v>850</v>
      </c>
      <c r="C49" s="229"/>
      <c r="E49" s="228">
        <f>E37/E43</f>
        <v>1.1499956399910023</v>
      </c>
      <c r="G49" s="228">
        <f>G37/G43</f>
        <v>1.1758903527163966</v>
      </c>
      <c r="I49" s="228">
        <f>I37/I43</f>
        <v>1.2023190887442339</v>
      </c>
      <c r="K49" s="228">
        <f>K37/K43</f>
        <v>1.2292912315990263</v>
      </c>
      <c r="M49" s="228">
        <f>M37/M43</f>
        <v>1.2568162605463664</v>
      </c>
      <c r="O49" s="228">
        <f>O37/O43</f>
        <v>1.2849037481268091</v>
      </c>
      <c r="Q49" s="228">
        <f>Q37/Q43</f>
        <v>1.3135633574580112</v>
      </c>
      <c r="S49" s="228">
        <f>S37/S43</f>
        <v>1.3428048392933865</v>
      </c>
      <c r="U49" s="228">
        <f>U37/U43</f>
        <v>1.37263802882502</v>
      </c>
      <c r="W49" s="228">
        <f>W37/W43</f>
        <v>1.4030728422180814</v>
      </c>
      <c r="Y49" s="228">
        <f>Y37/Y43</f>
        <v>1.434119272863416</v>
      </c>
      <c r="AA49" s="228">
        <f>AA37/AA43</f>
        <v>1.4657873873344407</v>
      </c>
      <c r="AC49" s="228">
        <f>AC37/AC43</f>
        <v>1.4980873210338836</v>
      </c>
      <c r="AE49" s="228">
        <f>AE37/AE43</f>
        <v>1.5310292735152871</v>
      </c>
      <c r="AG49" s="228">
        <f>AG37/AG43</f>
        <v>1.5646235034635809</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2829</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v>5000</v>
      </c>
      <c r="G53" s="951">
        <f>E53*1.03</f>
        <v>5150</v>
      </c>
      <c r="I53" s="951">
        <f t="shared" ref="I53:I54" si="1">G53*1.03</f>
        <v>5304.5</v>
      </c>
      <c r="K53" s="951">
        <f t="shared" ref="K53:K54" si="2">I53*1.03</f>
        <v>5463.6350000000002</v>
      </c>
      <c r="M53" s="951">
        <f t="shared" ref="M53:M54" si="3">K53*1.03</f>
        <v>5627.5440500000004</v>
      </c>
      <c r="O53" s="951">
        <f t="shared" ref="O53:O54" si="4">M53*1.03</f>
        <v>5796.3703715000001</v>
      </c>
      <c r="Q53" s="951">
        <f t="shared" ref="Q53:Q54" si="5">O53*1.03</f>
        <v>5970.2614826449999</v>
      </c>
      <c r="S53" s="951">
        <f t="shared" ref="S53:S54" si="6">Q53*1.03</f>
        <v>6149.3693271243501</v>
      </c>
      <c r="U53" s="951">
        <f t="shared" ref="U53:U54" si="7">S53*1.03</f>
        <v>6333.8504069380806</v>
      </c>
      <c r="W53" s="951">
        <f t="shared" ref="W53:W54" si="8">U53*1.03</f>
        <v>6523.865919146223</v>
      </c>
      <c r="Y53" s="951">
        <f t="shared" ref="Y53:Y54" si="9">W53*1.03</f>
        <v>6719.5818967206096</v>
      </c>
      <c r="AA53" s="951">
        <f t="shared" ref="AA53:AA54" si="10">Y53*1.03</f>
        <v>6921.1693536222283</v>
      </c>
      <c r="AC53" s="951">
        <f t="shared" ref="AC53:AC54" si="11">AA53*1.03</f>
        <v>7128.8044342308949</v>
      </c>
      <c r="AE53" s="951">
        <f t="shared" ref="AE53:AE54" si="12">AC53*1.03</f>
        <v>7342.6685672578224</v>
      </c>
      <c r="AG53" s="951">
        <f t="shared" ref="AG53:AG54" si="13">AE53*1.03</f>
        <v>7562.9486242755574</v>
      </c>
    </row>
    <row r="54" spans="1:34" s="3" customFormat="1">
      <c r="A54" s="3" t="s">
        <v>855</v>
      </c>
      <c r="C54" s="949"/>
      <c r="E54" s="956">
        <v>5000</v>
      </c>
      <c r="F54" s="951"/>
      <c r="G54" s="951">
        <f>E54*1.03</f>
        <v>5150</v>
      </c>
      <c r="H54" s="951"/>
      <c r="I54" s="951">
        <f t="shared" si="1"/>
        <v>5304.5</v>
      </c>
      <c r="J54" s="951"/>
      <c r="K54" s="951">
        <f t="shared" si="2"/>
        <v>5463.6350000000002</v>
      </c>
      <c r="L54" s="951"/>
      <c r="M54" s="951">
        <f t="shared" si="3"/>
        <v>5627.5440500000004</v>
      </c>
      <c r="N54" s="951"/>
      <c r="O54" s="951">
        <f t="shared" si="4"/>
        <v>5796.3703715000001</v>
      </c>
      <c r="P54" s="951"/>
      <c r="Q54" s="951">
        <f t="shared" si="5"/>
        <v>5970.2614826449999</v>
      </c>
      <c r="R54" s="951"/>
      <c r="S54" s="951">
        <f t="shared" si="6"/>
        <v>6149.3693271243501</v>
      </c>
      <c r="T54" s="951"/>
      <c r="U54" s="951">
        <f t="shared" si="7"/>
        <v>6333.8504069380806</v>
      </c>
      <c r="V54" s="951"/>
      <c r="W54" s="951">
        <f t="shared" si="8"/>
        <v>6523.865919146223</v>
      </c>
      <c r="X54" s="951"/>
      <c r="Y54" s="951">
        <f t="shared" si="9"/>
        <v>6719.5818967206096</v>
      </c>
      <c r="Z54" s="951"/>
      <c r="AA54" s="951">
        <f t="shared" si="10"/>
        <v>6921.1693536222283</v>
      </c>
      <c r="AB54" s="951"/>
      <c r="AC54" s="951">
        <f t="shared" si="11"/>
        <v>7128.8044342308949</v>
      </c>
      <c r="AD54" s="951"/>
      <c r="AE54" s="951">
        <f t="shared" si="12"/>
        <v>7342.6685672578224</v>
      </c>
      <c r="AF54" s="951"/>
      <c r="AG54" s="951">
        <f t="shared" si="13"/>
        <v>7562.9486242755574</v>
      </c>
      <c r="AH54" s="951"/>
    </row>
    <row r="55" spans="1:34" s="3" customFormat="1">
      <c r="A55" s="3" t="s">
        <v>856</v>
      </c>
      <c r="C55" s="949"/>
      <c r="E55" s="956"/>
      <c r="F55" s="951"/>
      <c r="G55" s="951">
        <f t="shared" ref="G55:AG57" si="14">E55*$C$53</f>
        <v>0</v>
      </c>
      <c r="H55" s="951"/>
      <c r="I55" s="951">
        <f t="shared" si="14"/>
        <v>0</v>
      </c>
      <c r="J55" s="951"/>
      <c r="K55" s="951">
        <f t="shared" si="14"/>
        <v>0</v>
      </c>
      <c r="L55" s="951"/>
      <c r="M55" s="951">
        <f t="shared" si="14"/>
        <v>0</v>
      </c>
      <c r="N55" s="951"/>
      <c r="O55" s="951">
        <f t="shared" si="14"/>
        <v>0</v>
      </c>
      <c r="P55" s="951"/>
      <c r="Q55" s="951">
        <f t="shared" si="14"/>
        <v>0</v>
      </c>
      <c r="R55" s="951"/>
      <c r="S55" s="951">
        <f t="shared" si="14"/>
        <v>0</v>
      </c>
      <c r="T55" s="951"/>
      <c r="U55" s="951">
        <f t="shared" si="14"/>
        <v>0</v>
      </c>
      <c r="V55" s="951"/>
      <c r="W55" s="951">
        <f t="shared" si="14"/>
        <v>0</v>
      </c>
      <c r="X55" s="951"/>
      <c r="Y55" s="951">
        <f t="shared" si="14"/>
        <v>0</v>
      </c>
      <c r="Z55" s="951"/>
      <c r="AA55" s="951">
        <f t="shared" si="14"/>
        <v>0</v>
      </c>
      <c r="AB55" s="951"/>
      <c r="AC55" s="951">
        <f t="shared" si="14"/>
        <v>0</v>
      </c>
      <c r="AD55" s="951"/>
      <c r="AE55" s="951">
        <f t="shared" si="14"/>
        <v>0</v>
      </c>
      <c r="AF55" s="951"/>
      <c r="AG55" s="951">
        <f t="shared" si="14"/>
        <v>0</v>
      </c>
      <c r="AH55" s="951"/>
    </row>
    <row r="56" spans="1:34" s="3" customFormat="1">
      <c r="A56" s="957"/>
      <c r="B56" s="957"/>
      <c r="C56" s="949"/>
      <c r="E56" s="956"/>
      <c r="F56" s="951"/>
      <c r="G56" s="951">
        <f t="shared" si="14"/>
        <v>0</v>
      </c>
      <c r="H56" s="951"/>
      <c r="I56" s="951">
        <f t="shared" si="14"/>
        <v>0</v>
      </c>
      <c r="J56" s="951"/>
      <c r="K56" s="951">
        <f t="shared" si="14"/>
        <v>0</v>
      </c>
      <c r="L56" s="951"/>
      <c r="M56" s="951">
        <f t="shared" si="14"/>
        <v>0</v>
      </c>
      <c r="N56" s="951"/>
      <c r="O56" s="951">
        <f t="shared" si="14"/>
        <v>0</v>
      </c>
      <c r="P56" s="951"/>
      <c r="Q56" s="951">
        <f t="shared" si="14"/>
        <v>0</v>
      </c>
      <c r="R56" s="951"/>
      <c r="S56" s="951">
        <f t="shared" si="14"/>
        <v>0</v>
      </c>
      <c r="T56" s="951"/>
      <c r="U56" s="951">
        <f t="shared" si="14"/>
        <v>0</v>
      </c>
      <c r="V56" s="951"/>
      <c r="W56" s="951">
        <f t="shared" si="14"/>
        <v>0</v>
      </c>
      <c r="X56" s="951"/>
      <c r="Y56" s="951">
        <f t="shared" si="14"/>
        <v>0</v>
      </c>
      <c r="Z56" s="951"/>
      <c r="AA56" s="951">
        <f t="shared" si="14"/>
        <v>0</v>
      </c>
      <c r="AB56" s="951"/>
      <c r="AC56" s="951">
        <f t="shared" si="14"/>
        <v>0</v>
      </c>
      <c r="AD56" s="951"/>
      <c r="AE56" s="951">
        <f t="shared" si="14"/>
        <v>0</v>
      </c>
      <c r="AF56" s="951"/>
      <c r="AG56" s="951">
        <f t="shared" si="14"/>
        <v>0</v>
      </c>
      <c r="AH56" s="951"/>
    </row>
    <row r="57" spans="1:34" s="3" customFormat="1">
      <c r="A57" s="957"/>
      <c r="B57" s="957"/>
      <c r="C57" s="949"/>
      <c r="E57" s="958"/>
      <c r="F57" s="951"/>
      <c r="G57" s="959">
        <f t="shared" si="14"/>
        <v>0</v>
      </c>
      <c r="H57" s="951"/>
      <c r="I57" s="959">
        <f t="shared" si="14"/>
        <v>0</v>
      </c>
      <c r="J57" s="951"/>
      <c r="K57" s="959">
        <f t="shared" si="14"/>
        <v>0</v>
      </c>
      <c r="L57" s="951"/>
      <c r="M57" s="959">
        <f t="shared" si="14"/>
        <v>0</v>
      </c>
      <c r="N57" s="951"/>
      <c r="O57" s="959">
        <f t="shared" si="14"/>
        <v>0</v>
      </c>
      <c r="P57" s="951"/>
      <c r="Q57" s="959">
        <f t="shared" si="14"/>
        <v>0</v>
      </c>
      <c r="R57" s="951"/>
      <c r="S57" s="959">
        <f t="shared" si="14"/>
        <v>0</v>
      </c>
      <c r="T57" s="951"/>
      <c r="U57" s="959">
        <f t="shared" si="14"/>
        <v>0</v>
      </c>
      <c r="V57" s="951"/>
      <c r="W57" s="959">
        <f t="shared" si="14"/>
        <v>0</v>
      </c>
      <c r="X57" s="951"/>
      <c r="Y57" s="959">
        <f t="shared" si="14"/>
        <v>0</v>
      </c>
      <c r="Z57" s="951"/>
      <c r="AA57" s="959">
        <f t="shared" si="14"/>
        <v>0</v>
      </c>
      <c r="AB57" s="951"/>
      <c r="AC57" s="959">
        <f t="shared" si="14"/>
        <v>0</v>
      </c>
      <c r="AD57" s="951"/>
      <c r="AE57" s="959">
        <f t="shared" si="14"/>
        <v>0</v>
      </c>
      <c r="AF57" s="951"/>
      <c r="AG57" s="959">
        <f t="shared" si="14"/>
        <v>0</v>
      </c>
      <c r="AH57" s="951"/>
    </row>
    <row r="58" spans="1:34" s="3" customFormat="1">
      <c r="A58" s="953" t="s">
        <v>853</v>
      </c>
      <c r="C58" s="952"/>
      <c r="E58" s="951">
        <f>SUM(E53:E57)</f>
        <v>10000</v>
      </c>
      <c r="F58" s="951"/>
      <c r="G58" s="951">
        <f>SUM(G53:G57)</f>
        <v>10300</v>
      </c>
      <c r="H58" s="951"/>
      <c r="I58" s="951">
        <f>SUM(I53:I57)</f>
        <v>10609</v>
      </c>
      <c r="J58" s="951"/>
      <c r="K58" s="951">
        <f>SUM(K53:K57)</f>
        <v>10927.27</v>
      </c>
      <c r="L58" s="951"/>
      <c r="M58" s="951">
        <f>SUM(M53:M57)</f>
        <v>11255.088100000001</v>
      </c>
      <c r="N58" s="951"/>
      <c r="O58" s="951">
        <f>SUM(O53:O57)</f>
        <v>11592.740743</v>
      </c>
      <c r="P58" s="951"/>
      <c r="Q58" s="951">
        <f>SUM(Q53:Q57)</f>
        <v>11940.52296529</v>
      </c>
      <c r="R58" s="951"/>
      <c r="S58" s="951">
        <f>SUM(S53:S57)</f>
        <v>12298.7386542487</v>
      </c>
      <c r="T58" s="951"/>
      <c r="U58" s="951">
        <f>SUM(U53:U57)</f>
        <v>12667.700813876161</v>
      </c>
      <c r="V58" s="951"/>
      <c r="W58" s="951">
        <f>SUM(W53:W57)</f>
        <v>13047.731838292446</v>
      </c>
      <c r="X58" s="951"/>
      <c r="Y58" s="951">
        <f>SUM(Y53:Y57)</f>
        <v>13439.163793441219</v>
      </c>
      <c r="Z58" s="951"/>
      <c r="AA58" s="951">
        <f>SUM(AA53:AA57)</f>
        <v>13842.338707244457</v>
      </c>
      <c r="AB58" s="951"/>
      <c r="AC58" s="951">
        <f>SUM(AC53:AC57)</f>
        <v>14257.60886846179</v>
      </c>
      <c r="AD58" s="951"/>
      <c r="AE58" s="951">
        <f>SUM(AE53:AE57)</f>
        <v>14685.337134515645</v>
      </c>
      <c r="AF58" s="951"/>
      <c r="AG58" s="951">
        <f>SUM(AG53:AG57)</f>
        <v>15125.897248551115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530120.79999999981</v>
      </c>
      <c r="G60" s="953">
        <f>G45-G58</f>
        <v>623065.33000000007</v>
      </c>
      <c r="I60" s="953">
        <f>I45-I58</f>
        <v>717923.8298499994</v>
      </c>
      <c r="K60" s="953">
        <f>K45-K58</f>
        <v>814729.81877724966</v>
      </c>
      <c r="M60" s="953">
        <f>M45-M58</f>
        <v>913517.15266401623</v>
      </c>
      <c r="O60" s="953">
        <f>O45-O58</f>
        <v>1014320.0149243084</v>
      </c>
      <c r="Q60" s="953">
        <f>Q45-Q58</f>
        <v>1117172.9065388374</v>
      </c>
      <c r="S60" s="953">
        <f>S45-S58</f>
        <v>1222110.6352056998</v>
      </c>
      <c r="U60" s="953">
        <f>U45-U58</f>
        <v>1329168.3035624262</v>
      </c>
      <c r="W60" s="953">
        <f>W45-W58</f>
        <v>1438381.2964332188</v>
      </c>
      <c r="Y60" s="953">
        <f>Y45-Y58</f>
        <v>1549785.2670531624</v>
      </c>
      <c r="AA60" s="953">
        <f>AA45-AA58</f>
        <v>1663416.1222192165</v>
      </c>
      <c r="AC60" s="953">
        <f>AC45-AC58</f>
        <v>1779310.00631566</v>
      </c>
      <c r="AE60" s="953">
        <f>AE45-AE58</f>
        <v>1897503.2841594166</v>
      </c>
      <c r="AG60" s="953">
        <f>AG45-AG58</f>
        <v>2018032.5226084918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530120.79999999981</v>
      </c>
      <c r="G62" s="953">
        <f>G60*$C$62</f>
        <v>623065.33000000007</v>
      </c>
      <c r="I62" s="953">
        <f>I60*$C$62</f>
        <v>717923.8298499994</v>
      </c>
      <c r="K62" s="953">
        <f>K60*$C$62</f>
        <v>814729.81877724966</v>
      </c>
      <c r="M62" s="953">
        <f>M60*$C$62</f>
        <v>913517.15266401623</v>
      </c>
      <c r="O62" s="953">
        <f>O60*$C$62</f>
        <v>1014320.0149243084</v>
      </c>
      <c r="Q62" s="953">
        <f>Q60*$C$62</f>
        <v>1117172.9065388374</v>
      </c>
      <c r="S62" s="953">
        <f>S60*$C$62</f>
        <v>1222110.6352056998</v>
      </c>
      <c r="U62" s="953">
        <f>U60*$C$62</f>
        <v>1329168.3035624262</v>
      </c>
      <c r="W62" s="953">
        <f>W60*$C$62</f>
        <v>1438381.2964332188</v>
      </c>
      <c r="Y62" s="953">
        <f>Y60*$C$62</f>
        <v>1549785.2670531624</v>
      </c>
      <c r="AA62" s="953">
        <v>393991</v>
      </c>
      <c r="AC62" s="953">
        <v>0</v>
      </c>
      <c r="AE62" s="953">
        <v>0</v>
      </c>
      <c r="AG62" s="953">
        <v>0</v>
      </c>
    </row>
    <row r="63" spans="1:34" s="953" customFormat="1">
      <c r="A63" s="2708" t="s">
        <v>1183</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15">E68*$C$66</f>
        <v>0</v>
      </c>
      <c r="I68" s="951">
        <f t="shared" si="15"/>
        <v>0</v>
      </c>
      <c r="K68" s="951">
        <f t="shared" si="15"/>
        <v>0</v>
      </c>
      <c r="M68" s="951">
        <f t="shared" si="15"/>
        <v>0</v>
      </c>
      <c r="O68" s="951">
        <f t="shared" si="15"/>
        <v>0</v>
      </c>
      <c r="Q68" s="951">
        <f t="shared" si="15"/>
        <v>0</v>
      </c>
      <c r="S68" s="951">
        <f t="shared" si="15"/>
        <v>0</v>
      </c>
      <c r="U68" s="951">
        <f t="shared" si="15"/>
        <v>0</v>
      </c>
      <c r="W68" s="951">
        <f t="shared" si="15"/>
        <v>0</v>
      </c>
      <c r="Y68" s="951">
        <f t="shared" si="15"/>
        <v>0</v>
      </c>
      <c r="AA68" s="951">
        <f t="shared" si="15"/>
        <v>0</v>
      </c>
      <c r="AC68" s="951">
        <f t="shared" si="15"/>
        <v>0</v>
      </c>
      <c r="AE68" s="951">
        <f t="shared" si="15"/>
        <v>0</v>
      </c>
      <c r="AG68" s="951">
        <f t="shared" si="15"/>
        <v>0</v>
      </c>
    </row>
    <row r="69" spans="1:34" s="951" customFormat="1">
      <c r="A69" s="956"/>
      <c r="B69" s="956"/>
      <c r="C69" s="961"/>
      <c r="E69" s="958"/>
      <c r="G69" s="959">
        <f t="shared" si="15"/>
        <v>0</v>
      </c>
      <c r="I69" s="959">
        <f t="shared" si="15"/>
        <v>0</v>
      </c>
      <c r="K69" s="959">
        <f t="shared" si="15"/>
        <v>0</v>
      </c>
      <c r="M69" s="959">
        <f t="shared" si="15"/>
        <v>0</v>
      </c>
      <c r="O69" s="959">
        <f t="shared" si="15"/>
        <v>0</v>
      </c>
      <c r="Q69" s="959">
        <f t="shared" si="15"/>
        <v>0</v>
      </c>
      <c r="S69" s="959">
        <f t="shared" si="15"/>
        <v>0</v>
      </c>
      <c r="U69" s="959">
        <f t="shared" si="15"/>
        <v>0</v>
      </c>
      <c r="W69" s="959">
        <f t="shared" si="15"/>
        <v>0</v>
      </c>
      <c r="Y69" s="959">
        <f t="shared" si="15"/>
        <v>0</v>
      </c>
      <c r="AA69" s="959">
        <f t="shared" si="15"/>
        <v>0</v>
      </c>
      <c r="AC69" s="959">
        <f t="shared" si="15"/>
        <v>0</v>
      </c>
      <c r="AE69" s="959">
        <f t="shared" si="15"/>
        <v>0</v>
      </c>
      <c r="AG69" s="959">
        <f t="shared" si="15"/>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1269425.1222192165</v>
      </c>
      <c r="AC72" s="953">
        <f>AC60-AC62-AC70</f>
        <v>1779310.00631566</v>
      </c>
      <c r="AE72" s="953">
        <f>AE60-AE62-AE70</f>
        <v>1897503.2841594166</v>
      </c>
      <c r="AG72" s="953">
        <f>AG60-AG62-AG70</f>
        <v>2018032.5226084918</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88671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2000000</v>
      </c>
      <c r="C5" s="266">
        <f>'Sources and Uses Budget'!$C4</f>
        <v>2000000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2000000</v>
      </c>
      <c r="C9" s="270">
        <f>SUM(C5:C8)</f>
        <v>2000000</v>
      </c>
      <c r="D9" s="270">
        <f t="shared" si="0"/>
        <v>0</v>
      </c>
      <c r="E9" s="268"/>
      <c r="F9" s="267"/>
    </row>
    <row r="10" spans="1:6" s="348" customFormat="1">
      <c r="A10" s="360" t="s">
        <v>594</v>
      </c>
      <c r="B10" s="266">
        <f>'Sources and Uses Budget'!$C9</f>
        <v>24000000</v>
      </c>
      <c r="C10" s="266">
        <f>'Sources and Uses Budget'!$C9</f>
        <v>24000000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24000000</v>
      </c>
      <c r="C12" s="270">
        <f>SUM(C10:C11)</f>
        <v>24000000</v>
      </c>
      <c r="D12" s="270">
        <f t="shared" si="0"/>
        <v>0</v>
      </c>
      <c r="E12" s="268"/>
      <c r="F12" s="267"/>
    </row>
    <row r="13" spans="1:6" s="348" customFormat="1">
      <c r="A13" s="361" t="s">
        <v>84</v>
      </c>
      <c r="B13" s="270">
        <f>SUM(B9+B12)</f>
        <v>26000000</v>
      </c>
      <c r="C13" s="270">
        <f>SUM(C9+C12)</f>
        <v>26000000</v>
      </c>
      <c r="D13" s="270">
        <f t="shared" si="0"/>
        <v>0</v>
      </c>
      <c r="E13" s="268"/>
      <c r="F13" s="267"/>
    </row>
    <row r="14" spans="1:6" s="348" customFormat="1">
      <c r="A14" s="362" t="s">
        <v>902</v>
      </c>
      <c r="B14" s="266">
        <f>'Sources and Uses Budget'!$C13</f>
        <v>2000000</v>
      </c>
      <c r="C14" s="266">
        <f>'Sources and Uses Budget'!$C13</f>
        <v>2000000</v>
      </c>
      <c r="D14" s="270">
        <f t="shared" si="0"/>
        <v>0</v>
      </c>
      <c r="E14" s="268"/>
      <c r="F14" s="267"/>
    </row>
    <row r="15" spans="1:6" s="348" customFormat="1" ht="22.8">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32894738</v>
      </c>
      <c r="C31" s="266">
        <f>'Sources and Uses Budget'!$C30</f>
        <v>32894738</v>
      </c>
      <c r="D31" s="270">
        <f t="shared" si="0"/>
        <v>0</v>
      </c>
      <c r="E31" s="268"/>
      <c r="F31" s="267"/>
    </row>
    <row r="32" spans="1:6" s="348" customFormat="1">
      <c r="A32" s="145" t="s">
        <v>600</v>
      </c>
      <c r="B32" s="266">
        <f>'Sources and Uses Budget'!$C31</f>
        <v>1973684</v>
      </c>
      <c r="C32" s="266">
        <f>'Sources and Uses Budget'!$C31</f>
        <v>1973684</v>
      </c>
      <c r="D32" s="270">
        <f t="shared" si="0"/>
        <v>0</v>
      </c>
      <c r="E32" s="268"/>
      <c r="F32" s="267"/>
    </row>
    <row r="33" spans="1:6" s="348" customFormat="1">
      <c r="A33" s="145" t="s">
        <v>137</v>
      </c>
      <c r="B33" s="266">
        <f>'Sources and Uses Budget'!$C32</f>
        <v>657894</v>
      </c>
      <c r="C33" s="266">
        <f>'Sources and Uses Budget'!$C32</f>
        <v>657894</v>
      </c>
      <c r="D33" s="270">
        <f t="shared" si="0"/>
        <v>0</v>
      </c>
      <c r="E33" s="268"/>
      <c r="F33" s="267"/>
    </row>
    <row r="34" spans="1:6" s="348" customFormat="1">
      <c r="A34" s="145" t="s">
        <v>138</v>
      </c>
      <c r="B34" s="266">
        <f>'Sources and Uses Budget'!$C33</f>
        <v>1973684</v>
      </c>
      <c r="C34" s="266">
        <f>'Sources and Uses Budget'!$C33</f>
        <v>1973684</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1000000</v>
      </c>
      <c r="C36" s="266">
        <f>'Sources and Uses Budget'!$C35</f>
        <v>1000000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38500000</v>
      </c>
      <c r="C39" s="270">
        <f>SUM(C30:C38)</f>
        <v>38500000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1100000</v>
      </c>
      <c r="C41" s="266">
        <f>'Sources and Uses Budget'!$C40</f>
        <v>1100000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1100000</v>
      </c>
      <c r="C43" s="270">
        <f>SUM(C41:C42)</f>
        <v>1100000</v>
      </c>
      <c r="D43" s="270">
        <f t="shared" si="0"/>
        <v>0</v>
      </c>
      <c r="E43" s="268"/>
      <c r="F43" s="267"/>
    </row>
    <row r="44" spans="1:6" s="348" customFormat="1">
      <c r="A44" s="271" t="s">
        <v>148</v>
      </c>
      <c r="B44" s="266">
        <f>'Sources and Uses Budget'!$C43</f>
        <v>1100000</v>
      </c>
      <c r="C44" s="266">
        <f>'Sources and Uses Budget'!$C43</f>
        <v>1100000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11762469</v>
      </c>
      <c r="C46" s="266">
        <f>'Sources and Uses Budget'!$C45</f>
        <v>11762469</v>
      </c>
      <c r="D46" s="270">
        <f t="shared" si="0"/>
        <v>0</v>
      </c>
      <c r="E46" s="268"/>
      <c r="F46" s="267"/>
    </row>
    <row r="47" spans="1:6" s="348" customFormat="1">
      <c r="A47" s="145" t="s">
        <v>151</v>
      </c>
      <c r="B47" s="266">
        <f>'Sources and Uses Budget'!$C46</f>
        <v>935500</v>
      </c>
      <c r="C47" s="266">
        <f>'Sources and Uses Budget'!$C46</f>
        <v>935500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461825</v>
      </c>
      <c r="C50" s="266">
        <f>'Sources and Uses Budget'!$C49</f>
        <v>461825</v>
      </c>
      <c r="D50" s="270">
        <f t="shared" si="0"/>
        <v>0</v>
      </c>
      <c r="E50" s="268"/>
      <c r="F50" s="267"/>
    </row>
    <row r="51" spans="1:6" s="348" customFormat="1">
      <c r="A51" s="145" t="s">
        <v>156</v>
      </c>
      <c r="B51" s="266">
        <f>'Sources and Uses Budget'!$C50</f>
        <v>200000</v>
      </c>
      <c r="C51" s="266">
        <f>'Sources and Uses Budget'!$C50</f>
        <v>200000</v>
      </c>
      <c r="D51" s="270">
        <f t="shared" si="0"/>
        <v>0</v>
      </c>
      <c r="E51" s="268"/>
      <c r="F51" s="267"/>
    </row>
    <row r="52" spans="1:6" s="348" customFormat="1">
      <c r="A52" s="283" t="s">
        <v>154</v>
      </c>
      <c r="B52" s="266">
        <f>'Sources and Uses Budget'!$C51</f>
        <v>75000</v>
      </c>
      <c r="C52" s="266">
        <f>'Sources and Uses Budget'!$C51</f>
        <v>75000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Inspections</v>
      </c>
      <c r="B54" s="266">
        <f>'Sources and Uses Budget'!$C53</f>
        <v>24000</v>
      </c>
      <c r="C54" s="266">
        <f>'Sources and Uses Budget'!$C53</f>
        <v>24000</v>
      </c>
      <c r="D54" s="270">
        <f t="shared" si="0"/>
        <v>0</v>
      </c>
      <c r="E54" s="268"/>
      <c r="F54" s="267"/>
    </row>
    <row r="55" spans="1:6" s="349" customFormat="1">
      <c r="A55" s="271" t="s">
        <v>157</v>
      </c>
      <c r="B55" s="273">
        <f>SUM(B46:B54)</f>
        <v>13458794</v>
      </c>
      <c r="C55" s="273">
        <f>SUM(C46:C54)</f>
        <v>13458794</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65" customHeight="1">
      <c r="A63" s="271" t="s">
        <v>301</v>
      </c>
      <c r="B63" s="270">
        <f>SUM(B57:B62)</f>
        <v>0</v>
      </c>
      <c r="C63" s="270">
        <f>SUM(C57:C62)</f>
        <v>0</v>
      </c>
      <c r="D63" s="270">
        <f t="shared" si="0"/>
        <v>0</v>
      </c>
      <c r="E63" s="268"/>
      <c r="F63" s="267"/>
    </row>
    <row r="64" spans="1:6" s="348" customFormat="1">
      <c r="A64" s="274" t="s">
        <v>302</v>
      </c>
      <c r="B64" s="270">
        <f>SUM(B9+B12+B14+B15+B17+B26+B28+B39+B43+B44+B55+B63)</f>
        <v>82158794</v>
      </c>
      <c r="C64" s="270">
        <f>SUM(C9+C12+C14+C15+C17+C26+C28+C39+C43+C44+C55+C63)</f>
        <v>82158794</v>
      </c>
      <c r="D64" s="270">
        <f t="shared" si="0"/>
        <v>0</v>
      </c>
      <c r="E64" s="268"/>
      <c r="F64" s="267"/>
    </row>
    <row r="65" spans="1:6" s="348" customFormat="1" ht="22.8">
      <c r="A65" s="141" t="s">
        <v>1632</v>
      </c>
      <c r="B65" s="264"/>
      <c r="C65" s="264"/>
      <c r="D65" s="264"/>
      <c r="E65" s="282"/>
      <c r="F65" s="264"/>
    </row>
    <row r="66" spans="1:6" s="348" customFormat="1">
      <c r="A66" s="145" t="s">
        <v>171</v>
      </c>
      <c r="B66" s="266">
        <f>'Sources and Uses Budget'!$C65</f>
        <v>167205</v>
      </c>
      <c r="C66" s="266">
        <f>'Sources and Uses Budget'!$C65</f>
        <v>167205</v>
      </c>
      <c r="D66" s="270">
        <f t="shared" si="0"/>
        <v>0</v>
      </c>
      <c r="E66" s="268"/>
      <c r="F66" s="267"/>
    </row>
    <row r="67" spans="1:6" s="348" customFormat="1" ht="22.8">
      <c r="A67" s="283" t="s">
        <v>1629</v>
      </c>
      <c r="B67" s="266">
        <f>'Sources and Uses Budget'!$C66</f>
        <v>45000</v>
      </c>
      <c r="C67" s="266">
        <f>'Sources and Uses Budget'!$C66</f>
        <v>45000</v>
      </c>
      <c r="D67" s="270"/>
      <c r="E67" s="268"/>
      <c r="F67" s="267"/>
    </row>
    <row r="68" spans="1:6" s="348" customFormat="1" ht="22.8">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ht="34.200000000000003">
      <c r="A70" s="155" t="str">
        <f>'Sources and Uses Budget'!A69</f>
        <v>Other: Borrower Counsel &amp; Contingency, Hearthstone fees and attorney, Recycled bonds reservation costs</v>
      </c>
      <c r="B70" s="266">
        <f>'Sources and Uses Budget'!$C69</f>
        <v>379500</v>
      </c>
      <c r="C70" s="266">
        <f>'Sources and Uses Budget'!$C69</f>
        <v>379500</v>
      </c>
      <c r="D70" s="270">
        <f t="shared" si="0"/>
        <v>0</v>
      </c>
      <c r="E70" s="268"/>
      <c r="F70" s="267"/>
    </row>
    <row r="71" spans="1:6" s="348" customFormat="1">
      <c r="A71" s="149" t="s">
        <v>1633</v>
      </c>
      <c r="B71" s="270">
        <f>SUM(B66:B70)</f>
        <v>591705</v>
      </c>
      <c r="C71" s="270">
        <f>SUM(C66:C70)</f>
        <v>591705</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1184259</v>
      </c>
      <c r="C76" s="266">
        <f>'Sources and Uses Budget'!$C75</f>
        <v>1184259</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1184259</v>
      </c>
      <c r="C78" s="270">
        <f>SUM(C73:C77)</f>
        <v>1184259</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3750000</v>
      </c>
      <c r="C80" s="266">
        <f>'Sources and Uses Budget'!$C79</f>
        <v>3750000</v>
      </c>
      <c r="D80" s="270">
        <f t="shared" si="1"/>
        <v>0</v>
      </c>
      <c r="E80" s="268"/>
      <c r="F80" s="267"/>
    </row>
    <row r="81" spans="1:6" s="348" customFormat="1">
      <c r="A81" s="506" t="s">
        <v>58</v>
      </c>
      <c r="B81" s="266">
        <f>'Sources and Uses Budget'!$C80</f>
        <v>125000</v>
      </c>
      <c r="C81" s="266">
        <f>'Sources and Uses Budget'!$C80</f>
        <v>125000</v>
      </c>
      <c r="D81" s="270">
        <f>C81-B81</f>
        <v>0</v>
      </c>
      <c r="E81" s="268"/>
      <c r="F81" s="267"/>
    </row>
    <row r="82" spans="1:6" s="348" customFormat="1">
      <c r="A82" s="271" t="s">
        <v>1208</v>
      </c>
      <c r="B82" s="270">
        <f>SUM(B80:B81)</f>
        <v>3875000</v>
      </c>
      <c r="C82" s="270">
        <f>SUM(C80:C81)</f>
        <v>3875000</v>
      </c>
      <c r="D82" s="270">
        <f t="shared" si="1"/>
        <v>0</v>
      </c>
      <c r="E82" s="268"/>
      <c r="F82" s="267"/>
    </row>
    <row r="83" spans="1:6" s="348" customFormat="1">
      <c r="A83" s="264" t="s">
        <v>765</v>
      </c>
      <c r="B83" s="264"/>
      <c r="C83" s="264"/>
      <c r="D83" s="264"/>
      <c r="E83" s="282"/>
      <c r="F83" s="264"/>
    </row>
    <row r="84" spans="1:6" s="348" customFormat="1" ht="13.65" customHeight="1">
      <c r="A84" s="269" t="s">
        <v>766</v>
      </c>
      <c r="B84" s="266">
        <f>'Sources and Uses Budget'!$C83</f>
        <v>127235</v>
      </c>
      <c r="C84" s="266">
        <f>'Sources and Uses Budget'!$C83</f>
        <v>127235</v>
      </c>
      <c r="D84" s="270">
        <f t="shared" si="1"/>
        <v>0</v>
      </c>
      <c r="E84" s="268"/>
      <c r="F84" s="267"/>
    </row>
    <row r="85" spans="1:6" s="348" customFormat="1">
      <c r="A85" s="269" t="s">
        <v>767</v>
      </c>
      <c r="B85" s="266">
        <f>'Sources and Uses Budget'!$C84</f>
        <v>3500</v>
      </c>
      <c r="C85" s="266">
        <f>'Sources and Uses Budget'!$C84</f>
        <v>3500</v>
      </c>
      <c r="D85" s="270">
        <f t="shared" si="1"/>
        <v>0</v>
      </c>
      <c r="E85" s="268"/>
      <c r="F85" s="267"/>
    </row>
    <row r="86" spans="1:6" s="348" customFormat="1">
      <c r="A86" s="269" t="s">
        <v>768</v>
      </c>
      <c r="B86" s="266">
        <f>'Sources and Uses Budget'!$C85</f>
        <v>1176016</v>
      </c>
      <c r="C86" s="266">
        <f>'Sources and Uses Budget'!$C85</f>
        <v>1176016</v>
      </c>
      <c r="D86" s="270">
        <f t="shared" si="1"/>
        <v>0</v>
      </c>
      <c r="E86" s="268"/>
      <c r="F86" s="267"/>
    </row>
    <row r="87" spans="1:6" s="348" customFormat="1">
      <c r="A87" s="269" t="s">
        <v>769</v>
      </c>
      <c r="B87" s="266">
        <f>'Sources and Uses Budget'!$C86</f>
        <v>1823984</v>
      </c>
      <c r="C87" s="266">
        <f>'Sources and Uses Budget'!$C86</f>
        <v>1823984</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87740</v>
      </c>
      <c r="C89" s="266">
        <f>'Sources and Uses Budget'!$C88</f>
        <v>87740</v>
      </c>
      <c r="D89" s="270">
        <f t="shared" si="1"/>
        <v>0</v>
      </c>
      <c r="E89" s="268"/>
      <c r="F89" s="267"/>
    </row>
    <row r="90" spans="1:6" s="348" customFormat="1">
      <c r="A90" s="269" t="s">
        <v>772</v>
      </c>
      <c r="B90" s="266">
        <f>'Sources and Uses Budget'!$C89</f>
        <v>550000</v>
      </c>
      <c r="C90" s="266">
        <f>'Sources and Uses Budget'!$C89</f>
        <v>550000</v>
      </c>
      <c r="D90" s="270">
        <f t="shared" si="1"/>
        <v>0</v>
      </c>
      <c r="E90" s="268"/>
      <c r="F90" s="267"/>
    </row>
    <row r="91" spans="1:6" s="348" customFormat="1">
      <c r="A91" s="269" t="s">
        <v>773</v>
      </c>
      <c r="B91" s="266">
        <f>'Sources and Uses Budget'!$C90</f>
        <v>10000</v>
      </c>
      <c r="C91" s="266">
        <f>'Sources and Uses Budget'!$C90</f>
        <v>10000</v>
      </c>
      <c r="D91" s="270">
        <f t="shared" si="1"/>
        <v>0</v>
      </c>
      <c r="E91" s="268"/>
      <c r="F91" s="267"/>
    </row>
    <row r="92" spans="1:6" s="348" customFormat="1">
      <c r="A92" s="269" t="s">
        <v>372</v>
      </c>
      <c r="B92" s="266">
        <f>'Sources and Uses Budget'!$C91</f>
        <v>90000</v>
      </c>
      <c r="C92" s="266">
        <f>'Sources and Uses Budget'!$C91</f>
        <v>90000</v>
      </c>
      <c r="D92" s="270">
        <f t="shared" si="1"/>
        <v>0</v>
      </c>
      <c r="E92" s="268"/>
      <c r="F92" s="267"/>
    </row>
    <row r="93" spans="1:6" s="348" customFormat="1">
      <c r="A93" s="506" t="s">
        <v>1210</v>
      </c>
      <c r="B93" s="266">
        <f>'Sources and Uses Budget'!$C92</f>
        <v>10000</v>
      </c>
      <c r="C93" s="266">
        <f>'Sources and Uses Budget'!$C92</f>
        <v>10000</v>
      </c>
      <c r="D93" s="270">
        <f t="shared" si="1"/>
        <v>0</v>
      </c>
      <c r="E93" s="268"/>
      <c r="F93" s="267"/>
    </row>
    <row r="94" spans="1:6" s="348" customFormat="1">
      <c r="A94" s="272" t="s">
        <v>34</v>
      </c>
      <c r="B94" s="266">
        <f>'Sources and Uses Budget'!$C93</f>
        <v>20000</v>
      </c>
      <c r="C94" s="266">
        <f>'Sources and Uses Budget'!$C93</f>
        <v>20000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3898475</v>
      </c>
      <c r="C97" s="270">
        <f>SUM(C84:C96)</f>
        <v>3898475</v>
      </c>
      <c r="D97" s="270">
        <f t="shared" si="1"/>
        <v>0</v>
      </c>
      <c r="E97" s="268"/>
      <c r="F97" s="267"/>
    </row>
    <row r="98" spans="1:6" s="348" customFormat="1">
      <c r="A98" s="271" t="s">
        <v>775</v>
      </c>
      <c r="B98" s="270">
        <f>SUM(B64+B71+B78+B82+B97)</f>
        <v>91708233</v>
      </c>
      <c r="C98" s="270">
        <f>SUM(C64+C71+C78+C82+C97)</f>
        <v>91708233</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12490299</v>
      </c>
      <c r="C100" s="266">
        <f>'Sources and Uses Budget'!$C99</f>
        <v>12490299</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12490299</v>
      </c>
      <c r="C105" s="270">
        <f>SUM(C100:C104)</f>
        <v>12490299</v>
      </c>
      <c r="D105" s="270">
        <f t="shared" si="1"/>
        <v>0</v>
      </c>
      <c r="E105" s="268"/>
      <c r="F105" s="267"/>
    </row>
    <row r="106" spans="1:6" s="348" customFormat="1">
      <c r="A106" s="271" t="s">
        <v>780</v>
      </c>
      <c r="B106" s="273">
        <f>SUM(B98+B105)</f>
        <v>104198532</v>
      </c>
      <c r="C106" s="273">
        <f>SUM(C98+C105)</f>
        <v>104198532</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Navarrette, DC</cp:lastModifiedBy>
  <cp:lastPrinted>2026-08-24T16:57:44Z</cp:lastPrinted>
  <dcterms:created xsi:type="dcterms:W3CDTF">2007-12-27T18:26:28Z</dcterms:created>
  <dcterms:modified xsi:type="dcterms:W3CDTF">2026-09-10T18:10:31Z</dcterms:modified>
</cp:coreProperties>
</file>